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epenergy.sharepoint.com/sites/RegulatoryServices/OPCO/Kentucky Power/Regulatory Base Cases/Kentucky Base Case 2025/05 Discovery/Staff/Staff Set 1/Attachments/"/>
    </mc:Choice>
  </mc:AlternateContent>
  <xr:revisionPtr revIDLastSave="0" documentId="13_ncr:1_{E4310B8E-4431-469A-8ADF-8CABEA0B962D}" xr6:coauthVersionLast="47" xr6:coauthVersionMax="47" xr10:uidLastSave="{00000000-0000-0000-0000-000000000000}"/>
  <bookViews>
    <workbookView xWindow="-110" yWindow="-110" windowWidth="19420" windowHeight="10300" tabRatio="798" xr2:uid="{235E5EB8-F3DB-480F-996C-6CB129F712DC}"/>
  </bookViews>
  <sheets>
    <sheet name="Index" sheetId="1" r:id="rId1"/>
    <sheet name="W07_PG_1_of_4" sheetId="2" r:id="rId2"/>
    <sheet name="W07_PG_2_of_4" sheetId="3" r:id="rId3"/>
    <sheet name="W07_PG_3_of_4" sheetId="4" r:id="rId4"/>
    <sheet name="W07_PG_4_of_4" sheetId="5" r:id="rId5"/>
    <sheet name="W10_PG_1_of_2" sheetId="6" r:id="rId6"/>
    <sheet name="W10_PG_2_of_2" sheetId="7" r:id="rId7"/>
    <sheet name="W11_PG_1_of_2" sheetId="8" r:id="rId8"/>
    <sheet name="W11_PG_2_of_2" sheetId="9" r:id="rId9"/>
    <sheet name="W12_PG_1_of_1" sheetId="10" r:id="rId10"/>
    <sheet name="WP13_PG_1_of_1" sheetId="11" r:id="rId11"/>
    <sheet name="W17_PG_1_of_1" sheetId="12" r:id="rId12"/>
    <sheet name="W20_PG_1_of_2" sheetId="13" r:id="rId13"/>
    <sheet name="W20_PG_2_of_2" sheetId="14" r:id="rId14"/>
    <sheet name="W25_PG_1_of_3" sheetId="15" r:id="rId15"/>
    <sheet name="W25_PG_2_of_3" sheetId="16" r:id="rId16"/>
    <sheet name="W25_PG_3_of_3" sheetId="17" r:id="rId17"/>
    <sheet name="W26_PG_1_of_3" sheetId="18" r:id="rId18"/>
    <sheet name="W26_PG_2_of_3" sheetId="19" r:id="rId19"/>
    <sheet name="W26_PG_3_of_3" sheetId="20" r:id="rId20"/>
    <sheet name="W27_PG_1_of_6" sheetId="21" r:id="rId21"/>
    <sheet name="W27_PG_2_of_6" sheetId="22" r:id="rId22"/>
    <sheet name="W27_PG_3_of_6" sheetId="23" r:id="rId23"/>
    <sheet name="W27_PG_4_of_6" sheetId="24" r:id="rId24"/>
    <sheet name="W27_PG_5_of_6" sheetId="25" r:id="rId25"/>
    <sheet name="W27_PG_6_of_6" sheetId="26" r:id="rId26"/>
    <sheet name="W28_PG_1_of_4" sheetId="27" r:id="rId27"/>
    <sheet name="W28_PG_2_of_4" sheetId="28" r:id="rId28"/>
    <sheet name="W28_PG_3_of_4" sheetId="29" r:id="rId29"/>
    <sheet name="W28_PG_4_of_4" sheetId="30" r:id="rId30"/>
    <sheet name="W29_PG_1_of_1" sheetId="31" r:id="rId31"/>
    <sheet name="W30_W_35_PG_1_of_1" sheetId="45" r:id="rId32"/>
    <sheet name="W30_PG_1_of_3" sheetId="46" r:id="rId33"/>
    <sheet name="W30_PG_2_of_3" sheetId="47" r:id="rId34"/>
    <sheet name="W30_PG_3_of_3" sheetId="48" r:id="rId35"/>
    <sheet name="W31_PG_1_of_4" sheetId="49" r:id="rId36"/>
    <sheet name="W31_PG_2_of_4" sheetId="50" r:id="rId37"/>
    <sheet name="W31_PG_3_of_4" sheetId="51" r:id="rId38"/>
    <sheet name="W31_PG_4_of_4" sheetId="52" r:id="rId39"/>
    <sheet name="W32_PG_1_of_2" sheetId="53" r:id="rId40"/>
    <sheet name="W32_PG_2_of_2" sheetId="54" r:id="rId41"/>
    <sheet name="W34_PG_1_of_3" sheetId="55" r:id="rId42"/>
    <sheet name="W34_PG_2_of_3" sheetId="56" r:id="rId43"/>
    <sheet name="W34_PG_3_of_3" sheetId="57" r:id="rId44"/>
    <sheet name="W35_PG_1_of_2" sheetId="58" r:id="rId45"/>
    <sheet name="W35_PG_2_of_2" sheetId="59" r:id="rId46"/>
    <sheet name="W37_PG_1_of_2" sheetId="32" r:id="rId47"/>
    <sheet name="W37_PG_2_of_2" sheetId="33" r:id="rId48"/>
    <sheet name="W38_PG_1_of_1" sheetId="34" r:id="rId49"/>
    <sheet name="W39_PG_1_of_1" sheetId="35" r:id="rId50"/>
    <sheet name="W46_PG_1_of_1" sheetId="36" r:id="rId51"/>
    <sheet name="W56_PG_1_of_7" sheetId="37" r:id="rId52"/>
    <sheet name="W56_PG_2_of_7" sheetId="38" r:id="rId53"/>
    <sheet name="W56_PG_3_of_7" sheetId="39" r:id="rId54"/>
    <sheet name="W56_PG_4_of_7" sheetId="40" r:id="rId55"/>
    <sheet name="W56_PG_5_of_7" sheetId="41" r:id="rId56"/>
    <sheet name="W56_PG_6_of_7" sheetId="42" r:id="rId57"/>
    <sheet name="W56_PG_7_of_7" sheetId="43" r:id="rId58"/>
    <sheet name="W58_PG_1_of_1" sheetId="44" r:id="rId59"/>
  </sheets>
  <externalReferences>
    <externalReference r:id="rId60"/>
    <externalReference r:id="rId61"/>
    <externalReference r:id="rId62"/>
  </externalReferences>
  <definedNames>
    <definedName name="_xlnm._FilterDatabase" localSheetId="42" hidden="1">W34_PG_2_of_3!$A$6:$F$6</definedName>
    <definedName name="Katy" localSheetId="31">#REF!</definedName>
    <definedName name="Katy">#REF!</definedName>
    <definedName name="Marshall_Rate" localSheetId="31">'[1]Property Tax'!$B$2</definedName>
    <definedName name="Marshall_Rate">'[2]Property Tax'!$B$2</definedName>
    <definedName name="PC_Percent" localSheetId="31">'[1]Property Tax'!$B$6</definedName>
    <definedName name="PC_Percent">'[2]Property Tax'!$B$6</definedName>
    <definedName name="_xlnm.Print_Area" localSheetId="5">W10_PG_1_of_2!$A$1:$D$17</definedName>
    <definedName name="_xlnm.Print_Area" localSheetId="23">W27_PG_4_of_6!$A$1:$F$5</definedName>
    <definedName name="_xlnm.Print_Area" localSheetId="24">W27_PG_5_of_6!$A$1:$J$35</definedName>
    <definedName name="_xlnm.Print_Titles" localSheetId="33">W30_PG_2_of_3!$2:$5</definedName>
    <definedName name="_xlnm.Print_Titles" localSheetId="34">W30_PG_3_of_3!$2:$5</definedName>
    <definedName name="tim" localSheetId="31">#REF!</definedName>
    <definedName name="tim">#REF!</definedName>
    <definedName name="WV_List" localSheetId="31">'[1]Property Tax'!$B$4</definedName>
    <definedName name="WV_List">'[2]Property Tax'!$B$4</definedName>
    <definedName name="Z_84ADAC68_0B9A_4C5D_9EB6_75866437195D_.wvu.FilterData" localSheetId="42" hidden="1">W34_PG_2_of_3!$A$6:$F$6</definedName>
    <definedName name="Z_E9A95073_CC85_43FF_8954_6BA03BCE080C_.wvu.FilterData" localSheetId="42" hidden="1">W34_PG_2_of_3!$A$6:$F$6</definedName>
  </definedNames>
  <calcPr calcId="191029"/>
  <pivotCaches>
    <pivotCache cacheId="120" r:id="rId6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59" l="1"/>
  <c r="E17" i="59"/>
  <c r="E16" i="59"/>
  <c r="E15" i="59"/>
  <c r="E14" i="59"/>
  <c r="E13" i="59"/>
  <c r="D12" i="59"/>
  <c r="E12" i="59" s="1"/>
  <c r="E11" i="59"/>
  <c r="D10" i="59"/>
  <c r="E10" i="59" s="1"/>
  <c r="D7" i="59"/>
  <c r="D25" i="59" l="1"/>
  <c r="E25" i="59" s="1"/>
  <c r="D52" i="59"/>
  <c r="E52" i="59" s="1"/>
  <c r="D29" i="59"/>
  <c r="E29" i="59" s="1"/>
  <c r="D30" i="59"/>
  <c r="E30" i="59" s="1"/>
  <c r="D31" i="59"/>
  <c r="E31" i="59" s="1"/>
  <c r="D39" i="59"/>
  <c r="E39" i="59" s="1"/>
  <c r="D44" i="59"/>
  <c r="E44" i="59" s="1"/>
  <c r="D45" i="59"/>
  <c r="E45" i="59" s="1"/>
  <c r="D54" i="59"/>
  <c r="E54" i="59" s="1"/>
  <c r="D18" i="59"/>
  <c r="E18" i="59" s="1"/>
  <c r="D32" i="59"/>
  <c r="E32" i="59" s="1"/>
  <c r="D47" i="59"/>
  <c r="E47" i="59" s="1"/>
  <c r="D8" i="59"/>
  <c r="E8" i="59" s="1"/>
  <c r="D19" i="59"/>
  <c r="E19" i="59" s="1"/>
  <c r="D33" i="59"/>
  <c r="E33" i="59" s="1"/>
  <c r="D48" i="59"/>
  <c r="E48" i="59" s="1"/>
  <c r="D9" i="59"/>
  <c r="E9" i="59" s="1"/>
  <c r="D20" i="59"/>
  <c r="E20" i="59" s="1"/>
  <c r="D35" i="59"/>
  <c r="E35" i="59" s="1"/>
  <c r="D49" i="59"/>
  <c r="E49" i="59" s="1"/>
  <c r="D21" i="59"/>
  <c r="E21" i="59" s="1"/>
  <c r="D36" i="59"/>
  <c r="E36" i="59" s="1"/>
  <c r="D50" i="59"/>
  <c r="E50" i="59" s="1"/>
  <c r="D23" i="59"/>
  <c r="E23" i="59" s="1"/>
  <c r="D37" i="59"/>
  <c r="E37" i="59" s="1"/>
  <c r="D51" i="59"/>
  <c r="E51" i="59" s="1"/>
  <c r="D24" i="59"/>
  <c r="E24" i="59" s="1"/>
  <c r="D38" i="59"/>
  <c r="E38" i="59" s="1"/>
  <c r="D53" i="59"/>
  <c r="E53" i="59" s="1"/>
  <c r="D26" i="59"/>
  <c r="E26" i="59" s="1"/>
  <c r="D41" i="59"/>
  <c r="E41" i="59" s="1"/>
  <c r="D55" i="59"/>
  <c r="E55" i="59" s="1"/>
  <c r="D27" i="59"/>
  <c r="E27" i="59" s="1"/>
  <c r="D42" i="59"/>
  <c r="E42" i="59" s="1"/>
  <c r="D56" i="59"/>
  <c r="E56" i="59" s="1"/>
  <c r="D43" i="59"/>
  <c r="E43" i="59" s="1"/>
  <c r="D22" i="59"/>
  <c r="E22" i="59" s="1"/>
  <c r="D28" i="59"/>
  <c r="E28" i="59" s="1"/>
  <c r="D34" i="59"/>
  <c r="E34" i="59" s="1"/>
  <c r="D40" i="59"/>
  <c r="E40" i="59" s="1"/>
  <c r="D46" i="59"/>
  <c r="E46" i="59" s="1"/>
  <c r="E57" i="59" l="1"/>
  <c r="E58" i="59" s="1"/>
  <c r="K20" i="58" s="1"/>
  <c r="D57" i="59"/>
  <c r="G8" i="58" l="1"/>
  <c r="I8" i="58"/>
  <c r="A10" i="58"/>
  <c r="A11" i="58" s="1"/>
  <c r="A12" i="58" s="1"/>
  <c r="A14" i="58" s="1"/>
  <c r="A15" i="58" s="1"/>
  <c r="A16" i="58" s="1"/>
  <c r="A17" i="58" s="1"/>
  <c r="G12" i="58"/>
  <c r="I12" i="58" s="1"/>
  <c r="H14" i="58"/>
  <c r="A21" i="58"/>
  <c r="A22" i="58" s="1"/>
  <c r="A23" i="58" s="1"/>
  <c r="B12" i="57"/>
  <c r="B16" i="57" s="1"/>
  <c r="H16" i="55" s="1"/>
  <c r="E7" i="56"/>
  <c r="E8" i="56"/>
  <c r="K8" i="56"/>
  <c r="E9" i="56"/>
  <c r="K9" i="56"/>
  <c r="E10" i="56"/>
  <c r="K10" i="56"/>
  <c r="E11" i="56"/>
  <c r="E12" i="56"/>
  <c r="E13" i="56"/>
  <c r="E14" i="56"/>
  <c r="E15" i="56"/>
  <c r="E16" i="56"/>
  <c r="E17" i="56"/>
  <c r="E18" i="56"/>
  <c r="E19" i="56"/>
  <c r="E20" i="56"/>
  <c r="E21" i="56"/>
  <c r="E22" i="56"/>
  <c r="E23" i="56"/>
  <c r="E24" i="56"/>
  <c r="E25" i="56"/>
  <c r="E26" i="56"/>
  <c r="E27" i="56"/>
  <c r="E28" i="56"/>
  <c r="E29" i="56"/>
  <c r="E30" i="56"/>
  <c r="E31" i="56"/>
  <c r="E32" i="56"/>
  <c r="E33" i="56"/>
  <c r="E34" i="56"/>
  <c r="E35" i="56"/>
  <c r="E36" i="56"/>
  <c r="E37" i="56"/>
  <c r="E38" i="56"/>
  <c r="E39" i="56"/>
  <c r="E40" i="56"/>
  <c r="E41" i="56"/>
  <c r="E42" i="56"/>
  <c r="E43" i="56"/>
  <c r="E44" i="56"/>
  <c r="E45" i="56"/>
  <c r="E46" i="56"/>
  <c r="E47" i="56"/>
  <c r="E48" i="56"/>
  <c r="E49" i="56"/>
  <c r="E50" i="56"/>
  <c r="E51" i="56"/>
  <c r="E52" i="56"/>
  <c r="E53" i="56"/>
  <c r="E54" i="56"/>
  <c r="E55" i="56"/>
  <c r="E56" i="56"/>
  <c r="E57" i="56"/>
  <c r="E58" i="56"/>
  <c r="E59" i="56"/>
  <c r="E60" i="56"/>
  <c r="E61" i="56"/>
  <c r="E62" i="56"/>
  <c r="E63" i="56"/>
  <c r="E64" i="56"/>
  <c r="E65" i="56"/>
  <c r="E66" i="56"/>
  <c r="E67" i="56"/>
  <c r="E68" i="56"/>
  <c r="E69" i="56"/>
  <c r="E70" i="56"/>
  <c r="E71" i="56"/>
  <c r="C72" i="56"/>
  <c r="A9" i="55"/>
  <c r="A10" i="55" s="1"/>
  <c r="A11" i="55" s="1"/>
  <c r="A12" i="55" s="1"/>
  <c r="A13" i="55" s="1"/>
  <c r="A15" i="55" s="1"/>
  <c r="A16" i="55" s="1"/>
  <c r="A17" i="55" s="1"/>
  <c r="A18" i="55" s="1"/>
  <c r="A20" i="55" s="1"/>
  <c r="A21" i="55" s="1"/>
  <c r="A22" i="55" s="1"/>
  <c r="A24" i="55" s="1"/>
  <c r="A25" i="55" s="1"/>
  <c r="D8" i="54"/>
  <c r="C10" i="54" s="1"/>
  <c r="B43" i="54"/>
  <c r="B45" i="54"/>
  <c r="C10" i="53"/>
  <c r="A11" i="53"/>
  <c r="A12" i="53" s="1"/>
  <c r="A13" i="53" s="1"/>
  <c r="A14" i="53" s="1"/>
  <c r="A15" i="53" s="1"/>
  <c r="A16" i="53" s="1"/>
  <c r="A17" i="53" s="1"/>
  <c r="A18" i="53" s="1"/>
  <c r="A19" i="53" s="1"/>
  <c r="A20" i="53" s="1"/>
  <c r="A21" i="53" s="1"/>
  <c r="A22" i="53" s="1"/>
  <c r="A23" i="53" s="1"/>
  <c r="A24" i="53" s="1"/>
  <c r="A25" i="53" s="1"/>
  <c r="A26" i="53" s="1"/>
  <c r="A27" i="53" s="1"/>
  <c r="A28" i="53" s="1"/>
  <c r="A29" i="53" s="1"/>
  <c r="A30" i="53" s="1"/>
  <c r="A31" i="53" s="1"/>
  <c r="A32" i="53" s="1"/>
  <c r="A33" i="53" s="1"/>
  <c r="A34" i="53" s="1"/>
  <c r="A35" i="53" s="1"/>
  <c r="A36" i="53" s="1"/>
  <c r="A37" i="53" s="1"/>
  <c r="C11" i="53"/>
  <c r="C12" i="53"/>
  <c r="C13" i="53"/>
  <c r="C14" i="53"/>
  <c r="C15" i="53"/>
  <c r="C16" i="53"/>
  <c r="C17" i="53"/>
  <c r="C18" i="53"/>
  <c r="C19" i="53"/>
  <c r="C20" i="53"/>
  <c r="C21" i="53"/>
  <c r="C22" i="53"/>
  <c r="C23" i="53"/>
  <c r="C24" i="53"/>
  <c r="C25" i="53"/>
  <c r="C26" i="53"/>
  <c r="C27" i="53"/>
  <c r="C28" i="53"/>
  <c r="C29" i="53"/>
  <c r="C30" i="53"/>
  <c r="C31" i="53"/>
  <c r="C32" i="53"/>
  <c r="C33" i="53"/>
  <c r="C34" i="53"/>
  <c r="C35" i="53"/>
  <c r="C36" i="53"/>
  <c r="B20" i="52"/>
  <c r="E20" i="52"/>
  <c r="E31" i="52"/>
  <c r="E32" i="52"/>
  <c r="E33" i="52"/>
  <c r="B34" i="52"/>
  <c r="B60" i="51"/>
  <c r="B8" i="50"/>
  <c r="B9" i="50"/>
  <c r="B10" i="50"/>
  <c r="B11" i="50"/>
  <c r="B12" i="50"/>
  <c r="B13" i="50"/>
  <c r="B14" i="50"/>
  <c r="B15" i="50"/>
  <c r="B16" i="50"/>
  <c r="B17" i="50"/>
  <c r="B18" i="50"/>
  <c r="B19" i="50"/>
  <c r="B20" i="50"/>
  <c r="C9" i="49" s="1"/>
  <c r="B21" i="50"/>
  <c r="C10" i="49" s="1"/>
  <c r="B22" i="50"/>
  <c r="C11" i="49" s="1"/>
  <c r="B23" i="50"/>
  <c r="C12" i="49" s="1"/>
  <c r="B24" i="50"/>
  <c r="C13" i="49" s="1"/>
  <c r="B25" i="50"/>
  <c r="C14" i="49" s="1"/>
  <c r="B26" i="50"/>
  <c r="C15" i="49" s="1"/>
  <c r="B27" i="50"/>
  <c r="C16" i="49" s="1"/>
  <c r="B28" i="50"/>
  <c r="C17" i="49" s="1"/>
  <c r="B29" i="50"/>
  <c r="C18" i="49" s="1"/>
  <c r="B30" i="50"/>
  <c r="C19" i="49" s="1"/>
  <c r="B31" i="50"/>
  <c r="C20" i="49" s="1"/>
  <c r="B32" i="50"/>
  <c r="C21" i="49" s="1"/>
  <c r="B33" i="50"/>
  <c r="C22" i="49" s="1"/>
  <c r="B34" i="50"/>
  <c r="C23" i="49" s="1"/>
  <c r="B35" i="50"/>
  <c r="C24" i="49" s="1"/>
  <c r="B36" i="50"/>
  <c r="C25" i="49" s="1"/>
  <c r="B37" i="50"/>
  <c r="C26" i="49" s="1"/>
  <c r="B38" i="50"/>
  <c r="C27" i="49" s="1"/>
  <c r="B39" i="50"/>
  <c r="C28" i="49" s="1"/>
  <c r="B40" i="50"/>
  <c r="C29" i="49" s="1"/>
  <c r="B41" i="50"/>
  <c r="C30" i="49" s="1"/>
  <c r="B42" i="50"/>
  <c r="C31" i="49" s="1"/>
  <c r="B43" i="50"/>
  <c r="C32" i="49" s="1"/>
  <c r="B44" i="50"/>
  <c r="C33" i="49" s="1"/>
  <c r="B45" i="50"/>
  <c r="C34" i="49" s="1"/>
  <c r="B46" i="50"/>
  <c r="B47" i="50"/>
  <c r="C36" i="49" s="1"/>
  <c r="B48" i="50"/>
  <c r="C37" i="49" s="1"/>
  <c r="B49" i="50"/>
  <c r="C38" i="49" s="1"/>
  <c r="B50" i="50"/>
  <c r="C39" i="49" s="1"/>
  <c r="B51" i="50"/>
  <c r="C40" i="49" s="1"/>
  <c r="B52" i="50"/>
  <c r="C41" i="49" s="1"/>
  <c r="B53" i="50"/>
  <c r="C42" i="49" s="1"/>
  <c r="B54" i="50"/>
  <c r="C43" i="49" s="1"/>
  <c r="B55" i="50"/>
  <c r="C44" i="49" s="1"/>
  <c r="B56" i="50"/>
  <c r="C45" i="49" s="1"/>
  <c r="A10" i="49"/>
  <c r="A11" i="49" s="1"/>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8" i="49" s="1"/>
  <c r="A49" i="49" s="1"/>
  <c r="C53" i="48"/>
  <c r="B54" i="48"/>
  <c r="C101" i="48"/>
  <c r="B102" i="48"/>
  <c r="B106" i="48"/>
  <c r="B107" i="48"/>
  <c r="B108" i="48"/>
  <c r="B109" i="48"/>
  <c r="B110" i="48"/>
  <c r="B111" i="48"/>
  <c r="B112" i="48"/>
  <c r="B113" i="48"/>
  <c r="B114" i="48"/>
  <c r="B115" i="48"/>
  <c r="B116" i="48"/>
  <c r="B117" i="48"/>
  <c r="B118" i="48"/>
  <c r="B119" i="48"/>
  <c r="B120" i="48"/>
  <c r="B121" i="48"/>
  <c r="B122" i="48"/>
  <c r="B123" i="48"/>
  <c r="B124" i="48"/>
  <c r="B125" i="48"/>
  <c r="B126" i="48"/>
  <c r="B127" i="48"/>
  <c r="B128" i="48"/>
  <c r="B129" i="48"/>
  <c r="B130" i="48"/>
  <c r="B131" i="48"/>
  <c r="B132" i="48"/>
  <c r="B133" i="48"/>
  <c r="B134" i="48"/>
  <c r="B135" i="48"/>
  <c r="B136" i="48"/>
  <c r="B137" i="48"/>
  <c r="B138" i="48"/>
  <c r="B139" i="48"/>
  <c r="B140" i="48"/>
  <c r="B141" i="48"/>
  <c r="B142" i="48"/>
  <c r="B143" i="48"/>
  <c r="B144" i="48"/>
  <c r="B145" i="48"/>
  <c r="B146" i="48"/>
  <c r="B147" i="48"/>
  <c r="B148" i="48"/>
  <c r="B149" i="48"/>
  <c r="G11" i="47"/>
  <c r="G12" i="47"/>
  <c r="G13" i="47"/>
  <c r="G14" i="47"/>
  <c r="G15" i="47"/>
  <c r="G16" i="47"/>
  <c r="G17" i="47"/>
  <c r="G18" i="47"/>
  <c r="G19" i="47"/>
  <c r="G20" i="47"/>
  <c r="G21" i="47"/>
  <c r="G22" i="47"/>
  <c r="C9" i="46" s="1"/>
  <c r="G23" i="47"/>
  <c r="C10" i="46" s="1"/>
  <c r="G24" i="47"/>
  <c r="C11" i="46" s="1"/>
  <c r="G25" i="47"/>
  <c r="G26" i="47"/>
  <c r="C13" i="46" s="1"/>
  <c r="G27" i="47"/>
  <c r="C14" i="46" s="1"/>
  <c r="G28" i="47"/>
  <c r="C15" i="46" s="1"/>
  <c r="G29" i="47"/>
  <c r="C16" i="46" s="1"/>
  <c r="G30" i="47"/>
  <c r="C17" i="46" s="1"/>
  <c r="G31" i="47"/>
  <c r="C18" i="46" s="1"/>
  <c r="G32" i="47"/>
  <c r="C19" i="46" s="1"/>
  <c r="G33" i="47"/>
  <c r="C20" i="46" s="1"/>
  <c r="G34" i="47"/>
  <c r="C21" i="46" s="1"/>
  <c r="G35" i="47"/>
  <c r="C22" i="46" s="1"/>
  <c r="G36" i="47"/>
  <c r="C23" i="46" s="1"/>
  <c r="G37" i="47"/>
  <c r="C24" i="46" s="1"/>
  <c r="G38" i="47"/>
  <c r="C25" i="46" s="1"/>
  <c r="G39" i="47"/>
  <c r="C26" i="46" s="1"/>
  <c r="G40" i="47"/>
  <c r="C27" i="46" s="1"/>
  <c r="G41" i="47"/>
  <c r="C28" i="46" s="1"/>
  <c r="G42" i="47"/>
  <c r="C29" i="46" s="1"/>
  <c r="G43" i="47"/>
  <c r="C30" i="46" s="1"/>
  <c r="G44" i="47"/>
  <c r="C31" i="46" s="1"/>
  <c r="G45" i="47"/>
  <c r="C32" i="46" s="1"/>
  <c r="G46" i="47"/>
  <c r="C33" i="46" s="1"/>
  <c r="G47" i="47"/>
  <c r="C34" i="46" s="1"/>
  <c r="G48" i="47"/>
  <c r="C35" i="46" s="1"/>
  <c r="G49" i="47"/>
  <c r="C36" i="46" s="1"/>
  <c r="G50" i="47"/>
  <c r="C37" i="46" s="1"/>
  <c r="G51" i="47"/>
  <c r="C38" i="46" s="1"/>
  <c r="G52" i="47"/>
  <c r="C39" i="46" s="1"/>
  <c r="G53" i="47"/>
  <c r="C40" i="46" s="1"/>
  <c r="G54" i="47"/>
  <c r="C41" i="46" s="1"/>
  <c r="G55" i="47"/>
  <c r="C42" i="46" s="1"/>
  <c r="G56" i="47"/>
  <c r="C43" i="46" s="1"/>
  <c r="G57" i="47"/>
  <c r="C44" i="46" s="1"/>
  <c r="B58" i="47"/>
  <c r="C58" i="47"/>
  <c r="D58" i="47"/>
  <c r="E58" i="47"/>
  <c r="F58" i="47"/>
  <c r="G61" i="47"/>
  <c r="G62" i="47"/>
  <c r="G63" i="47"/>
  <c r="G64" i="47"/>
  <c r="G65" i="47"/>
  <c r="G66" i="47"/>
  <c r="G67" i="47"/>
  <c r="G68" i="47"/>
  <c r="G69" i="47"/>
  <c r="G70" i="47"/>
  <c r="G71" i="47"/>
  <c r="G72" i="47"/>
  <c r="G73" i="47"/>
  <c r="D9" i="46" s="1"/>
  <c r="G74" i="47"/>
  <c r="D10" i="46" s="1"/>
  <c r="G75" i="47"/>
  <c r="D11" i="46" s="1"/>
  <c r="G76" i="47"/>
  <c r="D12" i="46" s="1"/>
  <c r="G77" i="47"/>
  <c r="D13" i="46" s="1"/>
  <c r="G78" i="47"/>
  <c r="D14" i="46" s="1"/>
  <c r="G79" i="47"/>
  <c r="D15" i="46" s="1"/>
  <c r="G80" i="47"/>
  <c r="D16" i="46" s="1"/>
  <c r="G81" i="47"/>
  <c r="D17" i="46" s="1"/>
  <c r="G82" i="47"/>
  <c r="D18" i="46" s="1"/>
  <c r="G83" i="47"/>
  <c r="D19" i="46" s="1"/>
  <c r="G84" i="47"/>
  <c r="D20" i="46" s="1"/>
  <c r="G85" i="47"/>
  <c r="D21" i="46" s="1"/>
  <c r="G86" i="47"/>
  <c r="D22" i="46" s="1"/>
  <c r="G87" i="47"/>
  <c r="D23" i="46" s="1"/>
  <c r="G88" i="47"/>
  <c r="D24" i="46" s="1"/>
  <c r="G89" i="47"/>
  <c r="D25" i="46" s="1"/>
  <c r="G90" i="47"/>
  <c r="D26" i="46" s="1"/>
  <c r="G91" i="47"/>
  <c r="D27" i="46" s="1"/>
  <c r="G92" i="47"/>
  <c r="D28" i="46" s="1"/>
  <c r="G93" i="47"/>
  <c r="D29" i="46" s="1"/>
  <c r="G94" i="47"/>
  <c r="D30" i="46" s="1"/>
  <c r="G95" i="47"/>
  <c r="D31" i="46" s="1"/>
  <c r="G96" i="47"/>
  <c r="D32" i="46" s="1"/>
  <c r="G97" i="47"/>
  <c r="D33" i="46" s="1"/>
  <c r="G98" i="47"/>
  <c r="D34" i="46" s="1"/>
  <c r="G99" i="47"/>
  <c r="D35" i="46" s="1"/>
  <c r="G100" i="47"/>
  <c r="D36" i="46" s="1"/>
  <c r="G101" i="47"/>
  <c r="D37" i="46" s="1"/>
  <c r="G102" i="47"/>
  <c r="D38" i="46" s="1"/>
  <c r="G103" i="47"/>
  <c r="D39" i="46" s="1"/>
  <c r="G104" i="47"/>
  <c r="D40" i="46" s="1"/>
  <c r="G105" i="47"/>
  <c r="D41" i="46" s="1"/>
  <c r="G106" i="47"/>
  <c r="D42" i="46" s="1"/>
  <c r="G107" i="47"/>
  <c r="D43" i="46" s="1"/>
  <c r="G108" i="47"/>
  <c r="D44" i="46" s="1"/>
  <c r="B109" i="47"/>
  <c r="C109" i="47"/>
  <c r="D109" i="47"/>
  <c r="E109" i="47"/>
  <c r="F109" i="47"/>
  <c r="G113" i="47"/>
  <c r="G114" i="47"/>
  <c r="G115" i="47"/>
  <c r="G116" i="47"/>
  <c r="G117" i="47"/>
  <c r="G118" i="47"/>
  <c r="G119" i="47"/>
  <c r="G120" i="47"/>
  <c r="G121" i="47"/>
  <c r="G122" i="47"/>
  <c r="G123" i="47"/>
  <c r="G124"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B160" i="47"/>
  <c r="C160" i="47"/>
  <c r="D160" i="47"/>
  <c r="E160" i="47"/>
  <c r="F160" i="47"/>
  <c r="G9" i="46"/>
  <c r="H9" i="46"/>
  <c r="A10" i="46"/>
  <c r="A11" i="46" s="1"/>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7" i="46" s="1"/>
  <c r="G10" i="46"/>
  <c r="H10" i="46"/>
  <c r="G11" i="46"/>
  <c r="H11" i="46"/>
  <c r="G12" i="46"/>
  <c r="H12" i="46"/>
  <c r="G13" i="46"/>
  <c r="H13" i="46"/>
  <c r="G14" i="46"/>
  <c r="H14" i="46"/>
  <c r="G15" i="46"/>
  <c r="H15" i="46"/>
  <c r="G16" i="46"/>
  <c r="H16" i="46"/>
  <c r="G17" i="46"/>
  <c r="H17" i="46"/>
  <c r="G18" i="46"/>
  <c r="H18" i="46"/>
  <c r="G19" i="46"/>
  <c r="H19" i="46"/>
  <c r="G20" i="46"/>
  <c r="H20" i="46"/>
  <c r="G21" i="46"/>
  <c r="H21" i="46"/>
  <c r="G22" i="46"/>
  <c r="H22" i="46"/>
  <c r="G23" i="46"/>
  <c r="H23" i="46"/>
  <c r="G24" i="46"/>
  <c r="H24" i="46"/>
  <c r="G25" i="46"/>
  <c r="H25" i="46"/>
  <c r="G26" i="46"/>
  <c r="H26" i="46"/>
  <c r="G27" i="46"/>
  <c r="H27" i="46"/>
  <c r="G28" i="46"/>
  <c r="H28" i="46"/>
  <c r="G29" i="46"/>
  <c r="H29" i="46"/>
  <c r="G30" i="46"/>
  <c r="H30" i="46"/>
  <c r="G31" i="46"/>
  <c r="H31" i="46"/>
  <c r="G32" i="46"/>
  <c r="H32" i="46"/>
  <c r="G33" i="46"/>
  <c r="H33" i="46"/>
  <c r="G34" i="46"/>
  <c r="H34" i="46"/>
  <c r="G35" i="46"/>
  <c r="H35" i="46"/>
  <c r="G36" i="46"/>
  <c r="H36" i="46"/>
  <c r="G37" i="46"/>
  <c r="H37" i="46"/>
  <c r="G38" i="46"/>
  <c r="H38" i="46"/>
  <c r="G39" i="46"/>
  <c r="H39" i="46"/>
  <c r="G40" i="46"/>
  <c r="H40" i="46"/>
  <c r="G41" i="46"/>
  <c r="H41" i="46"/>
  <c r="G42" i="46"/>
  <c r="H42" i="46"/>
  <c r="G43" i="46"/>
  <c r="H43" i="46"/>
  <c r="G44" i="46"/>
  <c r="H44" i="46"/>
  <c r="B19" i="45"/>
  <c r="C19" i="45"/>
  <c r="H19" i="45"/>
  <c r="I19" i="45"/>
  <c r="C20" i="45"/>
  <c r="I20" i="45"/>
  <c r="C22" i="45"/>
  <c r="I22" i="45"/>
  <c r="C24" i="45"/>
  <c r="I24" i="45"/>
  <c r="C29" i="45"/>
  <c r="I29" i="45"/>
  <c r="C30" i="45"/>
  <c r="I30" i="45"/>
  <c r="C39" i="45"/>
  <c r="I39" i="45"/>
  <c r="C40" i="45"/>
  <c r="I40" i="45"/>
  <c r="C42" i="45"/>
  <c r="I42" i="45"/>
  <c r="C43" i="45"/>
  <c r="I43" i="45"/>
  <c r="C21" i="54" l="1"/>
  <c r="D15" i="53" s="1"/>
  <c r="F15" i="53" s="1"/>
  <c r="C12" i="54"/>
  <c r="I44" i="46"/>
  <c r="I31" i="46"/>
  <c r="I9" i="46"/>
  <c r="I19" i="46"/>
  <c r="I24" i="46"/>
  <c r="I15" i="46"/>
  <c r="I13" i="46"/>
  <c r="I34" i="46"/>
  <c r="I39" i="46"/>
  <c r="I36" i="46"/>
  <c r="C11" i="54"/>
  <c r="C9" i="54"/>
  <c r="E22" i="46"/>
  <c r="I14" i="46"/>
  <c r="B150" i="48"/>
  <c r="I42" i="46"/>
  <c r="I27" i="46"/>
  <c r="C40" i="54"/>
  <c r="D34" i="53" s="1"/>
  <c r="F34" i="53" s="1"/>
  <c r="I18" i="46"/>
  <c r="E34" i="52"/>
  <c r="E38" i="52" s="1"/>
  <c r="C39" i="54"/>
  <c r="D33" i="53" s="1"/>
  <c r="F33" i="53" s="1"/>
  <c r="C38" i="54"/>
  <c r="D32" i="53" s="1"/>
  <c r="F32" i="53" s="1"/>
  <c r="C37" i="54"/>
  <c r="D31" i="53" s="1"/>
  <c r="F31" i="53" s="1"/>
  <c r="C36" i="54"/>
  <c r="D30" i="53" s="1"/>
  <c r="F30" i="53" s="1"/>
  <c r="I30" i="46"/>
  <c r="C35" i="54"/>
  <c r="D29" i="53" s="1"/>
  <c r="E29" i="53" s="1"/>
  <c r="I21" i="46"/>
  <c r="I16" i="46"/>
  <c r="E40" i="46"/>
  <c r="E28" i="46"/>
  <c r="E16" i="46"/>
  <c r="E33" i="46"/>
  <c r="C27" i="54"/>
  <c r="D21" i="53" s="1"/>
  <c r="F21" i="53" s="1"/>
  <c r="E23" i="46"/>
  <c r="I25" i="46"/>
  <c r="C14" i="54"/>
  <c r="E25" i="46"/>
  <c r="I32" i="46"/>
  <c r="C13" i="54"/>
  <c r="I43" i="46"/>
  <c r="I38" i="46"/>
  <c r="I12" i="46"/>
  <c r="E39" i="46"/>
  <c r="E27" i="46"/>
  <c r="E15" i="46"/>
  <c r="E44" i="46"/>
  <c r="C26" i="54"/>
  <c r="D20" i="53" s="1"/>
  <c r="E20" i="53" s="1"/>
  <c r="I41" i="46"/>
  <c r="E34" i="46"/>
  <c r="I11" i="46"/>
  <c r="G160" i="47"/>
  <c r="E38" i="46"/>
  <c r="E26" i="46"/>
  <c r="C25" i="54"/>
  <c r="D19" i="53" s="1"/>
  <c r="F19" i="53" s="1"/>
  <c r="I26" i="46"/>
  <c r="I22" i="46"/>
  <c r="E37" i="46"/>
  <c r="E13" i="46"/>
  <c r="E30" i="46"/>
  <c r="C24" i="54"/>
  <c r="D18" i="53" s="1"/>
  <c r="F18" i="53" s="1"/>
  <c r="K11" i="56"/>
  <c r="H15" i="55" s="1"/>
  <c r="H17" i="55" s="1"/>
  <c r="H18" i="55" s="1"/>
  <c r="I35" i="46"/>
  <c r="E41" i="46"/>
  <c r="E29" i="46"/>
  <c r="C23" i="54"/>
  <c r="D17" i="53" s="1"/>
  <c r="F17" i="53" s="1"/>
  <c r="E20" i="46"/>
  <c r="E11" i="46"/>
  <c r="E10" i="46"/>
  <c r="C33" i="54"/>
  <c r="D27" i="53" s="1"/>
  <c r="F27" i="53" s="1"/>
  <c r="C20" i="54"/>
  <c r="D14" i="53" s="1"/>
  <c r="F14" i="53" s="1"/>
  <c r="I37" i="46"/>
  <c r="E32" i="46"/>
  <c r="I29" i="46"/>
  <c r="E21" i="46"/>
  <c r="C32" i="54"/>
  <c r="D26" i="53" s="1"/>
  <c r="C19" i="54"/>
  <c r="D13" i="53" s="1"/>
  <c r="F13" i="53" s="1"/>
  <c r="I23" i="46"/>
  <c r="E9" i="46"/>
  <c r="C31" i="54"/>
  <c r="D25" i="53" s="1"/>
  <c r="E25" i="53" s="1"/>
  <c r="C18" i="54"/>
  <c r="D12" i="53" s="1"/>
  <c r="E43" i="46"/>
  <c r="E31" i="46"/>
  <c r="E19" i="46"/>
  <c r="C30" i="54"/>
  <c r="D24" i="53" s="1"/>
  <c r="F24" i="53" s="1"/>
  <c r="C17" i="54"/>
  <c r="D11" i="53" s="1"/>
  <c r="F11" i="53" s="1"/>
  <c r="E14" i="46"/>
  <c r="H45" i="46"/>
  <c r="E42" i="46"/>
  <c r="C42" i="54"/>
  <c r="D36" i="53" s="1"/>
  <c r="F36" i="53" s="1"/>
  <c r="C29" i="54"/>
  <c r="D23" i="53" s="1"/>
  <c r="F23" i="53" s="1"/>
  <c r="C16" i="54"/>
  <c r="D10" i="53" s="1"/>
  <c r="G45" i="46"/>
  <c r="E17" i="46"/>
  <c r="I28" i="46"/>
  <c r="I20" i="46"/>
  <c r="I17" i="46"/>
  <c r="C41" i="54"/>
  <c r="D35" i="53" s="1"/>
  <c r="C28" i="54"/>
  <c r="D22" i="53" s="1"/>
  <c r="F22" i="53" s="1"/>
  <c r="C15" i="54"/>
  <c r="E18" i="46"/>
  <c r="D45" i="46"/>
  <c r="I10" i="46"/>
  <c r="H159" i="47"/>
  <c r="C12" i="46"/>
  <c r="C45" i="46" s="1"/>
  <c r="H57" i="47"/>
  <c r="E24" i="46"/>
  <c r="I14" i="58"/>
  <c r="I16" i="58" s="1"/>
  <c r="G14" i="58"/>
  <c r="G16" i="58" s="1"/>
  <c r="G18" i="58" s="1"/>
  <c r="E72" i="56"/>
  <c r="I40" i="46"/>
  <c r="E36" i="46"/>
  <c r="B57" i="50"/>
  <c r="D43" i="50" s="1"/>
  <c r="G109" i="47"/>
  <c r="C37" i="53"/>
  <c r="H108" i="47"/>
  <c r="C35" i="49"/>
  <c r="C46" i="49" s="1"/>
  <c r="B59" i="50"/>
  <c r="E35" i="46"/>
  <c r="I33" i="46"/>
  <c r="C149" i="48"/>
  <c r="G58" i="47"/>
  <c r="B38" i="52"/>
  <c r="C34" i="54"/>
  <c r="D28" i="53" s="1"/>
  <c r="C22" i="54"/>
  <c r="D16" i="53" s="1"/>
  <c r="E15" i="53" l="1"/>
  <c r="K9" i="46"/>
  <c r="B9" i="45" s="1"/>
  <c r="E34" i="53"/>
  <c r="K15" i="46"/>
  <c r="L15" i="46" s="1"/>
  <c r="K13" i="46"/>
  <c r="L13" i="46" s="1"/>
  <c r="K18" i="46"/>
  <c r="L18" i="46" s="1"/>
  <c r="K24" i="46"/>
  <c r="L24" i="46" s="1"/>
  <c r="K34" i="46"/>
  <c r="L34" i="46" s="1"/>
  <c r="K19" i="46"/>
  <c r="L19" i="46" s="1"/>
  <c r="K31" i="46"/>
  <c r="L31" i="46" s="1"/>
  <c r="K25" i="46"/>
  <c r="L25" i="46" s="1"/>
  <c r="K44" i="46"/>
  <c r="L44" i="46" s="1"/>
  <c r="E31" i="53"/>
  <c r="K35" i="46"/>
  <c r="L35" i="46" s="1"/>
  <c r="E30" i="53"/>
  <c r="K14" i="46"/>
  <c r="L14" i="46" s="1"/>
  <c r="K36" i="46"/>
  <c r="L36" i="46" s="1"/>
  <c r="K22" i="46"/>
  <c r="L22" i="46" s="1"/>
  <c r="K40" i="46"/>
  <c r="L40" i="46" s="1"/>
  <c r="K39" i="46"/>
  <c r="L39" i="46" s="1"/>
  <c r="E21" i="53"/>
  <c r="K11" i="46"/>
  <c r="L11" i="46" s="1"/>
  <c r="K28" i="46"/>
  <c r="L28" i="46" s="1"/>
  <c r="K10" i="46"/>
  <c r="L10" i="46" s="1"/>
  <c r="K38" i="46"/>
  <c r="L38" i="46" s="1"/>
  <c r="K27" i="46"/>
  <c r="L27" i="46" s="1"/>
  <c r="K33" i="46"/>
  <c r="L33" i="46" s="1"/>
  <c r="E32" i="53"/>
  <c r="E33" i="53"/>
  <c r="F25" i="53"/>
  <c r="K23" i="46"/>
  <c r="L23" i="46" s="1"/>
  <c r="K37" i="46"/>
  <c r="L37" i="46" s="1"/>
  <c r="K16" i="46"/>
  <c r="B16" i="45" s="1"/>
  <c r="K26" i="46"/>
  <c r="L26" i="46" s="1"/>
  <c r="K43" i="46"/>
  <c r="L43" i="46" s="1"/>
  <c r="K42" i="46"/>
  <c r="L42" i="46" s="1"/>
  <c r="F20" i="53"/>
  <c r="C20" i="50"/>
  <c r="D40" i="50"/>
  <c r="F29" i="53"/>
  <c r="K29" i="46"/>
  <c r="L29" i="46" s="1"/>
  <c r="K21" i="46"/>
  <c r="L21" i="46" s="1"/>
  <c r="C14" i="50"/>
  <c r="G16" i="50"/>
  <c r="E19" i="53"/>
  <c r="K30" i="46"/>
  <c r="L30" i="46" s="1"/>
  <c r="G22" i="50"/>
  <c r="D56" i="50"/>
  <c r="D11" i="50"/>
  <c r="C8" i="50"/>
  <c r="H11" i="50"/>
  <c r="G10" i="50"/>
  <c r="H35" i="50"/>
  <c r="D48" i="50"/>
  <c r="D36" i="50"/>
  <c r="G49" i="50"/>
  <c r="C43" i="50"/>
  <c r="E43" i="50" s="1"/>
  <c r="H20" i="50"/>
  <c r="D19" i="50"/>
  <c r="D42" i="50"/>
  <c r="H26" i="50"/>
  <c r="D25" i="50"/>
  <c r="G29" i="50"/>
  <c r="C46" i="50"/>
  <c r="H9" i="50"/>
  <c r="D13" i="50"/>
  <c r="E24" i="53"/>
  <c r="G23" i="50"/>
  <c r="G20" i="50"/>
  <c r="E13" i="53"/>
  <c r="G18" i="50"/>
  <c r="H17" i="50"/>
  <c r="G15" i="50"/>
  <c r="H31" i="50"/>
  <c r="K32" i="46"/>
  <c r="L32" i="46" s="1"/>
  <c r="K41" i="46"/>
  <c r="L41" i="46" s="1"/>
  <c r="H41" i="50"/>
  <c r="E18" i="53"/>
  <c r="H32" i="50"/>
  <c r="C26" i="50"/>
  <c r="G47" i="50"/>
  <c r="D45" i="50"/>
  <c r="E11" i="53"/>
  <c r="E17" i="53"/>
  <c r="E22" i="53"/>
  <c r="K17" i="46"/>
  <c r="L17" i="46" s="1"/>
  <c r="F26" i="53"/>
  <c r="E26" i="53"/>
  <c r="E23" i="53"/>
  <c r="F35" i="53"/>
  <c r="E35" i="53"/>
  <c r="E36" i="53"/>
  <c r="K20" i="46"/>
  <c r="L20" i="46" s="1"/>
  <c r="F12" i="53"/>
  <c r="E12" i="53"/>
  <c r="E27" i="53"/>
  <c r="E14" i="53"/>
  <c r="H12" i="50"/>
  <c r="D20" i="50"/>
  <c r="G31" i="50"/>
  <c r="F16" i="53"/>
  <c r="E16" i="53"/>
  <c r="C43" i="54"/>
  <c r="H14" i="50"/>
  <c r="H37" i="50"/>
  <c r="H47" i="50"/>
  <c r="D46" i="50"/>
  <c r="D24" i="50"/>
  <c r="D27" i="50"/>
  <c r="G27" i="50"/>
  <c r="G55" i="50"/>
  <c r="G24" i="50"/>
  <c r="G33" i="50"/>
  <c r="C34" i="50"/>
  <c r="H40" i="50"/>
  <c r="H24" i="50"/>
  <c r="H51" i="50"/>
  <c r="I17" i="58"/>
  <c r="I18" i="58" s="1"/>
  <c r="K18" i="58" s="1"/>
  <c r="D26" i="50"/>
  <c r="D18" i="50"/>
  <c r="H42" i="50"/>
  <c r="L9" i="46"/>
  <c r="D17" i="50"/>
  <c r="H22" i="50"/>
  <c r="C33" i="50"/>
  <c r="G35" i="50"/>
  <c r="G21" i="50"/>
  <c r="D39" i="50"/>
  <c r="H36" i="50"/>
  <c r="H23" i="50"/>
  <c r="H53" i="50"/>
  <c r="H45" i="50"/>
  <c r="D51" i="50"/>
  <c r="D23" i="50"/>
  <c r="D12" i="50"/>
  <c r="C56" i="50"/>
  <c r="D38" i="50"/>
  <c r="C25" i="50"/>
  <c r="F10" i="53"/>
  <c r="D37" i="53"/>
  <c r="H12" i="55" s="1"/>
  <c r="E10" i="53"/>
  <c r="G32" i="50"/>
  <c r="G52" i="50"/>
  <c r="D44" i="50"/>
  <c r="G39" i="50"/>
  <c r="H49" i="50"/>
  <c r="H30" i="50"/>
  <c r="H39" i="50"/>
  <c r="D22" i="50"/>
  <c r="D52" i="50"/>
  <c r="D55" i="50"/>
  <c r="C50" i="50"/>
  <c r="H54" i="50"/>
  <c r="D33" i="50"/>
  <c r="G37" i="50"/>
  <c r="G12" i="50"/>
  <c r="G46" i="50"/>
  <c r="D47" i="50"/>
  <c r="D50" i="50"/>
  <c r="H46" i="50"/>
  <c r="H56" i="50"/>
  <c r="H33" i="50"/>
  <c r="D28" i="50"/>
  <c r="D32" i="50"/>
  <c r="D49" i="50"/>
  <c r="C21" i="50"/>
  <c r="C45" i="54"/>
  <c r="G44" i="50"/>
  <c r="G17" i="50"/>
  <c r="C55" i="50"/>
  <c r="H50" i="50"/>
  <c r="D8" i="50"/>
  <c r="C23" i="50"/>
  <c r="C17" i="50"/>
  <c r="C40" i="50"/>
  <c r="C49" i="50"/>
  <c r="C11" i="50"/>
  <c r="C28" i="50"/>
  <c r="C37" i="50"/>
  <c r="C22" i="50"/>
  <c r="C31" i="50"/>
  <c r="C51" i="50"/>
  <c r="C54" i="50"/>
  <c r="C16" i="50"/>
  <c r="C45" i="50"/>
  <c r="C48" i="50"/>
  <c r="C30" i="50"/>
  <c r="C41" i="50"/>
  <c r="C18" i="50"/>
  <c r="G45" i="50"/>
  <c r="G13" i="50"/>
  <c r="G11" i="50"/>
  <c r="G19" i="50"/>
  <c r="C36" i="50"/>
  <c r="D10" i="50"/>
  <c r="C35" i="50"/>
  <c r="C39" i="50"/>
  <c r="C47" i="50"/>
  <c r="C52" i="50"/>
  <c r="C53" i="50"/>
  <c r="G25" i="50"/>
  <c r="G30" i="50"/>
  <c r="C13" i="50"/>
  <c r="G56" i="50"/>
  <c r="C24" i="50"/>
  <c r="H48" i="50"/>
  <c r="G51" i="50"/>
  <c r="G8" i="50"/>
  <c r="C27" i="50"/>
  <c r="C9" i="50"/>
  <c r="G36" i="50"/>
  <c r="C42" i="50"/>
  <c r="C12" i="50"/>
  <c r="C15" i="50"/>
  <c r="H10" i="50"/>
  <c r="C10" i="50"/>
  <c r="D15" i="50"/>
  <c r="G42" i="50"/>
  <c r="G50" i="50"/>
  <c r="G53" i="50"/>
  <c r="D21" i="50"/>
  <c r="C19" i="50"/>
  <c r="D35" i="50"/>
  <c r="G54" i="50"/>
  <c r="D16" i="50"/>
  <c r="C29" i="50"/>
  <c r="G48" i="50"/>
  <c r="H13" i="50"/>
  <c r="H25" i="50"/>
  <c r="H18" i="50"/>
  <c r="D30" i="50"/>
  <c r="H16" i="50"/>
  <c r="G26" i="50"/>
  <c r="H43" i="50"/>
  <c r="C44" i="50"/>
  <c r="D41" i="50"/>
  <c r="G9" i="50"/>
  <c r="G40" i="50"/>
  <c r="D53" i="50"/>
  <c r="H29" i="50"/>
  <c r="H27" i="50"/>
  <c r="D29" i="50"/>
  <c r="C38" i="50"/>
  <c r="G14" i="50"/>
  <c r="G41" i="50"/>
  <c r="I41" i="50" s="1"/>
  <c r="G34" i="50"/>
  <c r="E12" i="46"/>
  <c r="H55" i="50"/>
  <c r="H44" i="50"/>
  <c r="H21" i="50"/>
  <c r="D34" i="50"/>
  <c r="D9" i="50"/>
  <c r="D37" i="50"/>
  <c r="I45" i="46"/>
  <c r="H9" i="55" s="1"/>
  <c r="F28" i="53"/>
  <c r="E28" i="53"/>
  <c r="H19" i="50"/>
  <c r="H28" i="50"/>
  <c r="H8" i="50"/>
  <c r="C32" i="50"/>
  <c r="G43" i="50"/>
  <c r="G38" i="50"/>
  <c r="G28" i="50"/>
  <c r="H52" i="50"/>
  <c r="H38" i="50"/>
  <c r="H15" i="50"/>
  <c r="D14" i="50"/>
  <c r="D54" i="50"/>
  <c r="D31" i="50"/>
  <c r="H34" i="50"/>
  <c r="B13" i="45" l="1"/>
  <c r="B40" i="45"/>
  <c r="B15" i="45"/>
  <c r="I15" i="50"/>
  <c r="K15" i="50" s="1"/>
  <c r="B14" i="45"/>
  <c r="B32" i="45"/>
  <c r="B45" i="45"/>
  <c r="I47" i="50"/>
  <c r="K47" i="50" s="1"/>
  <c r="B23" i="45"/>
  <c r="I31" i="50"/>
  <c r="G20" i="49" s="1"/>
  <c r="B24" i="45"/>
  <c r="E56" i="50"/>
  <c r="D45" i="49" s="1"/>
  <c r="E45" i="49" s="1"/>
  <c r="I22" i="50"/>
  <c r="G11" i="49" s="1"/>
  <c r="I17" i="50"/>
  <c r="K17" i="50" s="1"/>
  <c r="E20" i="50"/>
  <c r="F20" i="50" s="1"/>
  <c r="B34" i="45"/>
  <c r="B10" i="45"/>
  <c r="I20" i="50"/>
  <c r="K20" i="50" s="1"/>
  <c r="E19" i="50"/>
  <c r="F19" i="50" s="1"/>
  <c r="E25" i="50"/>
  <c r="F25" i="50" s="1"/>
  <c r="B43" i="45"/>
  <c r="I26" i="50"/>
  <c r="G15" i="49" s="1"/>
  <c r="B22" i="45"/>
  <c r="B38" i="45"/>
  <c r="B33" i="45"/>
  <c r="I12" i="50"/>
  <c r="K12" i="50" s="1"/>
  <c r="L16" i="46"/>
  <c r="H16" i="45" s="1"/>
  <c r="E11" i="50"/>
  <c r="F11" i="50" s="1"/>
  <c r="I11" i="50"/>
  <c r="K11" i="50" s="1"/>
  <c r="B39" i="45"/>
  <c r="E14" i="50"/>
  <c r="F14" i="50" s="1"/>
  <c r="I29" i="50"/>
  <c r="G18" i="49" s="1"/>
  <c r="E42" i="50"/>
  <c r="D31" i="49" s="1"/>
  <c r="E31" i="49" s="1"/>
  <c r="E40" i="50"/>
  <c r="F40" i="50" s="1"/>
  <c r="B27" i="45"/>
  <c r="I18" i="50"/>
  <c r="K18" i="50" s="1"/>
  <c r="E24" i="50"/>
  <c r="F24" i="50" s="1"/>
  <c r="I16" i="50"/>
  <c r="K16" i="50" s="1"/>
  <c r="E45" i="50"/>
  <c r="D34" i="49" s="1"/>
  <c r="E34" i="49" s="1"/>
  <c r="E36" i="50"/>
  <c r="D25" i="49" s="1"/>
  <c r="E25" i="49" s="1"/>
  <c r="I19" i="50"/>
  <c r="K19" i="50" s="1"/>
  <c r="E31" i="50"/>
  <c r="D20" i="49" s="1"/>
  <c r="E20" i="49" s="1"/>
  <c r="I49" i="50"/>
  <c r="G38" i="49" s="1"/>
  <c r="E38" i="50"/>
  <c r="D27" i="49" s="1"/>
  <c r="E27" i="49" s="1"/>
  <c r="E22" i="50"/>
  <c r="F22" i="50" s="1"/>
  <c r="I28" i="50"/>
  <c r="G17" i="49" s="1"/>
  <c r="I10" i="50"/>
  <c r="I56" i="50"/>
  <c r="I35" i="50"/>
  <c r="K35" i="50" s="1"/>
  <c r="I45" i="50"/>
  <c r="K45" i="50" s="1"/>
  <c r="I43" i="50"/>
  <c r="G32" i="49" s="1"/>
  <c r="I9" i="50"/>
  <c r="K9" i="50" s="1"/>
  <c r="I32" i="50"/>
  <c r="K32" i="50" s="1"/>
  <c r="I23" i="50"/>
  <c r="G12" i="49" s="1"/>
  <c r="E13" i="50"/>
  <c r="F13" i="50" s="1"/>
  <c r="B21" i="45"/>
  <c r="E48" i="50"/>
  <c r="F48" i="50" s="1"/>
  <c r="E26" i="50"/>
  <c r="E46" i="50"/>
  <c r="F46" i="50" s="1"/>
  <c r="E12" i="50"/>
  <c r="F12" i="50" s="1"/>
  <c r="E44" i="50"/>
  <c r="F44" i="50" s="1"/>
  <c r="C59" i="50"/>
  <c r="E17" i="50"/>
  <c r="F17" i="50" s="1"/>
  <c r="H59" i="50"/>
  <c r="I53" i="50"/>
  <c r="K53" i="50" s="1"/>
  <c r="F37" i="53"/>
  <c r="I21" i="50"/>
  <c r="K21" i="50" s="1"/>
  <c r="E50" i="50"/>
  <c r="F50" i="50" s="1"/>
  <c r="D59" i="50"/>
  <c r="I50" i="50"/>
  <c r="I51" i="50"/>
  <c r="G40" i="49" s="1"/>
  <c r="E54" i="50"/>
  <c r="F54" i="50" s="1"/>
  <c r="I27" i="50"/>
  <c r="G16" i="49" s="1"/>
  <c r="E37" i="53"/>
  <c r="E51" i="50"/>
  <c r="F51" i="50" s="1"/>
  <c r="E33" i="50"/>
  <c r="D22" i="49" s="1"/>
  <c r="E22" i="49" s="1"/>
  <c r="I48" i="50"/>
  <c r="E55" i="50"/>
  <c r="E32" i="50"/>
  <c r="I40" i="50"/>
  <c r="E29" i="50"/>
  <c r="E15" i="50"/>
  <c r="F15" i="50" s="1"/>
  <c r="I30" i="50"/>
  <c r="E28" i="50"/>
  <c r="E10" i="50"/>
  <c r="F10" i="50" s="1"/>
  <c r="E18" i="50"/>
  <c r="F18" i="50" s="1"/>
  <c r="G59" i="50"/>
  <c r="K12" i="46"/>
  <c r="E45" i="46"/>
  <c r="H8" i="55" s="1"/>
  <c r="I36" i="50"/>
  <c r="E52" i="50"/>
  <c r="E30" i="50"/>
  <c r="I46" i="50"/>
  <c r="I39" i="50"/>
  <c r="E34" i="50"/>
  <c r="I25" i="50"/>
  <c r="E53" i="50"/>
  <c r="E49" i="50"/>
  <c r="I34" i="50"/>
  <c r="E9" i="50"/>
  <c r="F9" i="50" s="1"/>
  <c r="E47" i="50"/>
  <c r="I33" i="50"/>
  <c r="D57" i="50"/>
  <c r="I38" i="50"/>
  <c r="I13" i="50"/>
  <c r="K21" i="58"/>
  <c r="K41" i="50"/>
  <c r="G30" i="49"/>
  <c r="E27" i="50"/>
  <c r="E39" i="50"/>
  <c r="E23" i="50"/>
  <c r="I37" i="50"/>
  <c r="I52" i="50"/>
  <c r="E8" i="50"/>
  <c r="F43" i="50"/>
  <c r="D32" i="49"/>
  <c r="E32" i="49" s="1"/>
  <c r="I24" i="50"/>
  <c r="I42" i="50"/>
  <c r="E37" i="50"/>
  <c r="H57" i="50"/>
  <c r="I44" i="50"/>
  <c r="I54" i="50"/>
  <c r="E41" i="50"/>
  <c r="I14" i="50"/>
  <c r="I8" i="50"/>
  <c r="G57" i="50"/>
  <c r="E35" i="50"/>
  <c r="E16" i="50"/>
  <c r="F16" i="50" s="1"/>
  <c r="E21" i="50"/>
  <c r="C57" i="50"/>
  <c r="I55" i="50"/>
  <c r="H28" i="45"/>
  <c r="B28" i="45"/>
  <c r="H44" i="45"/>
  <c r="B44" i="45"/>
  <c r="H18" i="45"/>
  <c r="B18" i="45"/>
  <c r="H25" i="45"/>
  <c r="B25" i="45"/>
  <c r="H31" i="45"/>
  <c r="B31" i="45"/>
  <c r="H41" i="45"/>
  <c r="B41" i="45"/>
  <c r="H35" i="45"/>
  <c r="B35" i="45"/>
  <c r="H42" i="45"/>
  <c r="B42" i="45"/>
  <c r="H11" i="45"/>
  <c r="B11" i="45"/>
  <c r="H26" i="45"/>
  <c r="B26" i="45"/>
  <c r="H29" i="45"/>
  <c r="B29" i="45"/>
  <c r="H36" i="45"/>
  <c r="B36" i="45"/>
  <c r="H20" i="45"/>
  <c r="B20" i="45"/>
  <c r="H17" i="45"/>
  <c r="B17" i="45"/>
  <c r="H37" i="45"/>
  <c r="B37" i="45"/>
  <c r="H30" i="45"/>
  <c r="B30" i="45"/>
  <c r="H45" i="45"/>
  <c r="H10" i="45"/>
  <c r="H14" i="45"/>
  <c r="H32" i="45"/>
  <c r="H24" i="45"/>
  <c r="H40" i="45"/>
  <c r="H22" i="45"/>
  <c r="H21" i="45"/>
  <c r="H34" i="45"/>
  <c r="H33" i="45"/>
  <c r="H9" i="45"/>
  <c r="H39" i="45"/>
  <c r="H23" i="45"/>
  <c r="H13" i="45"/>
  <c r="H43" i="45"/>
  <c r="H38" i="45"/>
  <c r="H27" i="45"/>
  <c r="H15" i="45"/>
  <c r="C41" i="45"/>
  <c r="C23" i="45"/>
  <c r="C45" i="45"/>
  <c r="J26" i="50" l="1"/>
  <c r="J20" i="50"/>
  <c r="J56" i="50"/>
  <c r="G9" i="49"/>
  <c r="J47" i="50"/>
  <c r="D9" i="49"/>
  <c r="E9" i="49" s="1"/>
  <c r="F45" i="50"/>
  <c r="G36" i="49"/>
  <c r="K22" i="50"/>
  <c r="F56" i="50"/>
  <c r="K31" i="50"/>
  <c r="F31" i="50"/>
  <c r="G42" i="49"/>
  <c r="J11" i="50"/>
  <c r="F36" i="50"/>
  <c r="J19" i="50"/>
  <c r="J43" i="50"/>
  <c r="D33" i="49"/>
  <c r="E33" i="49" s="1"/>
  <c r="K26" i="50"/>
  <c r="D14" i="49"/>
  <c r="E14" i="49" s="1"/>
  <c r="K49" i="50"/>
  <c r="D13" i="49"/>
  <c r="E13" i="49" s="1"/>
  <c r="J31" i="50"/>
  <c r="G10" i="49"/>
  <c r="G21" i="49"/>
  <c r="D40" i="49"/>
  <c r="E40" i="49" s="1"/>
  <c r="D29" i="49"/>
  <c r="E29" i="49" s="1"/>
  <c r="F38" i="50"/>
  <c r="K29" i="50"/>
  <c r="J29" i="50"/>
  <c r="K43" i="50"/>
  <c r="F33" i="50"/>
  <c r="F42" i="50"/>
  <c r="J16" i="50"/>
  <c r="D15" i="49"/>
  <c r="E15" i="49" s="1"/>
  <c r="F26" i="50"/>
  <c r="D11" i="49"/>
  <c r="E11" i="49" s="1"/>
  <c r="J49" i="50"/>
  <c r="K28" i="50"/>
  <c r="J45" i="50"/>
  <c r="J22" i="50"/>
  <c r="J10" i="50"/>
  <c r="K27" i="50"/>
  <c r="G24" i="49"/>
  <c r="J35" i="50"/>
  <c r="H32" i="49"/>
  <c r="I32" i="49" s="1"/>
  <c r="J32" i="49" s="1"/>
  <c r="G45" i="49"/>
  <c r="H45" i="49" s="1"/>
  <c r="I45" i="49" s="1"/>
  <c r="J45" i="49" s="1"/>
  <c r="J12" i="50"/>
  <c r="D35" i="49"/>
  <c r="E35" i="49" s="1"/>
  <c r="J28" i="50"/>
  <c r="K10" i="50"/>
  <c r="K56" i="50"/>
  <c r="G34" i="49"/>
  <c r="H34" i="49" s="1"/>
  <c r="I34" i="49" s="1"/>
  <c r="J34" i="49" s="1"/>
  <c r="D37" i="49"/>
  <c r="E37" i="49" s="1"/>
  <c r="J50" i="50"/>
  <c r="K50" i="50"/>
  <c r="G39" i="49"/>
  <c r="K23" i="50"/>
  <c r="K51" i="50"/>
  <c r="J51" i="50"/>
  <c r="D39" i="49"/>
  <c r="E39" i="49" s="1"/>
  <c r="D43" i="49"/>
  <c r="E43" i="49" s="1"/>
  <c r="J21" i="50"/>
  <c r="J15" i="50"/>
  <c r="J9" i="50"/>
  <c r="J17" i="50"/>
  <c r="J53" i="50"/>
  <c r="K23" i="58"/>
  <c r="P11" i="45" s="1"/>
  <c r="O11" i="45"/>
  <c r="K24" i="50"/>
  <c r="J24" i="50"/>
  <c r="G13" i="49"/>
  <c r="D28" i="49"/>
  <c r="E28" i="49" s="1"/>
  <c r="F39" i="50"/>
  <c r="G35" i="49"/>
  <c r="J46" i="50"/>
  <c r="K46" i="50"/>
  <c r="K30" i="50"/>
  <c r="J30" i="50"/>
  <c r="G19" i="49"/>
  <c r="D16" i="49"/>
  <c r="E16" i="49" s="1"/>
  <c r="F27" i="50"/>
  <c r="D36" i="49"/>
  <c r="E36" i="49" s="1"/>
  <c r="F47" i="50"/>
  <c r="D12" i="49"/>
  <c r="E12" i="49" s="1"/>
  <c r="F23" i="50"/>
  <c r="F34" i="50"/>
  <c r="D23" i="49"/>
  <c r="E23" i="49" s="1"/>
  <c r="J8" i="50"/>
  <c r="K8" i="50"/>
  <c r="I57" i="50"/>
  <c r="J39" i="50"/>
  <c r="G28" i="49"/>
  <c r="K39" i="50"/>
  <c r="G44" i="49"/>
  <c r="J55" i="50"/>
  <c r="K55" i="50"/>
  <c r="F29" i="50"/>
  <c r="D18" i="49"/>
  <c r="E18" i="49" s="1"/>
  <c r="J14" i="50"/>
  <c r="K14" i="50"/>
  <c r="E57" i="50"/>
  <c r="F8" i="50"/>
  <c r="J13" i="50"/>
  <c r="K13" i="50"/>
  <c r="G23" i="49"/>
  <c r="J34" i="50"/>
  <c r="K34" i="50"/>
  <c r="F30" i="50"/>
  <c r="D19" i="49"/>
  <c r="E19" i="49" s="1"/>
  <c r="I59" i="50"/>
  <c r="G29" i="49"/>
  <c r="J40" i="50"/>
  <c r="K40" i="50"/>
  <c r="F41" i="50"/>
  <c r="D30" i="49"/>
  <c r="E30" i="49" s="1"/>
  <c r="K42" i="50"/>
  <c r="J42" i="50"/>
  <c r="G31" i="49"/>
  <c r="H31" i="49" s="1"/>
  <c r="I31" i="49" s="1"/>
  <c r="J31" i="49" s="1"/>
  <c r="D41" i="49"/>
  <c r="E41" i="49" s="1"/>
  <c r="F52" i="50"/>
  <c r="F32" i="50"/>
  <c r="D21" i="49"/>
  <c r="E21" i="49" s="1"/>
  <c r="L12" i="46"/>
  <c r="K45" i="46"/>
  <c r="B12" i="45"/>
  <c r="B46" i="45" s="1"/>
  <c r="F37" i="50"/>
  <c r="D26" i="49"/>
  <c r="E26" i="49" s="1"/>
  <c r="K54" i="50"/>
  <c r="G43" i="49"/>
  <c r="J54" i="50"/>
  <c r="G26" i="49"/>
  <c r="K37" i="50"/>
  <c r="J37" i="50"/>
  <c r="D42" i="49"/>
  <c r="E42" i="49" s="1"/>
  <c r="F53" i="50"/>
  <c r="K36" i="50"/>
  <c r="J36" i="50"/>
  <c r="G25" i="49"/>
  <c r="H25" i="49" s="1"/>
  <c r="I25" i="49" s="1"/>
  <c r="J25" i="49" s="1"/>
  <c r="J32" i="50"/>
  <c r="G33" i="49"/>
  <c r="J44" i="50"/>
  <c r="K44" i="50"/>
  <c r="G14" i="49"/>
  <c r="J25" i="50"/>
  <c r="K25" i="50"/>
  <c r="J38" i="50"/>
  <c r="K38" i="50"/>
  <c r="G27" i="49"/>
  <c r="H27" i="49" s="1"/>
  <c r="I27" i="49" s="1"/>
  <c r="J27" i="49" s="1"/>
  <c r="F49" i="50"/>
  <c r="D38" i="49"/>
  <c r="E38" i="49" s="1"/>
  <c r="J33" i="50"/>
  <c r="K33" i="50"/>
  <c r="G22" i="49"/>
  <c r="H22" i="49" s="1"/>
  <c r="I22" i="49" s="1"/>
  <c r="J22" i="49" s="1"/>
  <c r="D10" i="49"/>
  <c r="E10" i="49" s="1"/>
  <c r="F21" i="50"/>
  <c r="E59" i="50"/>
  <c r="J41" i="50"/>
  <c r="F55" i="50"/>
  <c r="D44" i="49"/>
  <c r="E44" i="49" s="1"/>
  <c r="J23" i="50"/>
  <c r="J18" i="50"/>
  <c r="F35" i="50"/>
  <c r="D24" i="49"/>
  <c r="E24" i="49" s="1"/>
  <c r="G41" i="49"/>
  <c r="J52" i="50"/>
  <c r="K52" i="50"/>
  <c r="H20" i="49"/>
  <c r="I20" i="49" s="1"/>
  <c r="J20" i="49" s="1"/>
  <c r="J27" i="50"/>
  <c r="F28" i="50"/>
  <c r="D17" i="49"/>
  <c r="E17" i="49" s="1"/>
  <c r="K48" i="50"/>
  <c r="G37" i="49"/>
  <c r="J48" i="50"/>
  <c r="C16" i="45"/>
  <c r="C28" i="45"/>
  <c r="C13" i="45"/>
  <c r="C25" i="45"/>
  <c r="C38" i="45"/>
  <c r="C34" i="45"/>
  <c r="C17" i="45"/>
  <c r="C10" i="45"/>
  <c r="C11" i="45"/>
  <c r="C15" i="45"/>
  <c r="C9" i="45"/>
  <c r="C14" i="45"/>
  <c r="C21" i="45"/>
  <c r="C31" i="45"/>
  <c r="C27" i="45"/>
  <c r="C32" i="45"/>
  <c r="C37" i="45"/>
  <c r="I45" i="45"/>
  <c r="I41" i="45"/>
  <c r="I23" i="45"/>
  <c r="I16" i="45"/>
  <c r="H9" i="49" l="1"/>
  <c r="H14" i="49"/>
  <c r="I14" i="49" s="1"/>
  <c r="J14" i="49" s="1"/>
  <c r="H13" i="49"/>
  <c r="I13" i="49" s="1"/>
  <c r="J13" i="49" s="1"/>
  <c r="H33" i="49"/>
  <c r="I33" i="49" s="1"/>
  <c r="J33" i="49" s="1"/>
  <c r="H11" i="49"/>
  <c r="I11" i="49" s="1"/>
  <c r="J11" i="49" s="1"/>
  <c r="H40" i="49"/>
  <c r="I40" i="49" s="1"/>
  <c r="J40" i="49" s="1"/>
  <c r="J40" i="45" s="1"/>
  <c r="K40" i="45" s="1"/>
  <c r="H29" i="49"/>
  <c r="I29" i="49" s="1"/>
  <c r="J29" i="49" s="1"/>
  <c r="H15" i="49"/>
  <c r="I15" i="49" s="1"/>
  <c r="J15" i="49" s="1"/>
  <c r="H37" i="49"/>
  <c r="I37" i="49" s="1"/>
  <c r="J37" i="49" s="1"/>
  <c r="J37" i="45" s="1"/>
  <c r="H35" i="49"/>
  <c r="I35" i="49" s="1"/>
  <c r="J35" i="49" s="1"/>
  <c r="J35" i="45" s="1"/>
  <c r="K59" i="50"/>
  <c r="H10" i="49"/>
  <c r="I10" i="49" s="1"/>
  <c r="J10" i="49" s="1"/>
  <c r="H41" i="49"/>
  <c r="I41" i="49" s="1"/>
  <c r="J41" i="49" s="1"/>
  <c r="H43" i="49"/>
  <c r="I43" i="49" s="1"/>
  <c r="H23" i="49"/>
  <c r="I23" i="49" s="1"/>
  <c r="J23" i="49" s="1"/>
  <c r="H30" i="49"/>
  <c r="I30" i="49" s="1"/>
  <c r="J30" i="49" s="1"/>
  <c r="J30" i="45" s="1"/>
  <c r="K30" i="45" s="1"/>
  <c r="J59" i="50"/>
  <c r="F59" i="50"/>
  <c r="H24" i="49"/>
  <c r="I24" i="49" s="1"/>
  <c r="J24" i="49" s="1"/>
  <c r="J24" i="45" s="1"/>
  <c r="K24" i="45" s="1"/>
  <c r="H18" i="49"/>
  <c r="I18" i="49" s="1"/>
  <c r="J18" i="49" s="1"/>
  <c r="H21" i="49"/>
  <c r="I21" i="49" s="1"/>
  <c r="J21" i="49" s="1"/>
  <c r="H16" i="49"/>
  <c r="I16" i="49" s="1"/>
  <c r="J16" i="49" s="1"/>
  <c r="H39" i="49"/>
  <c r="I39" i="49" s="1"/>
  <c r="J39" i="49" s="1"/>
  <c r="D46" i="49"/>
  <c r="G46" i="49"/>
  <c r="E46" i="49"/>
  <c r="H10" i="55" s="1"/>
  <c r="I9" i="49"/>
  <c r="H36" i="49"/>
  <c r="I36" i="49" s="1"/>
  <c r="H26" i="49"/>
  <c r="I26" i="49" s="1"/>
  <c r="J26" i="49" s="1"/>
  <c r="H12" i="45"/>
  <c r="H46" i="45" s="1"/>
  <c r="L45" i="46"/>
  <c r="H38" i="49"/>
  <c r="I38" i="49" s="1"/>
  <c r="J57" i="50"/>
  <c r="H17" i="49"/>
  <c r="I17" i="49" s="1"/>
  <c r="J17" i="49" s="1"/>
  <c r="J17" i="45" s="1"/>
  <c r="H19" i="49"/>
  <c r="I19" i="49" s="1"/>
  <c r="J19" i="49" s="1"/>
  <c r="J19" i="45" s="1"/>
  <c r="K19" i="45" s="1"/>
  <c r="F57" i="50"/>
  <c r="H44" i="49"/>
  <c r="I44" i="49" s="1"/>
  <c r="H42" i="49"/>
  <c r="I42" i="49" s="1"/>
  <c r="J42" i="49" s="1"/>
  <c r="J42" i="45" s="1"/>
  <c r="K42" i="45" s="1"/>
  <c r="H28" i="49"/>
  <c r="I28" i="49" s="1"/>
  <c r="H12" i="49"/>
  <c r="K57" i="50"/>
  <c r="I44" i="45"/>
  <c r="C44" i="45"/>
  <c r="J27" i="45"/>
  <c r="D27" i="45"/>
  <c r="E27" i="45" s="1"/>
  <c r="I18" i="45"/>
  <c r="C18" i="45"/>
  <c r="I36" i="45"/>
  <c r="C36" i="45"/>
  <c r="C33" i="45"/>
  <c r="I12" i="45"/>
  <c r="C12" i="45"/>
  <c r="I26" i="45"/>
  <c r="C26" i="45"/>
  <c r="I25" i="45"/>
  <c r="I35" i="45"/>
  <c r="C35" i="45"/>
  <c r="I14" i="45"/>
  <c r="I17" i="45"/>
  <c r="I15" i="45"/>
  <c r="D22" i="45"/>
  <c r="E22" i="45" s="1"/>
  <c r="I33" i="45"/>
  <c r="I28" i="45"/>
  <c r="I37" i="45"/>
  <c r="I13" i="45"/>
  <c r="I11" i="45"/>
  <c r="D45" i="45"/>
  <c r="E45" i="45" s="1"/>
  <c r="D31" i="45"/>
  <c r="E31" i="45" s="1"/>
  <c r="I10" i="45"/>
  <c r="I32" i="45"/>
  <c r="I34" i="45"/>
  <c r="I38" i="45"/>
  <c r="I31" i="45"/>
  <c r="I21" i="45"/>
  <c r="I27" i="45"/>
  <c r="I9" i="45"/>
  <c r="D14" i="45" l="1"/>
  <c r="E14" i="45" s="1"/>
  <c r="D40" i="45"/>
  <c r="E40" i="45" s="1"/>
  <c r="D37" i="45"/>
  <c r="E37" i="45" s="1"/>
  <c r="D35" i="45"/>
  <c r="E35" i="45" s="1"/>
  <c r="J43" i="49"/>
  <c r="J43" i="45" s="1"/>
  <c r="K43" i="45" s="1"/>
  <c r="D43" i="45"/>
  <c r="E43" i="45" s="1"/>
  <c r="D39" i="45"/>
  <c r="E39" i="45" s="1"/>
  <c r="J44" i="49"/>
  <c r="J44" i="45" s="1"/>
  <c r="K44" i="45" s="1"/>
  <c r="D44" i="45"/>
  <c r="E44" i="45" s="1"/>
  <c r="H46" i="49"/>
  <c r="H11" i="55" s="1"/>
  <c r="H13" i="55" s="1"/>
  <c r="H20" i="55" s="1"/>
  <c r="H22" i="55" s="1"/>
  <c r="H25" i="55" s="1"/>
  <c r="D30" i="45"/>
  <c r="E30" i="45" s="1"/>
  <c r="D24" i="45"/>
  <c r="E24" i="45" s="1"/>
  <c r="D42" i="45"/>
  <c r="E42" i="45" s="1"/>
  <c r="J36" i="49"/>
  <c r="J36" i="45" s="1"/>
  <c r="K36" i="45" s="1"/>
  <c r="D36" i="45"/>
  <c r="E36" i="45" s="1"/>
  <c r="J28" i="49"/>
  <c r="J28" i="45" s="1"/>
  <c r="K28" i="45" s="1"/>
  <c r="D28" i="45"/>
  <c r="E28" i="45" s="1"/>
  <c r="J38" i="49"/>
  <c r="J38" i="45" s="1"/>
  <c r="K38" i="45" s="1"/>
  <c r="D38" i="45"/>
  <c r="E38" i="45" s="1"/>
  <c r="D19" i="45"/>
  <c r="E19" i="45" s="1"/>
  <c r="I12" i="49"/>
  <c r="J12" i="49" s="1"/>
  <c r="J12" i="45" s="1"/>
  <c r="K12" i="45" s="1"/>
  <c r="D26" i="45"/>
  <c r="E26" i="45" s="1"/>
  <c r="J9" i="49"/>
  <c r="K17" i="45"/>
  <c r="D41" i="45"/>
  <c r="E41" i="45" s="1"/>
  <c r="D17" i="45"/>
  <c r="E17" i="45" s="1"/>
  <c r="J21" i="45"/>
  <c r="K21" i="45" s="1"/>
  <c r="D21" i="45"/>
  <c r="E21" i="45" s="1"/>
  <c r="J16" i="45"/>
  <c r="K16" i="45" s="1"/>
  <c r="D16" i="45"/>
  <c r="E16" i="45" s="1"/>
  <c r="J20" i="45"/>
  <c r="K20" i="45" s="1"/>
  <c r="D20" i="45"/>
  <c r="E20" i="45" s="1"/>
  <c r="J18" i="45"/>
  <c r="K18" i="45" s="1"/>
  <c r="D18" i="45"/>
  <c r="E18" i="45" s="1"/>
  <c r="J29" i="45"/>
  <c r="K29" i="45" s="1"/>
  <c r="D29" i="45"/>
  <c r="E29" i="45" s="1"/>
  <c r="J25" i="45"/>
  <c r="K25" i="45" s="1"/>
  <c r="D25" i="45"/>
  <c r="E25" i="45" s="1"/>
  <c r="J32" i="45"/>
  <c r="K32" i="45" s="1"/>
  <c r="D32" i="45"/>
  <c r="E32" i="45" s="1"/>
  <c r="J11" i="45"/>
  <c r="K11" i="45" s="1"/>
  <c r="D11" i="45"/>
  <c r="E11" i="45" s="1"/>
  <c r="C46" i="45"/>
  <c r="K37" i="45"/>
  <c r="J13" i="45"/>
  <c r="K13" i="45" s="1"/>
  <c r="D13" i="45"/>
  <c r="E13" i="45" s="1"/>
  <c r="K35" i="45"/>
  <c r="J10" i="45"/>
  <c r="K10" i="45" s="1"/>
  <c r="D10" i="45"/>
  <c r="E10" i="45" s="1"/>
  <c r="I46" i="45"/>
  <c r="K27" i="45"/>
  <c r="J23" i="45"/>
  <c r="K23" i="45" s="1"/>
  <c r="D23" i="45"/>
  <c r="E23" i="45" s="1"/>
  <c r="J33" i="45"/>
  <c r="K33" i="45" s="1"/>
  <c r="D33" i="45"/>
  <c r="E33" i="45" s="1"/>
  <c r="J15" i="45"/>
  <c r="K15" i="45" s="1"/>
  <c r="D15" i="45"/>
  <c r="E15" i="45" s="1"/>
  <c r="J34" i="45"/>
  <c r="K34" i="45" s="1"/>
  <c r="D34" i="45"/>
  <c r="E34" i="45" s="1"/>
  <c r="J41" i="45"/>
  <c r="K41" i="45" s="1"/>
  <c r="J26" i="45"/>
  <c r="K26" i="45" s="1"/>
  <c r="J22" i="45"/>
  <c r="K22" i="45" s="1"/>
  <c r="J45" i="45"/>
  <c r="K45" i="45" s="1"/>
  <c r="J31" i="45"/>
  <c r="K31" i="45" s="1"/>
  <c r="J14" i="45"/>
  <c r="K14" i="45" s="1"/>
  <c r="J39" i="45"/>
  <c r="K39" i="45" s="1"/>
  <c r="D9" i="45"/>
  <c r="I46" i="49" l="1"/>
  <c r="D12" i="45"/>
  <c r="E12" i="45" s="1"/>
  <c r="J46" i="49"/>
  <c r="E9" i="45"/>
  <c r="J9" i="45"/>
  <c r="E46" i="45" l="1"/>
  <c r="D46" i="45"/>
  <c r="J46" i="45"/>
  <c r="K9" i="45"/>
  <c r="K46" i="45" s="1"/>
  <c r="O10" i="45"/>
  <c r="O12" i="45" s="1"/>
  <c r="P10" i="45" l="1"/>
  <c r="P12" i="45" s="1"/>
  <c r="AA190" i="44" l="1"/>
  <c r="G12" i="43"/>
  <c r="G13" i="43"/>
  <c r="G14" i="43"/>
  <c r="G15" i="43"/>
  <c r="B11" i="42"/>
  <c r="B10" i="41"/>
  <c r="B7" i="40"/>
  <c r="C7" i="40"/>
  <c r="B8" i="40"/>
  <c r="C8" i="40"/>
  <c r="B9" i="40"/>
  <c r="C9" i="40"/>
  <c r="C42" i="39"/>
  <c r="E42" i="39"/>
  <c r="G42" i="39"/>
  <c r="I42" i="39"/>
  <c r="K42" i="39"/>
  <c r="M42" i="39"/>
  <c r="O42" i="39"/>
  <c r="Q42" i="39"/>
  <c r="S42" i="39"/>
  <c r="U42" i="39"/>
  <c r="W42" i="39"/>
  <c r="Y42" i="39"/>
  <c r="C19" i="38"/>
  <c r="D7" i="40" l="1"/>
  <c r="G16" i="43"/>
  <c r="D8" i="40"/>
  <c r="H13" i="43"/>
  <c r="I13" i="43" s="1"/>
  <c r="D9" i="40"/>
  <c r="Y45" i="39"/>
  <c r="Y47" i="39" s="1"/>
  <c r="H14" i="43"/>
  <c r="I14" i="43" s="1"/>
  <c r="H12" i="43"/>
  <c r="I12" i="43" s="1"/>
  <c r="H16" i="43" l="1"/>
  <c r="I16" i="43"/>
  <c r="D9" i="36" l="1"/>
  <c r="D10" i="36"/>
  <c r="D11" i="36"/>
  <c r="D12" i="36"/>
  <c r="O7" i="35" l="1"/>
  <c r="O8" i="35"/>
  <c r="O9" i="35"/>
  <c r="O10" i="35"/>
  <c r="O11" i="35"/>
  <c r="O12" i="35"/>
  <c r="O13" i="35"/>
  <c r="O14" i="35"/>
  <c r="O15" i="35"/>
  <c r="O16" i="35"/>
  <c r="O17" i="35"/>
  <c r="O18" i="35"/>
  <c r="O19" i="35"/>
  <c r="O20" i="35"/>
  <c r="O21" i="35"/>
  <c r="O22" i="35"/>
  <c r="O23" i="35"/>
  <c r="O24" i="35"/>
  <c r="O25" i="35"/>
  <c r="C26" i="35"/>
  <c r="D26" i="35"/>
  <c r="E26" i="35"/>
  <c r="F26" i="35"/>
  <c r="G26" i="35"/>
  <c r="H26" i="35"/>
  <c r="I26" i="35"/>
  <c r="J26" i="35"/>
  <c r="K26" i="35"/>
  <c r="L26" i="35"/>
  <c r="M26" i="35"/>
  <c r="N26" i="35"/>
  <c r="O32" i="35" s="1"/>
  <c r="O34" i="35" s="1"/>
  <c r="O8" i="34"/>
  <c r="O9" i="34"/>
  <c r="O10" i="34"/>
  <c r="O11" i="34"/>
  <c r="O12" i="34"/>
  <c r="O13" i="34"/>
  <c r="O14" i="34"/>
  <c r="O15" i="34"/>
  <c r="O16" i="34"/>
  <c r="O17" i="34"/>
  <c r="O18" i="34"/>
  <c r="C19" i="34"/>
  <c r="D19" i="34"/>
  <c r="E19" i="34"/>
  <c r="F19" i="34"/>
  <c r="G19" i="34"/>
  <c r="H19" i="34"/>
  <c r="I19" i="34"/>
  <c r="J19" i="34"/>
  <c r="K19" i="34"/>
  <c r="L19" i="34"/>
  <c r="M19" i="34"/>
  <c r="N19" i="34"/>
  <c r="O21" i="34" s="1"/>
  <c r="O23" i="34" s="1"/>
  <c r="O29" i="35" l="1"/>
  <c r="O28" i="35"/>
  <c r="O26" i="35"/>
  <c r="O19" i="34"/>
  <c r="G26" i="32"/>
  <c r="G25" i="32"/>
  <c r="G24" i="32"/>
  <c r="G23" i="32"/>
  <c r="G22" i="32"/>
  <c r="G21" i="32"/>
  <c r="G20" i="32"/>
  <c r="O30" i="35" l="1"/>
  <c r="L60" i="30" l="1"/>
  <c r="L61" i="30"/>
  <c r="L62" i="30"/>
  <c r="L63" i="30"/>
  <c r="L64" i="30"/>
  <c r="L65" i="30"/>
  <c r="L66" i="30"/>
  <c r="L68" i="30"/>
  <c r="L69" i="30"/>
  <c r="L70" i="30"/>
  <c r="L71" i="30"/>
  <c r="L72" i="30"/>
  <c r="L58" i="29"/>
  <c r="L59" i="29"/>
  <c r="L60" i="29"/>
  <c r="L61" i="29"/>
  <c r="L62" i="29"/>
  <c r="L63" i="29"/>
  <c r="L64" i="29"/>
  <c r="L66" i="29"/>
  <c r="L67" i="29"/>
  <c r="L68" i="29"/>
  <c r="L69" i="29"/>
  <c r="L70" i="29"/>
  <c r="G55" i="28"/>
  <c r="G56" i="28" s="1"/>
  <c r="G57" i="28" s="1"/>
  <c r="G58" i="28" s="1"/>
  <c r="G59" i="28" s="1"/>
  <c r="G60" i="28" s="1"/>
  <c r="G61" i="28" s="1"/>
  <c r="G62" i="28" s="1"/>
  <c r="G63" i="28" s="1"/>
  <c r="G64" i="28" s="1"/>
  <c r="G65" i="28" s="1"/>
  <c r="G67" i="28" s="1"/>
  <c r="G68" i="28" s="1"/>
  <c r="G69" i="28" s="1"/>
  <c r="G70" i="28" s="1"/>
  <c r="G71" i="28" s="1"/>
  <c r="G72" i="28" s="1"/>
  <c r="G73" i="28" s="1"/>
  <c r="G74" i="28" s="1"/>
  <c r="G75" i="28" s="1"/>
  <c r="G76" i="28" s="1"/>
  <c r="G77" i="28" s="1"/>
  <c r="G78" i="28" s="1"/>
  <c r="G80" i="28" s="1"/>
  <c r="G81" i="28" s="1"/>
  <c r="G82" i="28" s="1"/>
  <c r="G83" i="28" s="1"/>
  <c r="G84" i="28" s="1"/>
  <c r="G85" i="28" s="1"/>
  <c r="G86" i="28" s="1"/>
  <c r="G87" i="28" s="1"/>
  <c r="G88" i="28" s="1"/>
  <c r="G89" i="28" s="1"/>
  <c r="G90" i="28" s="1"/>
  <c r="G91" i="28" s="1"/>
  <c r="G93" i="28" s="1"/>
  <c r="G94" i="28" s="1"/>
  <c r="G95" i="28" s="1"/>
  <c r="G96" i="28" s="1"/>
  <c r="G97" i="28" s="1"/>
  <c r="G98" i="28" s="1"/>
  <c r="G99" i="28" s="1"/>
  <c r="G100" i="28" s="1"/>
  <c r="G101" i="28" s="1"/>
  <c r="G102" i="28" s="1"/>
  <c r="G103" i="28" s="1"/>
  <c r="G104" i="28" s="1"/>
  <c r="G106" i="28" s="1"/>
  <c r="G107" i="28" s="1"/>
  <c r="G108" i="28" s="1"/>
  <c r="G109" i="28" s="1"/>
  <c r="G110" i="28" s="1"/>
  <c r="G111" i="28" s="1"/>
  <c r="G112" i="28" s="1"/>
  <c r="G113" i="28" s="1"/>
  <c r="G114" i="28" s="1"/>
  <c r="G115" i="28" s="1"/>
  <c r="G116" i="28" s="1"/>
  <c r="G117" i="28" s="1"/>
  <c r="G119" i="28" s="1"/>
  <c r="H55" i="28"/>
  <c r="H56" i="28" s="1"/>
  <c r="H57" i="28" s="1"/>
  <c r="H58" i="28" s="1"/>
  <c r="H59" i="28" s="1"/>
  <c r="H60" i="28" s="1"/>
  <c r="H61" i="28" s="1"/>
  <c r="H62" i="28" s="1"/>
  <c r="H63" i="28" s="1"/>
  <c r="H64" i="28" s="1"/>
  <c r="H65" i="28" s="1"/>
  <c r="H67" i="28" s="1"/>
  <c r="H68" i="28" s="1"/>
  <c r="H69" i="28" s="1"/>
  <c r="H70" i="28" s="1"/>
  <c r="H71" i="28" s="1"/>
  <c r="H72" i="28" s="1"/>
  <c r="H73" i="28" s="1"/>
  <c r="H74" i="28" s="1"/>
  <c r="H75" i="28" s="1"/>
  <c r="H76" i="28" s="1"/>
  <c r="H77" i="28" s="1"/>
  <c r="H78" i="28" s="1"/>
  <c r="H80" i="28" s="1"/>
  <c r="H81" i="28" s="1"/>
  <c r="H82" i="28" s="1"/>
  <c r="H83" i="28" s="1"/>
  <c r="H84" i="28" s="1"/>
  <c r="H85" i="28" s="1"/>
  <c r="H86" i="28" s="1"/>
  <c r="H87" i="28" s="1"/>
  <c r="H88" i="28" s="1"/>
  <c r="H89" i="28" s="1"/>
  <c r="H90" i="28" s="1"/>
  <c r="H91" i="28" s="1"/>
  <c r="H93" i="28" s="1"/>
  <c r="H94" i="28" s="1"/>
  <c r="H95" i="28" s="1"/>
  <c r="H96" i="28" s="1"/>
  <c r="H97" i="28" s="1"/>
  <c r="H98" i="28" s="1"/>
  <c r="H99" i="28" s="1"/>
  <c r="H100" i="28" s="1"/>
  <c r="H101" i="28" s="1"/>
  <c r="H102" i="28" s="1"/>
  <c r="H103" i="28" s="1"/>
  <c r="H104" i="28" s="1"/>
  <c r="H106" i="28" s="1"/>
  <c r="H107" i="28" s="1"/>
  <c r="H108" i="28" s="1"/>
  <c r="H109" i="28" s="1"/>
  <c r="H110" i="28" s="1"/>
  <c r="H111" i="28" s="1"/>
  <c r="H112" i="28" s="1"/>
  <c r="H113" i="28" s="1"/>
  <c r="H114" i="28" s="1"/>
  <c r="H115" i="28" s="1"/>
  <c r="H116" i="28" s="1"/>
  <c r="H117" i="28" s="1"/>
  <c r="H119" i="28" s="1"/>
  <c r="I55" i="28"/>
  <c r="I56" i="28" s="1"/>
  <c r="I57" i="28" s="1"/>
  <c r="I58" i="28" s="1"/>
  <c r="I59" i="28" s="1"/>
  <c r="I60" i="28" s="1"/>
  <c r="I61" i="28" s="1"/>
  <c r="I62" i="28" s="1"/>
  <c r="I63" i="28" s="1"/>
  <c r="I64" i="28" s="1"/>
  <c r="I65" i="28" s="1"/>
  <c r="I67" i="28" s="1"/>
  <c r="I68" i="28" s="1"/>
  <c r="I69" i="28" s="1"/>
  <c r="I70" i="28" s="1"/>
  <c r="I71" i="28" s="1"/>
  <c r="I72" i="28" s="1"/>
  <c r="I73" i="28" s="1"/>
  <c r="I74" i="28" s="1"/>
  <c r="I75" i="28" s="1"/>
  <c r="I76" i="28" s="1"/>
  <c r="I77" i="28" s="1"/>
  <c r="I78" i="28" s="1"/>
  <c r="I80" i="28" s="1"/>
  <c r="I81" i="28" s="1"/>
  <c r="I82" i="28" s="1"/>
  <c r="I83" i="28" s="1"/>
  <c r="I84" i="28" s="1"/>
  <c r="I85" i="28" s="1"/>
  <c r="I86" i="28" s="1"/>
  <c r="I87" i="28" s="1"/>
  <c r="I88" i="28" s="1"/>
  <c r="I89" i="28" s="1"/>
  <c r="I90" i="28" s="1"/>
  <c r="I91" i="28" s="1"/>
  <c r="I93" i="28" s="1"/>
  <c r="I94" i="28" s="1"/>
  <c r="I95" i="28" s="1"/>
  <c r="I96" i="28" s="1"/>
  <c r="I97" i="28" s="1"/>
  <c r="I98" i="28" s="1"/>
  <c r="I99" i="28" s="1"/>
  <c r="I100" i="28" s="1"/>
  <c r="I101" i="28" s="1"/>
  <c r="I102" i="28" s="1"/>
  <c r="I103" i="28" s="1"/>
  <c r="I104" i="28" s="1"/>
  <c r="I106" i="28" s="1"/>
  <c r="I107" i="28" s="1"/>
  <c r="I108" i="28" s="1"/>
  <c r="I109" i="28" s="1"/>
  <c r="I110" i="28" s="1"/>
  <c r="I111" i="28" s="1"/>
  <c r="I112" i="28" s="1"/>
  <c r="I113" i="28" s="1"/>
  <c r="I114" i="28" s="1"/>
  <c r="I115" i="28" s="1"/>
  <c r="I116" i="28" s="1"/>
  <c r="I117" i="28" s="1"/>
  <c r="I119" i="28" s="1"/>
  <c r="L59" i="28"/>
  <c r="L60" i="28"/>
  <c r="L61" i="28"/>
  <c r="L62" i="28"/>
  <c r="L63" i="28"/>
  <c r="L64" i="28"/>
  <c r="L65" i="28"/>
  <c r="L67" i="28"/>
  <c r="L68" i="28"/>
  <c r="L69" i="28"/>
  <c r="L70" i="28"/>
  <c r="L71" i="28"/>
  <c r="L79" i="28"/>
  <c r="H9" i="27"/>
  <c r="H11" i="27"/>
  <c r="H13" i="27"/>
  <c r="F15" i="27"/>
  <c r="G15" i="27"/>
  <c r="D67" i="26"/>
  <c r="D54" i="26"/>
  <c r="I47" i="26"/>
  <c r="D41" i="26"/>
  <c r="I38" i="26"/>
  <c r="I29" i="26"/>
  <c r="D28" i="26"/>
  <c r="I20" i="26"/>
  <c r="D15" i="26"/>
  <c r="L14" i="26"/>
  <c r="I11" i="26"/>
  <c r="H50" i="23"/>
  <c r="G50" i="23"/>
  <c r="H49" i="23"/>
  <c r="G49" i="23"/>
  <c r="H48" i="23"/>
  <c r="G48" i="23"/>
  <c r="H45" i="23"/>
  <c r="E45" i="23"/>
  <c r="G45" i="23" s="1"/>
  <c r="I42" i="23"/>
  <c r="H40" i="23"/>
  <c r="E40" i="23"/>
  <c r="G40" i="23" s="1"/>
  <c r="H39" i="23"/>
  <c r="E39" i="23"/>
  <c r="G39" i="23" s="1"/>
  <c r="H37" i="23"/>
  <c r="E37" i="23"/>
  <c r="H36" i="23"/>
  <c r="E36" i="23"/>
  <c r="H35" i="23"/>
  <c r="E35" i="23"/>
  <c r="H34" i="23"/>
  <c r="E34" i="23"/>
  <c r="H32" i="23"/>
  <c r="H31" i="23"/>
  <c r="H30" i="23"/>
  <c r="H29" i="23"/>
  <c r="E29" i="23"/>
  <c r="E30" i="23" s="1"/>
  <c r="H27" i="23"/>
  <c r="H26" i="23"/>
  <c r="H25" i="23"/>
  <c r="H24" i="23"/>
  <c r="E24" i="23"/>
  <c r="E25" i="23" s="1"/>
  <c r="H22" i="23"/>
  <c r="H21" i="23"/>
  <c r="H20" i="23"/>
  <c r="H19" i="23"/>
  <c r="E19" i="23"/>
  <c r="E20" i="23" s="1"/>
  <c r="H17" i="23"/>
  <c r="H16" i="23"/>
  <c r="H15" i="23"/>
  <c r="H14" i="23"/>
  <c r="E14" i="23"/>
  <c r="E15" i="23" s="1"/>
  <c r="A13" i="23"/>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9" i="23" s="1"/>
  <c r="A40" i="23" s="1"/>
  <c r="A42" i="23" s="1"/>
  <c r="A45" i="23" s="1"/>
  <c r="A47" i="23" s="1"/>
  <c r="A48" i="23" s="1"/>
  <c r="A49" i="23" s="1"/>
  <c r="A50" i="23" s="1"/>
  <c r="A52" i="23" s="1"/>
  <c r="A54" i="23" s="1"/>
  <c r="H50" i="22"/>
  <c r="I50" i="22" s="1"/>
  <c r="H49" i="22"/>
  <c r="I49" i="22" s="1"/>
  <c r="H48" i="22"/>
  <c r="I48" i="22" s="1"/>
  <c r="G45" i="22"/>
  <c r="I45" i="22" s="1"/>
  <c r="I42" i="22"/>
  <c r="G40" i="22"/>
  <c r="I40" i="22" s="1"/>
  <c r="G39" i="22"/>
  <c r="I39" i="22" s="1"/>
  <c r="H37" i="22"/>
  <c r="F37" i="22"/>
  <c r="F37" i="23" s="1"/>
  <c r="H36" i="22"/>
  <c r="F36" i="22"/>
  <c r="F36" i="23" s="1"/>
  <c r="H35" i="22"/>
  <c r="F35" i="22"/>
  <c r="F35" i="23" s="1"/>
  <c r="G35" i="23" s="1"/>
  <c r="H34" i="22"/>
  <c r="F34" i="22"/>
  <c r="F34" i="23" s="1"/>
  <c r="H32" i="22"/>
  <c r="F32" i="22"/>
  <c r="F32" i="23" s="1"/>
  <c r="H31" i="22"/>
  <c r="F31" i="22"/>
  <c r="F31" i="23" s="1"/>
  <c r="H30" i="22"/>
  <c r="F30" i="22"/>
  <c r="F30" i="23" s="1"/>
  <c r="E30" i="22"/>
  <c r="H29" i="22"/>
  <c r="F29" i="22"/>
  <c r="F29" i="23" s="1"/>
  <c r="H27" i="22"/>
  <c r="F27" i="22"/>
  <c r="F27" i="23" s="1"/>
  <c r="H26" i="22"/>
  <c r="F26" i="22"/>
  <c r="F26" i="23" s="1"/>
  <c r="H25" i="22"/>
  <c r="F25" i="22"/>
  <c r="F25" i="23" s="1"/>
  <c r="E25" i="22"/>
  <c r="H24" i="22"/>
  <c r="F24" i="22"/>
  <c r="F24" i="23" s="1"/>
  <c r="H22" i="22"/>
  <c r="F22" i="22"/>
  <c r="F22" i="23" s="1"/>
  <c r="H21" i="22"/>
  <c r="F21" i="22"/>
  <c r="F21" i="23" s="1"/>
  <c r="H20" i="22"/>
  <c r="F20" i="22"/>
  <c r="F20" i="23" s="1"/>
  <c r="E20" i="22"/>
  <c r="H19" i="22"/>
  <c r="F19" i="22"/>
  <c r="G19" i="22" s="1"/>
  <c r="H17" i="22"/>
  <c r="F17" i="22"/>
  <c r="F17" i="23" s="1"/>
  <c r="H16" i="22"/>
  <c r="F16" i="22"/>
  <c r="F16" i="23" s="1"/>
  <c r="H15" i="22"/>
  <c r="F15" i="22"/>
  <c r="F15" i="23" s="1"/>
  <c r="E15" i="22"/>
  <c r="H14" i="22"/>
  <c r="F14" i="22"/>
  <c r="G14" i="22"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2" i="22" s="1"/>
  <c r="A45" i="22" s="1"/>
  <c r="A47" i="22" s="1"/>
  <c r="A48" i="22" s="1"/>
  <c r="A49" i="22" s="1"/>
  <c r="A50" i="22" s="1"/>
  <c r="A52" i="22" s="1"/>
  <c r="G36" i="23" l="1"/>
  <c r="I36" i="23" s="1"/>
  <c r="H15" i="27"/>
  <c r="G37" i="23"/>
  <c r="I37" i="23" s="1"/>
  <c r="I19" i="22"/>
  <c r="I14" i="22"/>
  <c r="L72" i="28"/>
  <c r="L71" i="29"/>
  <c r="L73" i="30"/>
  <c r="G25" i="22"/>
  <c r="I25" i="22" s="1"/>
  <c r="I39" i="23"/>
  <c r="G34" i="23"/>
  <c r="I34" i="23" s="1"/>
  <c r="G20" i="22"/>
  <c r="I20" i="22" s="1"/>
  <c r="I45" i="23"/>
  <c r="G15" i="22"/>
  <c r="I15" i="22" s="1"/>
  <c r="I35" i="23"/>
  <c r="I48" i="23"/>
  <c r="G30" i="22"/>
  <c r="I30" i="22" s="1"/>
  <c r="I49" i="23"/>
  <c r="I40" i="23"/>
  <c r="E21" i="22"/>
  <c r="E22" i="22" s="1"/>
  <c r="G22" i="22" s="1"/>
  <c r="I22" i="22" s="1"/>
  <c r="I50" i="23"/>
  <c r="E16" i="22"/>
  <c r="E17" i="22" s="1"/>
  <c r="G17" i="22" s="1"/>
  <c r="I17" i="22" s="1"/>
  <c r="E31" i="22"/>
  <c r="E32" i="22" s="1"/>
  <c r="G32" i="22" s="1"/>
  <c r="I32" i="22" s="1"/>
  <c r="E26" i="22"/>
  <c r="E27" i="22" s="1"/>
  <c r="G27" i="22" s="1"/>
  <c r="I27" i="22" s="1"/>
  <c r="G25" i="23"/>
  <c r="I25" i="23" s="1"/>
  <c r="E26" i="23"/>
  <c r="E16" i="23"/>
  <c r="G15" i="23"/>
  <c r="I15" i="23" s="1"/>
  <c r="G30" i="23"/>
  <c r="I30" i="23" s="1"/>
  <c r="E31" i="23"/>
  <c r="G20" i="23"/>
  <c r="I20" i="23" s="1"/>
  <c r="E21" i="23"/>
  <c r="F14" i="23"/>
  <c r="G14" i="23" s="1"/>
  <c r="I14" i="23" s="1"/>
  <c r="G36" i="22"/>
  <c r="I36" i="22" s="1"/>
  <c r="F19" i="23"/>
  <c r="G19" i="23" s="1"/>
  <c r="I19" i="23" s="1"/>
  <c r="G24" i="22"/>
  <c r="I24" i="22" s="1"/>
  <c r="G29" i="22"/>
  <c r="I29" i="22" s="1"/>
  <c r="G34" i="22"/>
  <c r="I34" i="22" s="1"/>
  <c r="G24" i="23"/>
  <c r="I24" i="23" s="1"/>
  <c r="G29" i="23"/>
  <c r="I29" i="23" s="1"/>
  <c r="G37" i="22"/>
  <c r="I37" i="22" s="1"/>
  <c r="G35" i="22"/>
  <c r="I35" i="22" s="1"/>
  <c r="G16" i="22" l="1"/>
  <c r="I16" i="22" s="1"/>
  <c r="G21" i="22"/>
  <c r="I21" i="22" s="1"/>
  <c r="G26" i="22"/>
  <c r="I26" i="22" s="1"/>
  <c r="G31" i="22"/>
  <c r="I31" i="22" s="1"/>
  <c r="E32" i="23"/>
  <c r="G32" i="23" s="1"/>
  <c r="I32" i="23" s="1"/>
  <c r="G31" i="23"/>
  <c r="I31" i="23" s="1"/>
  <c r="E17" i="23"/>
  <c r="G17" i="23" s="1"/>
  <c r="I17" i="23" s="1"/>
  <c r="G16" i="23"/>
  <c r="I16" i="23" s="1"/>
  <c r="E27" i="23"/>
  <c r="G27" i="23" s="1"/>
  <c r="I27" i="23" s="1"/>
  <c r="G26" i="23"/>
  <c r="I26" i="23" s="1"/>
  <c r="E22" i="23"/>
  <c r="G22" i="23" s="1"/>
  <c r="I22" i="23" s="1"/>
  <c r="G21" i="23"/>
  <c r="I21" i="23" s="1"/>
  <c r="I52" i="22" l="1"/>
  <c r="I52" i="23"/>
  <c r="I54" i="23" s="1"/>
  <c r="E22" i="21" l="1"/>
  <c r="E18" i="21"/>
  <c r="E14" i="21"/>
  <c r="E10" i="21"/>
  <c r="A9" i="21"/>
  <c r="A10" i="21" s="1"/>
  <c r="A12" i="21" s="1"/>
  <c r="A13" i="21" s="1"/>
  <c r="A14" i="21" s="1"/>
  <c r="A16" i="21" s="1"/>
  <c r="A17" i="21" s="1"/>
  <c r="A18" i="21" s="1"/>
  <c r="A20" i="21" s="1"/>
  <c r="A21" i="21" s="1"/>
  <c r="A22" i="21" s="1"/>
  <c r="A24" i="21" s="1"/>
  <c r="E24" i="21" l="1"/>
  <c r="A10" i="20"/>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E10" i="20"/>
  <c r="H10" i="20" s="1"/>
  <c r="L10" i="20" s="1"/>
  <c r="E24" i="20"/>
  <c r="E25" i="20" s="1"/>
  <c r="F11" i="19"/>
  <c r="F12" i="19"/>
  <c r="F13" i="19"/>
  <c r="F14" i="19"/>
  <c r="F15" i="19"/>
  <c r="F16" i="19"/>
  <c r="C17" i="19"/>
  <c r="D17" i="19"/>
  <c r="E17" i="19"/>
  <c r="D8" i="18"/>
  <c r="F8" i="18"/>
  <c r="B18" i="18" s="1"/>
  <c r="G8" i="18"/>
  <c r="C18" i="18" s="1"/>
  <c r="D9" i="18"/>
  <c r="F9" i="18"/>
  <c r="B19" i="18" s="1"/>
  <c r="G9" i="18"/>
  <c r="D10" i="18"/>
  <c r="F10" i="18"/>
  <c r="G10" i="18"/>
  <c r="C20" i="18" s="1"/>
  <c r="B11" i="18"/>
  <c r="C11" i="18"/>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B66" i="17"/>
  <c r="C66" i="17"/>
  <c r="D66" i="17"/>
  <c r="E66" i="17"/>
  <c r="F66" i="17"/>
  <c r="G66" i="17"/>
  <c r="H66" i="17"/>
  <c r="I66" i="17"/>
  <c r="J66" i="17"/>
  <c r="K66" i="17"/>
  <c r="L66" i="17"/>
  <c r="M66" i="17"/>
  <c r="B68" i="17"/>
  <c r="C68" i="17"/>
  <c r="D68" i="17"/>
  <c r="E68" i="17"/>
  <c r="F68" i="17"/>
  <c r="G68" i="17"/>
  <c r="H68" i="17"/>
  <c r="I68" i="17"/>
  <c r="J68" i="17"/>
  <c r="K68" i="17"/>
  <c r="L68" i="17"/>
  <c r="M68" i="17"/>
  <c r="B69" i="17"/>
  <c r="C69" i="17"/>
  <c r="D69" i="17"/>
  <c r="E69" i="17"/>
  <c r="F69" i="17"/>
  <c r="G69" i="17"/>
  <c r="H69" i="17"/>
  <c r="I69" i="17"/>
  <c r="J69" i="17"/>
  <c r="K69" i="17"/>
  <c r="L69" i="17"/>
  <c r="M69" i="17"/>
  <c r="B70" i="17"/>
  <c r="C70" i="17"/>
  <c r="D70" i="17"/>
  <c r="E70" i="17"/>
  <c r="F70" i="17"/>
  <c r="G70" i="17"/>
  <c r="H70" i="17"/>
  <c r="I70" i="17"/>
  <c r="J70" i="17"/>
  <c r="K70" i="17"/>
  <c r="L70" i="17"/>
  <c r="M70" i="17"/>
  <c r="N7" i="16"/>
  <c r="P7" i="16"/>
  <c r="N8" i="16"/>
  <c r="P8" i="16"/>
  <c r="N9" i="16"/>
  <c r="P9" i="16"/>
  <c r="N10" i="16"/>
  <c r="P10" i="16"/>
  <c r="N11" i="16"/>
  <c r="P11" i="16"/>
  <c r="B12" i="16"/>
  <c r="C12" i="16"/>
  <c r="D12" i="16"/>
  <c r="E12" i="16"/>
  <c r="F12" i="16"/>
  <c r="G12" i="16"/>
  <c r="H12" i="16"/>
  <c r="I12" i="16"/>
  <c r="J12" i="16"/>
  <c r="K12" i="16"/>
  <c r="L12" i="16"/>
  <c r="M12" i="16"/>
  <c r="B27" i="14"/>
  <c r="B12" i="12"/>
  <c r="C20" i="11"/>
  <c r="D20" i="11"/>
  <c r="B24" i="11" s="1"/>
  <c r="E20" i="11"/>
  <c r="C20" i="10"/>
  <c r="D20" i="10"/>
  <c r="B25" i="10" s="1"/>
  <c r="C63" i="9"/>
  <c r="C42" i="9"/>
  <c r="C32" i="9"/>
  <c r="B17" i="9"/>
  <c r="B16" i="9" s="1"/>
  <c r="C15" i="8" s="1"/>
  <c r="B15" i="9"/>
  <c r="C14" i="8" s="1"/>
  <c r="B10" i="9"/>
  <c r="C10" i="8" s="1"/>
  <c r="B9" i="9"/>
  <c r="C9" i="8" s="1"/>
  <c r="B8" i="9"/>
  <c r="C8" i="8" s="1"/>
  <c r="P74" i="7"/>
  <c r="P73" i="7"/>
  <c r="P79" i="7" s="1"/>
  <c r="P64" i="7"/>
  <c r="O47" i="7"/>
  <c r="O49" i="7" s="1"/>
  <c r="N47" i="7"/>
  <c r="N49" i="7" s="1"/>
  <c r="M47" i="7"/>
  <c r="M49" i="7" s="1"/>
  <c r="L47" i="7"/>
  <c r="L49" i="7" s="1"/>
  <c r="K47" i="7"/>
  <c r="K49" i="7" s="1"/>
  <c r="J47" i="7"/>
  <c r="J49" i="7" s="1"/>
  <c r="I47" i="7"/>
  <c r="I49" i="7" s="1"/>
  <c r="H47" i="7"/>
  <c r="H49" i="7" s="1"/>
  <c r="G47" i="7"/>
  <c r="G49" i="7" s="1"/>
  <c r="F47" i="7"/>
  <c r="F49" i="7" s="1"/>
  <c r="E47" i="7"/>
  <c r="E49" i="7" s="1"/>
  <c r="D47" i="7"/>
  <c r="D49" i="7" s="1"/>
  <c r="P46" i="7"/>
  <c r="P45" i="7"/>
  <c r="P44" i="7"/>
  <c r="P42" i="7"/>
  <c r="P40" i="7"/>
  <c r="P38" i="7"/>
  <c r="P36" i="7"/>
  <c r="P34" i="7"/>
  <c r="P32" i="7"/>
  <c r="P30" i="7"/>
  <c r="P28" i="7"/>
  <c r="O26" i="7"/>
  <c r="N26" i="7"/>
  <c r="M26" i="7"/>
  <c r="L26" i="7"/>
  <c r="K26" i="7"/>
  <c r="J26" i="7"/>
  <c r="I26" i="7"/>
  <c r="H26" i="7"/>
  <c r="G26" i="7"/>
  <c r="F26" i="7"/>
  <c r="E26" i="7"/>
  <c r="D26" i="7"/>
  <c r="P22" i="7"/>
  <c r="P21" i="7"/>
  <c r="P20" i="7"/>
  <c r="P19" i="7"/>
  <c r="P18" i="7"/>
  <c r="P17" i="7"/>
  <c r="P16" i="7"/>
  <c r="P15" i="7"/>
  <c r="P14" i="7"/>
  <c r="P13" i="7"/>
  <c r="P12" i="7"/>
  <c r="P9" i="7"/>
  <c r="I7" i="7"/>
  <c r="H7" i="7"/>
  <c r="G7" i="7"/>
  <c r="F7" i="7"/>
  <c r="E7" i="7"/>
  <c r="D7" i="7"/>
  <c r="O6" i="7"/>
  <c r="O7" i="7" s="1"/>
  <c r="N6" i="7"/>
  <c r="N7" i="7" s="1"/>
  <c r="M6" i="7"/>
  <c r="M7" i="7" s="1"/>
  <c r="L6" i="7"/>
  <c r="L7" i="7" s="1"/>
  <c r="K6" i="7"/>
  <c r="K7" i="7" s="1"/>
  <c r="J6" i="7"/>
  <c r="D26" i="6"/>
  <c r="D25" i="6"/>
  <c r="D24" i="6"/>
  <c r="D23" i="6"/>
  <c r="D12" i="6"/>
  <c r="A12" i="6"/>
  <c r="A13" i="6" s="1"/>
  <c r="A14" i="6" s="1"/>
  <c r="A15" i="6" s="1"/>
  <c r="A16" i="6" s="1"/>
  <c r="A19" i="6" s="1"/>
  <c r="A20" i="6" s="1"/>
  <c r="A21" i="6" s="1"/>
  <c r="A22" i="6" s="1"/>
  <c r="A23" i="6" s="1"/>
  <c r="A24" i="6" s="1"/>
  <c r="A25" i="6" s="1"/>
  <c r="A26" i="6" s="1"/>
  <c r="A27" i="6" s="1"/>
  <c r="A28" i="6" s="1"/>
  <c r="A29" i="6" s="1"/>
  <c r="A30" i="6" s="1"/>
  <c r="A31" i="6" s="1"/>
  <c r="H8" i="18" l="1"/>
  <c r="B71" i="17"/>
  <c r="F21" i="19"/>
  <c r="H9" i="18"/>
  <c r="F20" i="19"/>
  <c r="H24" i="20"/>
  <c r="L24" i="20" s="1"/>
  <c r="F11" i="18"/>
  <c r="D11" i="18"/>
  <c r="H10" i="18"/>
  <c r="E11" i="20"/>
  <c r="H11" i="20" s="1"/>
  <c r="L11" i="20" s="1"/>
  <c r="L71" i="17"/>
  <c r="K71" i="17"/>
  <c r="J71" i="17"/>
  <c r="G11" i="18"/>
  <c r="C19" i="18"/>
  <c r="D19" i="18" s="1"/>
  <c r="F17" i="19"/>
  <c r="H25" i="20"/>
  <c r="L25" i="20" s="1"/>
  <c r="E26" i="20"/>
  <c r="D18" i="18"/>
  <c r="B20" i="18"/>
  <c r="D20" i="18" s="1"/>
  <c r="C14" i="15"/>
  <c r="C30" i="15"/>
  <c r="B7" i="15"/>
  <c r="C35" i="15"/>
  <c r="M71" i="17"/>
  <c r="I71" i="17"/>
  <c r="C12" i="15"/>
  <c r="H71" i="17"/>
  <c r="B31" i="15"/>
  <c r="C8" i="15"/>
  <c r="C36" i="15"/>
  <c r="C32" i="15"/>
  <c r="E71" i="17"/>
  <c r="N69" i="17"/>
  <c r="B49" i="15" s="1"/>
  <c r="D71" i="17"/>
  <c r="N68" i="17"/>
  <c r="C71" i="17"/>
  <c r="N66" i="17"/>
  <c r="C24" i="15"/>
  <c r="C20" i="15"/>
  <c r="B43" i="15"/>
  <c r="B19" i="15"/>
  <c r="C26" i="15"/>
  <c r="C42" i="15"/>
  <c r="G71" i="17"/>
  <c r="F71" i="17"/>
  <c r="B25" i="15"/>
  <c r="C18" i="15"/>
  <c r="C38" i="15"/>
  <c r="B18" i="15"/>
  <c r="B37" i="15"/>
  <c r="B13" i="15"/>
  <c r="B9" i="15"/>
  <c r="N70" i="17"/>
  <c r="B38" i="15"/>
  <c r="B32" i="15"/>
  <c r="B26" i="15"/>
  <c r="B20" i="15"/>
  <c r="B14" i="15"/>
  <c r="B8" i="15"/>
  <c r="C43" i="15"/>
  <c r="C37" i="15"/>
  <c r="C31" i="15"/>
  <c r="C25" i="15"/>
  <c r="C19" i="15"/>
  <c r="C13" i="15"/>
  <c r="C7" i="15"/>
  <c r="B30" i="15"/>
  <c r="C11" i="15"/>
  <c r="B41" i="15"/>
  <c r="B35" i="15"/>
  <c r="B29" i="15"/>
  <c r="B23" i="15"/>
  <c r="B17" i="15"/>
  <c r="B11" i="15"/>
  <c r="N12" i="16"/>
  <c r="B48" i="15" s="1"/>
  <c r="B42" i="15"/>
  <c r="B24" i="15"/>
  <c r="C41" i="15"/>
  <c r="C17" i="15"/>
  <c r="C40" i="15"/>
  <c r="C34" i="15"/>
  <c r="C28" i="15"/>
  <c r="C22" i="15"/>
  <c r="C16" i="15"/>
  <c r="C10" i="15"/>
  <c r="C29" i="15"/>
  <c r="B40" i="15"/>
  <c r="B34" i="15"/>
  <c r="B28" i="15"/>
  <c r="B22" i="15"/>
  <c r="B16" i="15"/>
  <c r="B10" i="15"/>
  <c r="B12" i="15"/>
  <c r="C23" i="15"/>
  <c r="C39" i="15"/>
  <c r="C33" i="15"/>
  <c r="C27" i="15"/>
  <c r="C21" i="15"/>
  <c r="C15" i="15"/>
  <c r="C9" i="15"/>
  <c r="B36" i="15"/>
  <c r="B39" i="15"/>
  <c r="B33" i="15"/>
  <c r="B27" i="15"/>
  <c r="B21" i="15"/>
  <c r="B15" i="15"/>
  <c r="B23" i="11"/>
  <c r="B24" i="10"/>
  <c r="C11" i="8"/>
  <c r="M51" i="7"/>
  <c r="M53" i="7" s="1"/>
  <c r="C16" i="8"/>
  <c r="C17" i="8" s="1"/>
  <c r="B18" i="9"/>
  <c r="B11" i="9"/>
  <c r="F51" i="7"/>
  <c r="F53" i="7" s="1"/>
  <c r="L51" i="7"/>
  <c r="L53" i="7" s="1"/>
  <c r="H51" i="7"/>
  <c r="H53" i="7" s="1"/>
  <c r="N51" i="7"/>
  <c r="N53" i="7" s="1"/>
  <c r="P6" i="7"/>
  <c r="P24" i="7"/>
  <c r="P26" i="7" s="1"/>
  <c r="O51" i="7"/>
  <c r="O53" i="7" s="1"/>
  <c r="I51" i="7"/>
  <c r="I53" i="7" s="1"/>
  <c r="D51" i="7"/>
  <c r="D53" i="7" s="1"/>
  <c r="D56" i="7" s="1"/>
  <c r="E51" i="7"/>
  <c r="E53" i="7" s="1"/>
  <c r="J51" i="7"/>
  <c r="K51" i="7"/>
  <c r="K53" i="7" s="1"/>
  <c r="G51" i="7"/>
  <c r="G53" i="7" s="1"/>
  <c r="J7" i="7"/>
  <c r="P7" i="7" s="1"/>
  <c r="P47" i="7"/>
  <c r="P49" i="7" s="1"/>
  <c r="D22" i="6"/>
  <c r="D28" i="6"/>
  <c r="D27" i="6"/>
  <c r="D14" i="6"/>
  <c r="D7" i="6"/>
  <c r="D9" i="6" s="1"/>
  <c r="D31" i="6" s="1"/>
  <c r="D21" i="6"/>
  <c r="H11" i="18" l="1"/>
  <c r="F22" i="19"/>
  <c r="E12" i="20"/>
  <c r="H12" i="20" s="1"/>
  <c r="L12" i="20" s="1"/>
  <c r="C21" i="18"/>
  <c r="D21" i="18"/>
  <c r="H26" i="20"/>
  <c r="L26" i="20" s="1"/>
  <c r="E27" i="20"/>
  <c r="B21" i="18"/>
  <c r="N71" i="17"/>
  <c r="B50" i="15"/>
  <c r="B45" i="15"/>
  <c r="C45" i="15"/>
  <c r="J53" i="7"/>
  <c r="P51" i="7"/>
  <c r="P53" i="7" s="1"/>
  <c r="P68" i="7" s="1"/>
  <c r="E56" i="7"/>
  <c r="F56" i="7" s="1"/>
  <c r="G56" i="7" s="1"/>
  <c r="H56" i="7" s="1"/>
  <c r="I56" i="7" s="1"/>
  <c r="D13" i="6"/>
  <c r="D15" i="6"/>
  <c r="E13" i="20" l="1"/>
  <c r="E14" i="20" s="1"/>
  <c r="D50" i="15"/>
  <c r="E28" i="20"/>
  <c r="H27" i="20"/>
  <c r="L27" i="20" s="1"/>
  <c r="J56" i="7"/>
  <c r="K56" i="7" s="1"/>
  <c r="L56" i="7" s="1"/>
  <c r="M56" i="7" s="1"/>
  <c r="N56" i="7" s="1"/>
  <c r="O56" i="7" s="1"/>
  <c r="P78" i="7"/>
  <c r="P70" i="7"/>
  <c r="P77" i="7" s="1"/>
  <c r="D16" i="6"/>
  <c r="D20" i="6" s="1"/>
  <c r="D29" i="6" s="1"/>
  <c r="D33" i="6" s="1"/>
  <c r="H13" i="20" l="1"/>
  <c r="L13" i="20" s="1"/>
  <c r="H14" i="20"/>
  <c r="E15" i="20"/>
  <c r="H28" i="20"/>
  <c r="E29" i="20"/>
  <c r="B20" i="5"/>
  <c r="B22" i="5" s="1"/>
  <c r="E19" i="4"/>
  <c r="E21" i="4" s="1"/>
  <c r="B19" i="3"/>
  <c r="B21" i="3" s="1"/>
  <c r="C19" i="3"/>
  <c r="C21" i="3" s="1"/>
  <c r="D19" i="3"/>
  <c r="D21" i="3" s="1"/>
  <c r="E19" i="3"/>
  <c r="E21" i="3" s="1"/>
  <c r="F19" i="3"/>
  <c r="F21" i="3" s="1"/>
  <c r="G19" i="3"/>
  <c r="G21" i="3" s="1"/>
  <c r="L19" i="2"/>
  <c r="L21" i="2" s="1"/>
  <c r="H29" i="20" l="1"/>
  <c r="E30" i="20"/>
  <c r="J29" i="20"/>
  <c r="L28" i="20"/>
  <c r="E16" i="20"/>
  <c r="H15" i="20"/>
  <c r="L14" i="20"/>
  <c r="J15" i="20"/>
  <c r="J30" i="20" l="1"/>
  <c r="J16" i="20"/>
  <c r="L15" i="20"/>
  <c r="H16" i="20"/>
  <c r="E17" i="20"/>
  <c r="H30" i="20"/>
  <c r="E31" i="20"/>
  <c r="L29" i="20"/>
  <c r="J31" i="20" l="1"/>
  <c r="H31" i="20"/>
  <c r="E32" i="20"/>
  <c r="H32" i="20" s="1"/>
  <c r="L30" i="20"/>
  <c r="E18" i="20"/>
  <c r="H18" i="20" s="1"/>
  <c r="H17" i="20"/>
  <c r="L16" i="20"/>
  <c r="J17" i="20"/>
  <c r="J18" i="20" l="1"/>
  <c r="L18" i="20" s="1"/>
  <c r="J32" i="20"/>
  <c r="L31" i="20"/>
  <c r="L17" i="20"/>
  <c r="C36" i="20"/>
  <c r="C37" i="20" l="1"/>
  <c r="C38" i="20" s="1"/>
  <c r="C40" i="20" s="1"/>
  <c r="L32" i="20"/>
  <c r="C4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s186369</author>
    <author>s206964</author>
  </authors>
  <commentList>
    <comment ref="D9" authorId="0" shapeId="0" xr:uid="{EFE74D90-B613-4CF8-848D-CD46E3E93E00}">
      <text>
        <r>
          <rPr>
            <b/>
            <sz val="9"/>
            <color indexed="81"/>
            <rFont val="Tahoma"/>
            <family val="2"/>
          </rPr>
          <t>s186369:</t>
        </r>
        <r>
          <rPr>
            <sz val="9"/>
            <color indexed="81"/>
            <rFont val="Tahoma"/>
            <family val="2"/>
          </rPr>
          <t xml:space="preserve">
Updated for new base case order</t>
        </r>
      </text>
    </comment>
    <comment ref="E9" authorId="0" shapeId="0" xr:uid="{57894695-0E7C-40C3-89A2-8560948AFE58}">
      <text>
        <r>
          <rPr>
            <b/>
            <sz val="9"/>
            <color indexed="81"/>
            <rFont val="Tahoma"/>
            <family val="2"/>
          </rPr>
          <t>s186369:</t>
        </r>
        <r>
          <rPr>
            <sz val="9"/>
            <color indexed="81"/>
            <rFont val="Tahoma"/>
            <family val="2"/>
          </rPr>
          <t xml:space="preserve">
Updated for new base case order</t>
        </r>
      </text>
    </comment>
    <comment ref="F9" authorId="0" shapeId="0" xr:uid="{5DFE0102-91D5-405F-89A0-2B903599DCBE}">
      <text>
        <r>
          <rPr>
            <b/>
            <sz val="9"/>
            <color indexed="81"/>
            <rFont val="Tahoma"/>
            <family val="2"/>
          </rPr>
          <t>s186369:</t>
        </r>
        <r>
          <rPr>
            <sz val="9"/>
            <color indexed="81"/>
            <rFont val="Tahoma"/>
            <family val="2"/>
          </rPr>
          <t xml:space="preserve">
Updated for new base case order</t>
        </r>
      </text>
    </comment>
    <comment ref="G9" authorId="0" shapeId="0" xr:uid="{738F7221-06DF-4D3B-880B-C217B747D1AE}">
      <text>
        <r>
          <rPr>
            <b/>
            <sz val="9"/>
            <color indexed="81"/>
            <rFont val="Tahoma"/>
            <family val="2"/>
          </rPr>
          <t>s186369:</t>
        </r>
        <r>
          <rPr>
            <sz val="9"/>
            <color indexed="81"/>
            <rFont val="Tahoma"/>
            <family val="2"/>
          </rPr>
          <t xml:space="preserve">
Updated for new base case order</t>
        </r>
      </text>
    </comment>
    <comment ref="I9" authorId="0" shapeId="0" xr:uid="{FA7DA69A-B206-456F-BABE-E9AA11D695AB}">
      <text>
        <r>
          <rPr>
            <b/>
            <sz val="9"/>
            <color indexed="81"/>
            <rFont val="Tahoma"/>
            <family val="2"/>
          </rPr>
          <t>s186369:</t>
        </r>
        <r>
          <rPr>
            <sz val="9"/>
            <color indexed="81"/>
            <rFont val="Tahoma"/>
            <family val="2"/>
          </rPr>
          <t xml:space="preserve">
Updated for new base case order</t>
        </r>
      </text>
    </comment>
    <comment ref="J9" authorId="0" shapeId="0" xr:uid="{9FECF034-EFC7-470A-A52B-0A2D1878D2D9}">
      <text>
        <r>
          <rPr>
            <b/>
            <sz val="9"/>
            <color indexed="81"/>
            <rFont val="Tahoma"/>
            <family val="2"/>
          </rPr>
          <t>s186369:</t>
        </r>
        <r>
          <rPr>
            <sz val="9"/>
            <color indexed="81"/>
            <rFont val="Tahoma"/>
            <family val="2"/>
          </rPr>
          <t xml:space="preserve">
Updated for new base case order</t>
        </r>
      </text>
    </comment>
    <comment ref="K9" authorId="0" shapeId="0" xr:uid="{86017A3C-17BF-4F88-BF92-CA6AD6CE4510}">
      <text>
        <r>
          <rPr>
            <b/>
            <sz val="9"/>
            <color indexed="81"/>
            <rFont val="Tahoma"/>
            <family val="2"/>
          </rPr>
          <t>s186369:</t>
        </r>
        <r>
          <rPr>
            <sz val="9"/>
            <color indexed="81"/>
            <rFont val="Tahoma"/>
            <family val="2"/>
          </rPr>
          <t xml:space="preserve">
Updated for new base case order</t>
        </r>
      </text>
    </comment>
    <comment ref="L9" authorId="0" shapeId="0" xr:uid="{E9FD6A6E-97F6-4A97-B473-27DF8A6F85E0}">
      <text>
        <r>
          <rPr>
            <b/>
            <sz val="9"/>
            <color indexed="81"/>
            <rFont val="Tahoma"/>
            <family val="2"/>
          </rPr>
          <t>s186369:</t>
        </r>
        <r>
          <rPr>
            <sz val="9"/>
            <color indexed="81"/>
            <rFont val="Tahoma"/>
            <family val="2"/>
          </rPr>
          <t xml:space="preserve">
Updated for new base case order</t>
        </r>
      </text>
    </comment>
    <comment ref="M9" authorId="0" shapeId="0" xr:uid="{8B2F506A-0074-4BB9-B47A-6211973984E9}">
      <text>
        <r>
          <rPr>
            <b/>
            <sz val="9"/>
            <color indexed="81"/>
            <rFont val="Tahoma"/>
            <family val="2"/>
          </rPr>
          <t>s186369:</t>
        </r>
        <r>
          <rPr>
            <sz val="9"/>
            <color indexed="81"/>
            <rFont val="Tahoma"/>
            <family val="2"/>
          </rPr>
          <t xml:space="preserve">
Updated for new base case order</t>
        </r>
      </text>
    </comment>
    <comment ref="N9" authorId="0" shapeId="0" xr:uid="{A5AE5642-A4EB-4508-8DBD-F6D0B2AA04D0}">
      <text>
        <r>
          <rPr>
            <b/>
            <sz val="9"/>
            <color indexed="81"/>
            <rFont val="Tahoma"/>
            <family val="2"/>
          </rPr>
          <t>s186369:</t>
        </r>
        <r>
          <rPr>
            <sz val="9"/>
            <color indexed="81"/>
            <rFont val="Tahoma"/>
            <family val="2"/>
          </rPr>
          <t xml:space="preserve">
Updated for new base case order</t>
        </r>
      </text>
    </comment>
    <comment ref="O9" authorId="0" shapeId="0" xr:uid="{C5DB2435-6D1D-45C6-9A46-CEEDB60B6510}">
      <text>
        <r>
          <rPr>
            <b/>
            <sz val="9"/>
            <color indexed="81"/>
            <rFont val="Tahoma"/>
            <family val="2"/>
          </rPr>
          <t>s186369:</t>
        </r>
        <r>
          <rPr>
            <sz val="9"/>
            <color indexed="81"/>
            <rFont val="Tahoma"/>
            <family val="2"/>
          </rPr>
          <t xml:space="preserve">
Updated for new base case order</t>
        </r>
      </text>
    </comment>
    <comment ref="B12" authorId="1" shapeId="0" xr:uid="{7A0D9B38-C727-40B6-9143-B9732E77990C}">
      <text>
        <r>
          <rPr>
            <b/>
            <sz val="9"/>
            <color indexed="81"/>
            <rFont val="Tahoma"/>
            <family val="2"/>
          </rPr>
          <t>Amy Elliot and Alex Vaughan said to include these accounts and they will discuss with KPSC in August filing.</t>
        </r>
      </text>
    </comment>
    <comment ref="C12" authorId="1" shapeId="0" xr:uid="{BE6D970A-8A3C-4953-8440-E3BD14DF1E44}">
      <text>
        <r>
          <rPr>
            <b/>
            <sz val="9"/>
            <color indexed="81"/>
            <rFont val="Tahoma"/>
            <family val="2"/>
          </rPr>
          <t>Amy Elliot and Alex Vaughan said to include these accounts and they will discuss with KPSC in August filing.</t>
        </r>
      </text>
    </comment>
    <comment ref="B13" authorId="1" shapeId="0" xr:uid="{E576AE8A-9531-44D3-BD57-5CCE90E5027A}">
      <text>
        <r>
          <rPr>
            <b/>
            <sz val="9"/>
            <color indexed="81"/>
            <rFont val="Tahoma"/>
            <family val="2"/>
          </rPr>
          <t>Amy Elliot and Alex Vaughan said to include these accounts and they will discuss with KPSC in August filing.</t>
        </r>
      </text>
    </comment>
    <comment ref="C13" authorId="1" shapeId="0" xr:uid="{F61EFBC1-8B2F-4B13-8806-6C69E6B60C3D}">
      <text>
        <r>
          <rPr>
            <b/>
            <sz val="9"/>
            <color indexed="81"/>
            <rFont val="Tahoma"/>
            <family val="2"/>
          </rPr>
          <t>Amy Elliot and Alex Vaughan said to include these accounts and they will discuss with KPSC in August filing.</t>
        </r>
      </text>
    </comment>
    <comment ref="C28" authorId="1" shapeId="0" xr:uid="{8B1962EF-AD63-4D69-B49F-7D877D5E3177}">
      <text>
        <r>
          <rPr>
            <b/>
            <sz val="9"/>
            <color indexed="81"/>
            <rFont val="Tahoma"/>
            <family val="2"/>
          </rPr>
          <t>See Tab 'FERC Return'</t>
        </r>
      </text>
    </comment>
    <comment ref="C40" authorId="1" shapeId="0" xr:uid="{A2897D79-5AAE-4965-B98B-4EAC9ADAD038}">
      <text>
        <r>
          <rPr>
            <b/>
            <sz val="9"/>
            <color indexed="81"/>
            <rFont val="Tahoma"/>
            <family val="2"/>
          </rPr>
          <t>this is applicable from October 2021-September 2022</t>
        </r>
      </text>
    </comment>
  </commentList>
</comments>
</file>

<file path=xl/sharedStrings.xml><?xml version="1.0" encoding="utf-8"?>
<sst xmlns="http://schemas.openxmlformats.org/spreadsheetml/2006/main" count="3285" uniqueCount="1057">
  <si>
    <t>W07</t>
  </si>
  <si>
    <t>W10</t>
  </si>
  <si>
    <t>W11</t>
  </si>
  <si>
    <t>W12</t>
  </si>
  <si>
    <t>W13</t>
  </si>
  <si>
    <t>W20</t>
  </si>
  <si>
    <t>W25</t>
  </si>
  <si>
    <t>W26</t>
  </si>
  <si>
    <t>W27</t>
  </si>
  <si>
    <t>W28</t>
  </si>
  <si>
    <t>W29</t>
  </si>
  <si>
    <t>W30</t>
  </si>
  <si>
    <t>W31</t>
  </si>
  <si>
    <t>W32</t>
  </si>
  <si>
    <t>W33</t>
  </si>
  <si>
    <t>W34</t>
  </si>
  <si>
    <t>W35</t>
  </si>
  <si>
    <t>W37</t>
  </si>
  <si>
    <t>W38</t>
  </si>
  <si>
    <t>W39</t>
  </si>
  <si>
    <t>W41</t>
  </si>
  <si>
    <t>W17</t>
  </si>
  <si>
    <t>W48</t>
  </si>
  <si>
    <t>W49</t>
  </si>
  <si>
    <t>W46</t>
  </si>
  <si>
    <t>W47</t>
  </si>
  <si>
    <t>W56</t>
  </si>
  <si>
    <t>W58</t>
  </si>
  <si>
    <t>Remove Tariff D.R. Revenues and Expenses</t>
  </si>
  <si>
    <t>Remove Tariff P.P.A. Revenues and Non-Transmission Expenses Recovered Through Tariff P.P.A.</t>
  </si>
  <si>
    <t>Remove Tariff R.E.A. Revenues and Expenses</t>
  </si>
  <si>
    <t>Remove Tariff K.E.D.S. Revenues and Expenses</t>
  </si>
  <si>
    <t>Adjust Interest on Customer Deposits</t>
  </si>
  <si>
    <t>Annualization of Lease Expense</t>
  </si>
  <si>
    <t>Adjust Pension and OPEB Expense</t>
  </si>
  <si>
    <t>Adjust Employee Related Group Benefit Expense</t>
  </si>
  <si>
    <t>Amortization of NERC Compliance and Cybersecurity Cost Deferral</t>
  </si>
  <si>
    <t>KPCo Incentive Compensation Expense Adjustment</t>
  </si>
  <si>
    <t>KPCo Annualization of Payroll Expense Adjustment</t>
  </si>
  <si>
    <t>KPCo Overtime Related to Employee Merit Increases Adjustment</t>
  </si>
  <si>
    <t>KPCo Medicare Tax Expense Adjustment</t>
  </si>
  <si>
    <t>KPCo Social Security Tax Expense Adjustment</t>
  </si>
  <si>
    <t>KPCo Social Security Tax Base Adjustment</t>
  </si>
  <si>
    <t>Annualization of ARO Depreciation Expense</t>
  </si>
  <si>
    <t>Annualization of ARO Accretion Expense</t>
  </si>
  <si>
    <t>AFUDC Offset Adjustment</t>
  </si>
  <si>
    <t>Remove NERC Compliance and Cybersecurity Net Plant from Rate Base</t>
  </si>
  <si>
    <t>Remove NERC Compliance and Cybersecurity Investment from Capitalization</t>
  </si>
  <si>
    <t>Reference in Section V, Exhibit 2</t>
  </si>
  <si>
    <t>Adjustment Description</t>
  </si>
  <si>
    <t>Workpaper Reference</t>
  </si>
  <si>
    <t>Kentucky Power Company</t>
  </si>
  <si>
    <t>Adjustment Workpaper Index</t>
  </si>
  <si>
    <t>Witness:</t>
  </si>
  <si>
    <t>B.C. Ciborek</t>
  </si>
  <si>
    <t>440-444</t>
  </si>
  <si>
    <t>FERC Account</t>
  </si>
  <si>
    <t>Total Revenues to be Removed</t>
  </si>
  <si>
    <t>Total Revenues</t>
  </si>
  <si>
    <t>May-25</t>
  </si>
  <si>
    <t>Apr-25</t>
  </si>
  <si>
    <t>Mar-25</t>
  </si>
  <si>
    <t>Feb-25</t>
  </si>
  <si>
    <t>Jan-25</t>
  </si>
  <si>
    <t>Dec-24</t>
  </si>
  <si>
    <t>Nov-24</t>
  </si>
  <si>
    <t>Oct-24</t>
  </si>
  <si>
    <t>Sep-24</t>
  </si>
  <si>
    <t>Aug-24</t>
  </si>
  <si>
    <t>Jul-24</t>
  </si>
  <si>
    <t>Jun-24</t>
  </si>
  <si>
    <t>Net
Revenues</t>
  </si>
  <si>
    <t>Bad Debt\
Maint Fee</t>
  </si>
  <si>
    <t>Billed &amp; 
Accrued
Surcharge</t>
  </si>
  <si>
    <t>Reverse Prior Month Est &amp; Unb Surcharge</t>
  </si>
  <si>
    <t>Estimated &amp; Unbilled Surcharge</t>
  </si>
  <si>
    <t>Total Estimated
and
Unbilled kWh</t>
  </si>
  <si>
    <t>Unbilled
KWH</t>
  </si>
  <si>
    <t>Estimated
KWH</t>
  </si>
  <si>
    <t>Average
Rate
per kWh</t>
  </si>
  <si>
    <t>Billed
KWH</t>
  </si>
  <si>
    <t>BSRR</t>
  </si>
  <si>
    <t>Date</t>
  </si>
  <si>
    <t>For the Twelve Months Ended May 31, 2025</t>
  </si>
  <si>
    <t>Decommissioning Rider Revenue</t>
  </si>
  <si>
    <t>W07-Remove Tariff D.R. Revenues and Expenses</t>
  </si>
  <si>
    <t>Total Expenses to be Removed</t>
  </si>
  <si>
    <t xml:space="preserve">   </t>
  </si>
  <si>
    <t>Total</t>
  </si>
  <si>
    <t>5120034</t>
  </si>
  <si>
    <t>5010000</t>
  </si>
  <si>
    <t>Summary of Decommissioning Rider O&amp;M Expenses</t>
  </si>
  <si>
    <t>Total Decrease to Test Year ARO Accretion Expense</t>
  </si>
  <si>
    <t>Amount</t>
  </si>
  <si>
    <t>Descr</t>
  </si>
  <si>
    <t>Account</t>
  </si>
  <si>
    <t>Unit</t>
  </si>
  <si>
    <t>Summary of Decommissioning Rider ARO Accretion Expense</t>
  </si>
  <si>
    <t xml:space="preserve">Total Decrease to Test Year Amortization Expense </t>
  </si>
  <si>
    <t>Total Amortization Expense to Remove</t>
  </si>
  <si>
    <t xml:space="preserve">   Account 4073014</t>
  </si>
  <si>
    <t>Month</t>
  </si>
  <si>
    <t>Detail of Account 4073014</t>
  </si>
  <si>
    <t>Line No.</t>
  </si>
  <si>
    <t>Description
(a)</t>
  </si>
  <si>
    <t>FERC Account
(b)</t>
  </si>
  <si>
    <t>Amount
(c)</t>
  </si>
  <si>
    <t>Remove PPA Rider Revenue</t>
  </si>
  <si>
    <t>Decrease Test Year Revenue to Remove Tariff P.P.A. Revenues</t>
  </si>
  <si>
    <t>Decrease Test Year Revenue to Remove Estimated Rockport Offset Revenue Recognized but not Yet Recovered</t>
  </si>
  <si>
    <t>Decrease to Revenue</t>
  </si>
  <si>
    <t>Remove PPA Rider O&amp;M Expense</t>
  </si>
  <si>
    <t>Remove Recovery of Rockport Deferral (Dec 9 2022 through Dec 8 2027)</t>
  </si>
  <si>
    <t>Remove Interruptible Service Credit Expense</t>
  </si>
  <si>
    <t>Remove Recovery of Capacity Purchases</t>
  </si>
  <si>
    <t>Remove Tariff P.P.A. (Over)/Under Recovery</t>
  </si>
  <si>
    <t>Decrease to O&amp;M Expense</t>
  </si>
  <si>
    <t>(1) Reconciliation of Test Year Tariff P.P.A. Rider Revenues to Recoverable Costs:</t>
  </si>
  <si>
    <t>Non-Transmission Expenses Recovered Through Tariff P.P.A. - W09 (Above)</t>
  </si>
  <si>
    <t>555/566</t>
  </si>
  <si>
    <t>PJM OATT LSE Expense - Roll to Base WXX</t>
  </si>
  <si>
    <t>456.1 / 565</t>
  </si>
  <si>
    <t>Recovery of Estimated Rockport Offset</t>
  </si>
  <si>
    <t>Recovery of Current Carrying Charges (Debt) on Rockport Deferral</t>
  </si>
  <si>
    <t>Recovery of Current Carrying Charges (Equity) on Rockport Deferral</t>
  </si>
  <si>
    <t>Recovery of Deferred Carrying Charges (Debt) on Rockport Deferral</t>
  </si>
  <si>
    <t>Recovery of Deferred Carrying Charges (Equity) on Rockport Deferral</t>
  </si>
  <si>
    <t>Tariff CC Amortization (Oct 24 through Sept 25)</t>
  </si>
  <si>
    <t>Refund of Rockport Fixed Cost Savings (Dec 9 2022 until reflected in base rates)</t>
  </si>
  <si>
    <t>Total Costs Recoverable Through Tariff P.P.A. for the Test Year Ended 12/31/2024</t>
  </si>
  <si>
    <t>Tariff P.P.A. Revenue for the Test Year Ended 12/31/2024</t>
  </si>
  <si>
    <t>Check</t>
  </si>
  <si>
    <t>KPCo</t>
  </si>
  <si>
    <t>PPA Rider Over Under Recovery</t>
  </si>
  <si>
    <t>12 -Month Period ended May 31, 2025</t>
  </si>
  <si>
    <t>Per Books</t>
  </si>
  <si>
    <t>Test Year Total</t>
  </si>
  <si>
    <t>Comments</t>
  </si>
  <si>
    <t>062024</t>
  </si>
  <si>
    <t>072024</t>
  </si>
  <si>
    <t>082024</t>
  </si>
  <si>
    <t>092024</t>
  </si>
  <si>
    <t>102024</t>
  </si>
  <si>
    <t>112024</t>
  </si>
  <si>
    <t>122024</t>
  </si>
  <si>
    <t>12025</t>
  </si>
  <si>
    <t>22025</t>
  </si>
  <si>
    <t>32025</t>
  </si>
  <si>
    <t>42025</t>
  </si>
  <si>
    <t>52025</t>
  </si>
  <si>
    <t>Revenue:</t>
  </si>
  <si>
    <t>Billed Revenue</t>
  </si>
  <si>
    <t>W08 - Remove Tariff P.P.A. Revenues and Expenses</t>
  </si>
  <si>
    <t>Base Rates:</t>
  </si>
  <si>
    <t>Monthly Approved PPA Base Amount included in Base Rates</t>
  </si>
  <si>
    <t>Expense:</t>
  </si>
  <si>
    <t xml:space="preserve">Account No. </t>
  </si>
  <si>
    <t>Account Description</t>
  </si>
  <si>
    <t>PJM NITS Expense - Non-Affiliated</t>
  </si>
  <si>
    <t>PJM TO Serv Expense - Affiliated</t>
  </si>
  <si>
    <t>Firm and Non-Firm Point to Point Transmision Revenues</t>
  </si>
  <si>
    <t>RTO Formation Costs</t>
  </si>
  <si>
    <t>Purchase Power VCS Credit</t>
  </si>
  <si>
    <t>Network Integrated Transmission Service</t>
  </si>
  <si>
    <t>Schedule 1a Charges</t>
  </si>
  <si>
    <t>Transmission Enhancement Charges</t>
  </si>
  <si>
    <t>PJM NITS Expense - Affilated</t>
  </si>
  <si>
    <t xml:space="preserve">(Over) Under Recovery of PJM OATT LSE Charges </t>
  </si>
  <si>
    <t>FERC Return in excess of Kentucky Retail Return</t>
  </si>
  <si>
    <t>Recovery of Rockport Deferral (Dec 9 2022 through Dec 8 2027)</t>
  </si>
  <si>
    <t>A</t>
  </si>
  <si>
    <t>No O&amp;M adjustment needed to cost of service (offset Tariff P.P.A. revenues).</t>
  </si>
  <si>
    <t>Estimated Rockport Offset Revenue Recognized but not Yet Recovered</t>
  </si>
  <si>
    <t>No O&amp;M adjustment needed to cost of service (offset base rate revenues).</t>
  </si>
  <si>
    <t>Economic Development Credits</t>
  </si>
  <si>
    <t>Capacity Charges in 5550004/5550023</t>
  </si>
  <si>
    <t>Non-OATT LSE amount in base rates</t>
  </si>
  <si>
    <t>Prepared WPs</t>
  </si>
  <si>
    <t>ESTIMATE - Day 3 - 100% of Interruptible Service Credits</t>
  </si>
  <si>
    <t>Reversal of Day 3 estimates - 100% of Interruptible Service Credits</t>
  </si>
  <si>
    <t xml:space="preserve">ACTUALS - Post Close - True up of Prior Month 100% of Interruptible Service Credits </t>
  </si>
  <si>
    <t>Total Non-OATT LSE at 100%</t>
  </si>
  <si>
    <t>Total Non-OATT LSE at 100% less amount in Base Rates</t>
  </si>
  <si>
    <t>(Over) Under Recovery of Base Rates (Step 1-3)</t>
  </si>
  <si>
    <t/>
  </si>
  <si>
    <t>Current month (Over) Under Recovery of Base Rates</t>
  </si>
  <si>
    <t>Cumulative Balance in Regulatory Asset/(Liability)</t>
  </si>
  <si>
    <t>No adjustment need to cost of service (offset FERC Account 431).</t>
  </si>
  <si>
    <t>Rollforward Cumulative O/U Reg Asset/(Liab)</t>
  </si>
  <si>
    <t>1823557  as of 5/31/2024</t>
  </si>
  <si>
    <t>Test Year Activity - 5660009 - PJM OATT LSE Over-Under Adjustment</t>
  </si>
  <si>
    <t>Test Year Activity - 5550153 -  PurchPower-Rockport Def-NonAff</t>
  </si>
  <si>
    <t>1823557  as of 5/31/2025</t>
  </si>
  <si>
    <t>1823557 or 2543557 - PJM OATT LSE Under (Over)-Recovery</t>
  </si>
  <si>
    <t>5550153 -  PurchPower-Rockport Def-NonAff</t>
  </si>
  <si>
    <t>5660009 - PJM OATT LSE Over-Under Adjustment</t>
  </si>
  <si>
    <t>immaterial</t>
  </si>
  <si>
    <t>W11-Remove Tariff D.S.M.C. Revenues and Expenses</t>
  </si>
  <si>
    <t xml:space="preserve">DSM Rider Revenue and Expense </t>
  </si>
  <si>
    <t>Description (a)</t>
  </si>
  <si>
    <t>FERC Account (b)</t>
  </si>
  <si>
    <t>Amount (c)</t>
  </si>
  <si>
    <t>Test Year Other Electric Revenue:</t>
  </si>
  <si>
    <t xml:space="preserve">Removal of DSM Rider Revenues </t>
  </si>
  <si>
    <t>Removal of DSM Over/Under Recovery (Incentives &amp; Lost Revenue)</t>
  </si>
  <si>
    <t>Removal of DSM Incentive &amp; Lost Revenue Accrued</t>
  </si>
  <si>
    <t>Net Decrease in Test Year Other Electric Revenue</t>
  </si>
  <si>
    <t>456</t>
  </si>
  <si>
    <t>Test Year O&amp;M Expense Related to Program Costs:</t>
  </si>
  <si>
    <t>Removal of DSM Over/Under Recovery (O&amp;M Program Cost)</t>
  </si>
  <si>
    <t>Removal of DSM O&amp;M Program Cost Expense</t>
  </si>
  <si>
    <t>Removal of DSM O&amp;M Program Cost Over/under Deferral</t>
  </si>
  <si>
    <t>Net Decrease in Test Year O&amp;M Expense Related to Program Costs</t>
  </si>
  <si>
    <t>908</t>
  </si>
  <si>
    <t>DSM Journal Entry and GL Account Detail</t>
  </si>
  <si>
    <t>Dr./(Cr.)</t>
  </si>
  <si>
    <t>A/C 4560007</t>
  </si>
  <si>
    <t xml:space="preserve">DSM Rider Revenues </t>
  </si>
  <si>
    <t>DSM Over/Under Recovery (Incentives &amp; Lost Revenue)</t>
  </si>
  <si>
    <t>DSM Incentive &amp; Lost  Revenue Accrued</t>
  </si>
  <si>
    <t>Test Year Activity - 4560007</t>
  </si>
  <si>
    <t>A/C 9080009</t>
  </si>
  <si>
    <t>DSM Over/Under Recovery (O&amp;M Program Cost)</t>
  </si>
  <si>
    <t>DSM O&amp;M Program Cost Expense</t>
  </si>
  <si>
    <t>DSM O&amp;M Program Cost Over/under Deferral</t>
  </si>
  <si>
    <t>Test Year Activity - 9080009</t>
  </si>
  <si>
    <t>Year Month</t>
  </si>
  <si>
    <t>(Multiple Items)</t>
  </si>
  <si>
    <t>JOURNAL_ID</t>
  </si>
  <si>
    <t>DSMREVENUE</t>
  </si>
  <si>
    <t>Sum of MONETARY_AMOUNT</t>
  </si>
  <si>
    <t>ACCOUNT</t>
  </si>
  <si>
    <t>LINE_DESCR</t>
  </si>
  <si>
    <t>1823009</t>
  </si>
  <si>
    <t>DSM Shared Savings-Res/Com/Ind</t>
  </si>
  <si>
    <t>1823010</t>
  </si>
  <si>
    <t>DSM Recovery</t>
  </si>
  <si>
    <t>1823011</t>
  </si>
  <si>
    <t>DSM Lost Revenues-Res/Com</t>
  </si>
  <si>
    <t>4560007</t>
  </si>
  <si>
    <t>Oth Elect Rev - DSM Program</t>
  </si>
  <si>
    <t>Recovery - Lost Rev/Shared Sav</t>
  </si>
  <si>
    <t>9080009</t>
  </si>
  <si>
    <t>Recovery - Program Exp</t>
  </si>
  <si>
    <t>Grand Total</t>
  </si>
  <si>
    <t>DSM_COST</t>
  </si>
  <si>
    <t>DSM Program Costs</t>
  </si>
  <si>
    <t>Cust Assistance Expense - DSM</t>
  </si>
  <si>
    <t>DSMTRUEUP</t>
  </si>
  <si>
    <t>DSM Annual Adj</t>
  </si>
  <si>
    <t>DSM INCENTIVES</t>
  </si>
  <si>
    <t>Energy Efficiency Recovery</t>
  </si>
  <si>
    <t>DSM LOST REVENUES</t>
  </si>
  <si>
    <t>CUST ASSISTANCE EXPENSE - DSM</t>
  </si>
  <si>
    <t>KY - DSM Over Recovery</t>
  </si>
  <si>
    <t>OTH ELEC REV - DSM PROGRAM</t>
  </si>
  <si>
    <t>Decrease in Test Year O&amp;M for Tariff R.E.A. Expense</t>
  </si>
  <si>
    <t>Decrease in Test Year Retail Revenue for Tariff R.E.A. Revenue</t>
  </si>
  <si>
    <t>Adjustments</t>
  </si>
  <si>
    <t>CADKYHEAP</t>
  </si>
  <si>
    <t>9080000</t>
  </si>
  <si>
    <t>4261000</t>
  </si>
  <si>
    <t>O&amp;M Expense</t>
  </si>
  <si>
    <t>Other Income Deductions</t>
  </si>
  <si>
    <t>Journal ID</t>
  </si>
  <si>
    <t>Tariff R.E.A. Detail</t>
  </si>
  <si>
    <t>W12-Remove Tariff R.E.A. Revenues and Expenses</t>
  </si>
  <si>
    <t>Decrease Test Year O&amp;M Expense for Tariff K.E.D.S. Expense</t>
  </si>
  <si>
    <t xml:space="preserve">Decrease Test Year Retail Revenue for Tariff K.E.D.S. Revenue </t>
  </si>
  <si>
    <t>CADKYECON</t>
  </si>
  <si>
    <t>Tariff K.E.D.S. Revenue and Expense</t>
  </si>
  <si>
    <t>W13-Remove Tariff K.E.D.S. Revenues and Expenses</t>
  </si>
  <si>
    <t>Debit (Credit)</t>
  </si>
  <si>
    <t>NONREC</t>
  </si>
  <si>
    <t>Ref No</t>
  </si>
  <si>
    <t>To record prior year adjustment to accrued revenue for joint use pole rental revenue &amp; expense  - Kentucky Power Company</t>
  </si>
  <si>
    <t>Long Descr</t>
  </si>
  <si>
    <t>CAD056AJE</t>
  </si>
  <si>
    <t>Pivot of Non-Recurring Journal ID CAD056AJE</t>
  </si>
  <si>
    <t>W17-Remove Adjustment to Joint Use Pole Rental Revenue and Expense Related to a Prior Period</t>
  </si>
  <si>
    <t>Balance as of December 31, 2024</t>
  </si>
  <si>
    <t>Account - 2350001</t>
  </si>
  <si>
    <t>FISCAL_YEAR</t>
  </si>
  <si>
    <t>PeopleSoft Query - Account 2350001 (Customer Deposits Active)</t>
  </si>
  <si>
    <t>W20-Adjust Interest on Customer Deposits</t>
  </si>
  <si>
    <t>12 Mo. Total</t>
  </si>
  <si>
    <t xml:space="preserve"> </t>
  </si>
  <si>
    <t>31-May</t>
  </si>
  <si>
    <t>30-Apr</t>
  </si>
  <si>
    <t>CAD021AJE</t>
  </si>
  <si>
    <t xml:space="preserve">Mar qtr adj. </t>
  </si>
  <si>
    <t>2025 - Int rate - 4.19%</t>
  </si>
  <si>
    <t>31-Mar</t>
  </si>
  <si>
    <t>28-Feb</t>
  </si>
  <si>
    <t>31-Jan</t>
  </si>
  <si>
    <t>Dec Qtr Adj</t>
  </si>
  <si>
    <t>31-Dec</t>
  </si>
  <si>
    <t>30-Nov</t>
  </si>
  <si>
    <t>31-Oct</t>
  </si>
  <si>
    <t>Sep Qtr Adj</t>
  </si>
  <si>
    <t>30-Sep</t>
  </si>
  <si>
    <t>31-Aug</t>
  </si>
  <si>
    <t>31-Jul</t>
  </si>
  <si>
    <t xml:space="preserve">Jun qtr adj. </t>
  </si>
  <si>
    <t>2024 - Int rate - 5.38%</t>
  </si>
  <si>
    <t>30-Jun</t>
  </si>
  <si>
    <t>DIFF</t>
  </si>
  <si>
    <t>Ledger</t>
  </si>
  <si>
    <t>2024/2025</t>
  </si>
  <si>
    <t>KPCO INTEREST ACCRUED - ACTIVE (MGRD)</t>
  </si>
  <si>
    <t>Tota</t>
  </si>
  <si>
    <t>W20_PG_3_of_3</t>
  </si>
  <si>
    <t>W20_PG_2_of_3</t>
  </si>
  <si>
    <t>O&amp;M</t>
  </si>
  <si>
    <t>May 2025 Expense</t>
  </si>
  <si>
    <t>Annual Total</t>
  </si>
  <si>
    <t>KPCo Lease Expense Summary</t>
  </si>
  <si>
    <t>W25-Annualization of Lease Expense</t>
  </si>
  <si>
    <t>KPCo Lease Expense Report - Non Fleet</t>
  </si>
  <si>
    <t>Other</t>
  </si>
  <si>
    <t>Capital</t>
  </si>
  <si>
    <t xml:space="preserve"> Fleet Allocation </t>
  </si>
  <si>
    <t>Account 1840029</t>
  </si>
  <si>
    <t>KPCo Lease Expense Report - Fleet</t>
  </si>
  <si>
    <t>NON-UNWA - POSTRETIREMENT WELFARE PLAN</t>
  </si>
  <si>
    <t>NON-QUALIFIED PENSION PLAN</t>
  </si>
  <si>
    <t>QUALIFIED PENSION PLAN</t>
  </si>
  <si>
    <t>Non-Service Cost</t>
  </si>
  <si>
    <t>Service Cost</t>
  </si>
  <si>
    <t>Total Expected Pension Costs</t>
  </si>
  <si>
    <t>WPCo is a 50% owner and the operator of the Mitchell Plant (Business Unit 413).  KPCo owns a 50% interest in the Mitchell Plant.</t>
  </si>
  <si>
    <t xml:space="preserve">Actuary Mitchell Plant Joint Billing1  </t>
  </si>
  <si>
    <t>Actuary Reports (2025 Estimate)</t>
  </si>
  <si>
    <t>Test Year Pension and OPEB Expense Summary</t>
  </si>
  <si>
    <t>W26-Adjust Pension and OPEB Expense</t>
  </si>
  <si>
    <t>Annualized Mitchell Plant Joint Billing</t>
  </si>
  <si>
    <t>Annualized Non-Service</t>
  </si>
  <si>
    <t>Annualized Service</t>
  </si>
  <si>
    <t>Mitchell Joint Facility</t>
  </si>
  <si>
    <t>9260062 - Pension Plan - Non-Service</t>
  </si>
  <si>
    <t>9260043 - OPEB- Non-Service</t>
  </si>
  <si>
    <t>9260042 - SERP Pension - Non-Service</t>
  </si>
  <si>
    <t>9260037 - Supplemental Pension</t>
  </si>
  <si>
    <t>9260021 - Postretirement Benefits - OPEB</t>
  </si>
  <si>
    <t>9260003 - Pension Plan</t>
  </si>
  <si>
    <t>ACCOUNTING_PERIOD</t>
  </si>
  <si>
    <t xml:space="preserve">Annualized Mitchell Billing Activity </t>
  </si>
  <si>
    <t>⁵ For documentation supporting Kentucky Power Company's cash pension plan contributions since Case No. 2017-00179, please refer to Exhibit HMW-R4 (2017 contribution) and Exhibit HMW-R5 (2020 contribution).</t>
  </si>
  <si>
    <t>⁴ The January to December 2022 (Cost)/Benefit includes $(28,200,776) Pension activity and $(5,432,298) OPEB activity related to transfer of costs to other AEP affiliates in connection with Wheeling Power Company becoming operator of the Mitchell Plant, pursuant to the September 1, 2022 Written Action Consent of the Mitchell Operating Company.</t>
  </si>
  <si>
    <t>3 Represents the expected return on plan assets used by the Company’s actuary in determining that year’s cost, and disclosed in Kentucky Power Company's audited financial statements.</t>
  </si>
  <si>
    <t>² Test year annualized cost savings were computed based on May 2025 prepaid pension and OPEB balances and the 2025 expected return on pension and OPEB plan assets.</t>
  </si>
  <si>
    <t>¹ Prepaid Pension and OPEB balances as of February 28, 2017 were reflected in Total Capitalization authorized in Case No. 2017-00179.  The Prepaid Pension balance as of February 28, 2017 was also included in Total Rate Base authorized in Case No. 2017-00179.</t>
  </si>
  <si>
    <t>Average Annual Pension and OPEB Cost Savings for Years 2017-2025</t>
  </si>
  <si>
    <t>(∑K's + ∑J's) / 9</t>
  </si>
  <si>
    <t>Total - KY Jurisdictional</t>
  </si>
  <si>
    <t>KY Jurisdictional Factor - OML</t>
  </si>
  <si>
    <t>Total - Total Company</t>
  </si>
  <si>
    <t>∑ of J</t>
  </si>
  <si>
    <t>Compounding Since Case No. 2020-00174</t>
  </si>
  <si>
    <t>∑ of I</t>
  </si>
  <si>
    <t>Current Annual Level</t>
  </si>
  <si>
    <t>∑ of F</t>
  </si>
  <si>
    <t>Annual Pension and OPEB Cost Savings Included in Cost of Service</t>
  </si>
  <si>
    <t>J</t>
  </si>
  <si>
    <t>I</t>
  </si>
  <si>
    <t>F</t>
  </si>
  <si>
    <t>January to May 2025²</t>
  </si>
  <si>
    <t>K</t>
  </si>
  <si>
    <t>January to December 2024</t>
  </si>
  <si>
    <t>January to December 2023</t>
  </si>
  <si>
    <t>January to December 2022⁴</t>
  </si>
  <si>
    <t>January to December 2021</t>
  </si>
  <si>
    <t>January to December 2020</t>
  </si>
  <si>
    <t>January to December 2019</t>
  </si>
  <si>
    <t>January to December 2018</t>
  </si>
  <si>
    <t>March to December 2017</t>
  </si>
  <si>
    <t>As of February 28, 2017¹</t>
  </si>
  <si>
    <t>(Cost)/Benefit</t>
  </si>
  <si>
    <t>Rate3</t>
  </si>
  <si>
    <t xml:space="preserve">Total </t>
  </si>
  <si>
    <t>Compounding Since 
2020-00174</t>
  </si>
  <si>
    <t>Annualized 
OPEB Cost Savings</t>
  </si>
  <si>
    <r>
      <rPr>
        <b/>
        <sz val="10"/>
        <color rgb="FF000000"/>
        <rFont val="Arial"/>
        <family val="2"/>
      </rPr>
      <t xml:space="preserve">Ending Balance
</t>
    </r>
    <r>
      <rPr>
        <b/>
        <u/>
        <sz val="10"/>
        <color rgb="FF000000"/>
        <rFont val="Arial"/>
        <family val="2"/>
      </rPr>
      <t xml:space="preserve">Prepaid OPEB
</t>
    </r>
    <r>
      <rPr>
        <b/>
        <sz val="10"/>
        <color rgb="FF000000"/>
        <rFont val="Arial"/>
        <family val="2"/>
      </rPr>
      <t xml:space="preserve">Account 
</t>
    </r>
    <r>
      <rPr>
        <b/>
        <sz val="10"/>
        <color rgb="FF000000"/>
        <rFont val="Arial"/>
        <family val="2"/>
      </rPr>
      <t>1650035</t>
    </r>
  </si>
  <si>
    <t>Contribution⁵</t>
  </si>
  <si>
    <t>Accounting Period</t>
  </si>
  <si>
    <t>Annualized 
Pension Cost Savings</t>
  </si>
  <si>
    <r>
      <rPr>
        <b/>
        <sz val="10"/>
        <color rgb="FF000000"/>
        <rFont val="Arial"/>
        <family val="2"/>
      </rPr>
      <t xml:space="preserve">Ending Balance
</t>
    </r>
    <r>
      <rPr>
        <b/>
        <u/>
        <sz val="10"/>
        <color rgb="FF000000"/>
        <rFont val="Arial"/>
        <family val="2"/>
      </rPr>
      <t xml:space="preserve">Prepaid Pension
</t>
    </r>
    <r>
      <rPr>
        <b/>
        <sz val="10"/>
        <color rgb="FF000000"/>
        <rFont val="Arial"/>
        <family val="2"/>
      </rPr>
      <t xml:space="preserve">Account 
</t>
    </r>
    <r>
      <rPr>
        <b/>
        <sz val="10"/>
        <color rgb="FF000000"/>
        <rFont val="Arial"/>
        <family val="2"/>
      </rPr>
      <t>1650010</t>
    </r>
  </si>
  <si>
    <t>H = E + G</t>
  </si>
  <si>
    <t>G = D * 
Post Jan 2021 Benefit</t>
  </si>
  <si>
    <t>E = C * D</t>
  </si>
  <si>
    <t xml:space="preserve">D </t>
  </si>
  <si>
    <t>C = A + B</t>
  </si>
  <si>
    <t>B</t>
  </si>
  <si>
    <t>Expected Return on Plan Assets</t>
  </si>
  <si>
    <t>W27-Adjust Employee Related Group Benefit Expense</t>
  </si>
  <si>
    <t>Test Year Employee Related Group Benefit Costs</t>
  </si>
  <si>
    <t>Line</t>
  </si>
  <si>
    <t>Description</t>
  </si>
  <si>
    <t xml:space="preserve"> Amount </t>
  </si>
  <si>
    <t xml:space="preserve"> Net Amount </t>
  </si>
  <si>
    <t>Group Life Insurance Premiums Paid</t>
  </si>
  <si>
    <t>9260004</t>
  </si>
  <si>
    <t>Billing to Kentucky Power Company for Mitchell</t>
  </si>
  <si>
    <t xml:space="preserve">Net Test Year Premiums for Life </t>
  </si>
  <si>
    <t>Group Medical Ins Premiums</t>
  </si>
  <si>
    <t>9260005</t>
  </si>
  <si>
    <t>Net Test Year Premiums for Medical</t>
  </si>
  <si>
    <t>Group L-T Disability Ins Prem Paid</t>
  </si>
  <si>
    <t>9260007</t>
  </si>
  <si>
    <t>Net Test Year Premiums for LTD</t>
  </si>
  <si>
    <t>Group Dental Insurance Prem Paid</t>
  </si>
  <si>
    <t>9260009</t>
  </si>
  <si>
    <t>Net Test Year Premiums for Dental</t>
  </si>
  <si>
    <t>Net Employee Related Group Benefit Costs for Test Year</t>
  </si>
  <si>
    <t>KPSC 2025-00257</t>
  </si>
  <si>
    <t>Support work paper</t>
  </si>
  <si>
    <t>Adjust Employee Related Group Benefit Expenses</t>
  </si>
  <si>
    <t>Exhibit 2</t>
  </si>
  <si>
    <t>For the Test Year Ending 5/31/2025</t>
  </si>
  <si>
    <t>Page 20</t>
  </si>
  <si>
    <t>Expected 2025 Employee Related Group Benefit Cost</t>
  </si>
  <si>
    <t>(Excludes any Kammer Plant Employees)</t>
  </si>
  <si>
    <t>Net</t>
  </si>
  <si>
    <t xml:space="preserve">Blended </t>
  </si>
  <si>
    <t>Employee</t>
  </si>
  <si>
    <t>Monthly</t>
  </si>
  <si>
    <t>Participating</t>
  </si>
  <si>
    <t>Annual</t>
  </si>
  <si>
    <t>Funding</t>
  </si>
  <si>
    <t>Contribution</t>
  </si>
  <si>
    <t>Costs</t>
  </si>
  <si>
    <t xml:space="preserve">Employees   </t>
  </si>
  <si>
    <t>(1)</t>
  </si>
  <si>
    <t>(2)</t>
  </si>
  <si>
    <t xml:space="preserve">(3)  </t>
  </si>
  <si>
    <t>(4)</t>
  </si>
  <si>
    <t>(5)</t>
  </si>
  <si>
    <t>(6)</t>
  </si>
  <si>
    <t>(7)</t>
  </si>
  <si>
    <t>2025 Insurance Calculation:</t>
  </si>
  <si>
    <t>Anthem HRA</t>
  </si>
  <si>
    <t>Employee Only</t>
  </si>
  <si>
    <t>Employee + Spouse</t>
  </si>
  <si>
    <t>Employee + Child(ren)</t>
  </si>
  <si>
    <t>Employee + Family</t>
  </si>
  <si>
    <t>Anthem HSA Plus</t>
  </si>
  <si>
    <t>Anthem HSA Basic</t>
  </si>
  <si>
    <t>Aetna Dental PPO Plan</t>
  </si>
  <si>
    <t>Aetna Dental DMO Plan</t>
  </si>
  <si>
    <t>Additional Monthly Fees:</t>
  </si>
  <si>
    <t>Employee Assistance Program</t>
  </si>
  <si>
    <t>CancerBridge</t>
  </si>
  <si>
    <t>Wellness Incentive Payout</t>
  </si>
  <si>
    <t>(2025 amounts)</t>
  </si>
  <si>
    <t>Long-Term Disability</t>
  </si>
  <si>
    <t>Life (based on participating payroll)</t>
  </si>
  <si>
    <t xml:space="preserve">     Volume (000)</t>
  </si>
  <si>
    <t>Basic</t>
  </si>
  <si>
    <t>AD&amp;D</t>
  </si>
  <si>
    <t>ER Team AD&amp;D</t>
  </si>
  <si>
    <t>2025 Total Calculated Cost</t>
  </si>
  <si>
    <t>Expected 2025 Employee Related Group Benefit Cost for Mitchell Plant</t>
  </si>
  <si>
    <t>2025 Total Calculated Cost for Mitchell</t>
  </si>
  <si>
    <t>50% Billed to Wheeling Power Company</t>
  </si>
  <si>
    <t>2025 Employee contribution rates</t>
  </si>
  <si>
    <t>Contribution Rates</t>
  </si>
  <si>
    <t>Employee Contributions</t>
  </si>
  <si>
    <t>Full-time Active Employee Share</t>
  </si>
  <si>
    <t>Single</t>
  </si>
  <si>
    <t>EE + Sp</t>
  </si>
  <si>
    <t>EE + Child(ren)</t>
  </si>
  <si>
    <t>Family</t>
  </si>
  <si>
    <t>HRA</t>
  </si>
  <si>
    <t>HSAPlus</t>
  </si>
  <si>
    <t>HSABasic</t>
  </si>
  <si>
    <t>Dental PPO</t>
  </si>
  <si>
    <t>Dental DMO</t>
  </si>
  <si>
    <t>Vision</t>
  </si>
  <si>
    <t>Vision plan is fully paid by empoloyees</t>
  </si>
  <si>
    <t>Part-time Active Employee Share</t>
  </si>
  <si>
    <t>Medical Plan Count</t>
  </si>
  <si>
    <t>Dental Plan Count</t>
  </si>
  <si>
    <t>Business Unit</t>
  </si>
  <si>
    <t>Plan</t>
  </si>
  <si>
    <t>Coverage Level</t>
  </si>
  <si>
    <t>Count</t>
  </si>
  <si>
    <t>Plus Plan</t>
  </si>
  <si>
    <t>EE Only</t>
  </si>
  <si>
    <t>EE &amp; Spouse</t>
  </si>
  <si>
    <t>EE &amp; Child(ren)</t>
  </si>
  <si>
    <t>EE &amp; Family</t>
  </si>
  <si>
    <t>Basic Plan</t>
  </si>
  <si>
    <t>HRA Plan</t>
  </si>
  <si>
    <t>117 (Big Sandy)</t>
  </si>
  <si>
    <t>413 (Mitchell)</t>
  </si>
  <si>
    <t>413 (Kammer)</t>
  </si>
  <si>
    <t>Total employees 6/1/25</t>
  </si>
  <si>
    <t>Counts as of
6/1/2025</t>
  </si>
  <si>
    <t>Wellness Incentive Payouts</t>
  </si>
  <si>
    <t>2025 Payout</t>
  </si>
  <si>
    <t>Life - Basic</t>
  </si>
  <si>
    <t>Volume</t>
  </si>
  <si>
    <t>2025 Company Rate</t>
  </si>
  <si>
    <t>.156/1,000</t>
  </si>
  <si>
    <t>414 (Kammer)</t>
  </si>
  <si>
    <t>415 (Kammer)</t>
  </si>
  <si>
    <t>416 (Kammer)</t>
  </si>
  <si>
    <t>Life - AD&amp;D</t>
  </si>
  <si>
    <t>417 (Kammer)</t>
  </si>
  <si>
    <t>418 (Kammer)</t>
  </si>
  <si>
    <t>.018/1,000</t>
  </si>
  <si>
    <t>419 (Kammer)</t>
  </si>
  <si>
    <t>420 (Kammer)</t>
  </si>
  <si>
    <t>421 (Kammer)</t>
  </si>
  <si>
    <t>422 (Kammer)</t>
  </si>
  <si>
    <t>423 (Kammer)</t>
  </si>
  <si>
    <t>424 (Kammer)</t>
  </si>
  <si>
    <t>Life - ER Team</t>
  </si>
  <si>
    <t>.021/1,000</t>
  </si>
  <si>
    <t>431/1823</t>
  </si>
  <si>
    <t>FERC Account Used to Record Amortization</t>
  </si>
  <si>
    <t>Total Deferral (Line 1 + Line 2 + Line 3)</t>
  </si>
  <si>
    <t>Deferral post March 31, 2023 as authorized per order dated January 19, 2024 in Case No. 2023-00159.</t>
  </si>
  <si>
    <t>Deferral for period April 1, 2020 through March 31, 2023, authorized to amortize over 5 years per order dated January 19, 2024 in Case No. 2023-00159.</t>
  </si>
  <si>
    <t>Remaining deferral as of May 31, 2025 for period March 1, 2017 through March 31, 2020, authorized to amortize over 5 years per order dated January 13, 2021 in Case No. 2020-00174.</t>
  </si>
  <si>
    <t>1823538
Def Depr-NERC Compli/Cybersec</t>
  </si>
  <si>
    <t>1823537 
CC-NERC Compliance/Cyber Sec</t>
  </si>
  <si>
    <t>Balance as of May 31, 2025</t>
  </si>
  <si>
    <t>Reconciliation NERC and Cybersecurity Deferred Costs</t>
  </si>
  <si>
    <t>W28-Amortization of NERC Compliance and Cybersecurity Cost Deferral</t>
  </si>
  <si>
    <t>2029 Total</t>
  </si>
  <si>
    <t>2028 Total</t>
  </si>
  <si>
    <t>2027 Total</t>
  </si>
  <si>
    <t>2026 Total</t>
  </si>
  <si>
    <t>Ongoing-Level Amortization</t>
  </si>
  <si>
    <t>2025 Total</t>
  </si>
  <si>
    <t>Test-Year Amortization</t>
  </si>
  <si>
    <t>2024 Total</t>
  </si>
  <si>
    <t>2023 Total</t>
  </si>
  <si>
    <t>2022 Total</t>
  </si>
  <si>
    <t>2021 Total</t>
  </si>
  <si>
    <t>Period</t>
  </si>
  <si>
    <t>Year</t>
  </si>
  <si>
    <t>Case No. 2023-00159</t>
  </si>
  <si>
    <t>Case No. 2020-00174</t>
  </si>
  <si>
    <t>NERCAMRT   Debit / (Credit)</t>
  </si>
  <si>
    <t>To amortize deferred NERC and cyber security carrying charges, and deferred depreciation that was approved for recovery by KPSC in Case No. 2020-00174 and  Case No. 2023-00159.</t>
  </si>
  <si>
    <t>NERCAMRT</t>
  </si>
  <si>
    <t>Journal Description</t>
  </si>
  <si>
    <t>Test Year Ended May 31, 2025</t>
  </si>
  <si>
    <t>Test Year Amortization (Depreciation)</t>
  </si>
  <si>
    <t>Test Year Amortization</t>
  </si>
  <si>
    <t>Test Year Amortization (Carrying Charge - Equity)</t>
  </si>
  <si>
    <t>Test Year Amortization (Carrying Charge - Debt)</t>
  </si>
  <si>
    <t>2,024 Total</t>
  </si>
  <si>
    <t>2024 7</t>
  </si>
  <si>
    <t>2024 6</t>
  </si>
  <si>
    <t>Year.Period</t>
  </si>
  <si>
    <t>Sum of Sum Amount</t>
  </si>
  <si>
    <t>Detail - Severance Expense Recorded During the Test Year</t>
  </si>
  <si>
    <t>W29-Remove Severance Expense</t>
  </si>
  <si>
    <t>FGD</t>
  </si>
  <si>
    <t>Row Labels</t>
  </si>
  <si>
    <t>Sum of 50%</t>
  </si>
  <si>
    <t>31100 - Structures, Improvemnt-Coal</t>
  </si>
  <si>
    <t>31200 - Boiler Plant Equip-Coal</t>
  </si>
  <si>
    <t>31400 - Turbogenerator Units-Coal</t>
  </si>
  <si>
    <t>31500 - Accessory Elect Equip-Coal</t>
  </si>
  <si>
    <t>31600 - Misc Pwr Plant Equip-Coal</t>
  </si>
  <si>
    <t>39100 - Office Furniture, Equipment</t>
  </si>
  <si>
    <t>39800 - Miscellaneous Equipment</t>
  </si>
  <si>
    <t>Mitchell FGD Operating Expense Adjustment</t>
  </si>
  <si>
    <t>Retail Depreciation Total</t>
  </si>
  <si>
    <t>Mitchell FGD Plant in Service by Utility Account</t>
  </si>
  <si>
    <t>May 31, 2025 Property Balances</t>
  </si>
  <si>
    <t>Removal of Mitchell FGD Property Balances</t>
  </si>
  <si>
    <t>Depreciation Expense Allocation</t>
  </si>
  <si>
    <t>W37-Annualization of Depreciation Expense (Excluding ARO Depreciation)</t>
  </si>
  <si>
    <t>OAANERCDEF</t>
  </si>
  <si>
    <t>4030046</t>
  </si>
  <si>
    <t>4040001</t>
  </si>
  <si>
    <t>OAANERCDEF Total</t>
  </si>
  <si>
    <t>Test Year</t>
  </si>
  <si>
    <t>Depreciation Expense per General Ledger Journal Entries (W37, Ln 94 and Footnote (b))</t>
  </si>
  <si>
    <t>Adjustment</t>
  </si>
  <si>
    <t>ARO Depreciation Expense Recorded in the Test Year (Account 4031001)</t>
  </si>
  <si>
    <t>Annualized ARO Depreciation Expense</t>
  </si>
  <si>
    <t>Pikeville Svc Ctr</t>
  </si>
  <si>
    <t>Conner Run - Mitchell</t>
  </si>
  <si>
    <t>ASH-ELG Mitchell</t>
  </si>
  <si>
    <t>ASH-ELG Kammer</t>
  </si>
  <si>
    <t>ASH#5 Mitchell CCR</t>
  </si>
  <si>
    <t>ASH#4 Mitchell</t>
  </si>
  <si>
    <t>ASH#3 Mitchell</t>
  </si>
  <si>
    <t>ASH#2 Mitchell</t>
  </si>
  <si>
    <t>ASH#1 Mitchell</t>
  </si>
  <si>
    <t>Mitchell Asbestos</t>
  </si>
  <si>
    <t>Big Sandy Asbestos</t>
  </si>
  <si>
    <t>Utility Account</t>
  </si>
  <si>
    <t>Location</t>
  </si>
  <si>
    <t>ARO Depreciation Expense per Books</t>
  </si>
  <si>
    <t>W38-Annualization of ARO Depreciation Expense</t>
  </si>
  <si>
    <t>ARO Accretion Expense Recorded in the Test Year (Account 4111005)</t>
  </si>
  <si>
    <t>Annualized ARO Accretion Expense</t>
  </si>
  <si>
    <t>Expensed</t>
  </si>
  <si>
    <t>Deferred</t>
  </si>
  <si>
    <t>ASH-ELG Mitchell Plantwide - KPCo</t>
  </si>
  <si>
    <t>ASH-ELG Kammer Plantwide - KPCo</t>
  </si>
  <si>
    <t>ASH-ELG Big Sandy Plantwide (Deferred to 1823377)</t>
  </si>
  <si>
    <t>ASH#5 Mitchell CCRMU - KPCo</t>
  </si>
  <si>
    <t>ASH#4 Mitchell Wastewater Pd - KPCo</t>
  </si>
  <si>
    <t>ASH#3 Mitchell Ash Pond - KPCo</t>
  </si>
  <si>
    <t>ASH#3 Big Sandy CCRMU (Deferred to 1823377)</t>
  </si>
  <si>
    <t>ASH#2 Mitchell Landfill - KPCo</t>
  </si>
  <si>
    <t>ASH#1 Mitchell Ash Pond - KPCo</t>
  </si>
  <si>
    <t>ASH#1 Connor Run - KPCo Mitchell</t>
  </si>
  <si>
    <t>ASH#1 Big Sandy Ash Pond</t>
  </si>
  <si>
    <t>ARO Pikeville Service Center</t>
  </si>
  <si>
    <t>ARO Mitchell U2 Asbestos - KPCo</t>
  </si>
  <si>
    <t>ARO Mitchell U1 Asbestos - KPCo</t>
  </si>
  <si>
    <t>ARO Mitchell U0 Asbestos - KPCo</t>
  </si>
  <si>
    <t>ARO Kentucky Power State Office</t>
  </si>
  <si>
    <t>ARO Hazard Service Center</t>
  </si>
  <si>
    <t>ARO Big Sandy U2 Asbestos</t>
  </si>
  <si>
    <t>ARO Big Sandy U1 Asbestos</t>
  </si>
  <si>
    <t>Totals</t>
  </si>
  <si>
    <t>Per Books ARO Accretion Expense</t>
  </si>
  <si>
    <t>W39-Annualization of ARO Accretion Expense</t>
  </si>
  <si>
    <t>Remove Amounts</t>
  </si>
  <si>
    <t>9260064</t>
  </si>
  <si>
    <t>Detail of Direct Pension Settlement Costs Recorded in the Test Year</t>
  </si>
  <si>
    <t>W46-Remove Pension Settlement Costs from Rate Base</t>
  </si>
  <si>
    <t>TXACCACNUF</t>
  </si>
  <si>
    <t>Column Labels</t>
  </si>
  <si>
    <t>Kentucky Sales and Use Tax - Energy Exemption Annual Return</t>
  </si>
  <si>
    <t xml:space="preserve">W56-Cash Working Capital </t>
  </si>
  <si>
    <t>Total Working Funds and Other</t>
  </si>
  <si>
    <t>Utility Gross Receipts License Tax (UGRLT)</t>
  </si>
  <si>
    <t>Franchise Fees</t>
  </si>
  <si>
    <t>Sales and Use Tax</t>
  </si>
  <si>
    <t>Average Cash-in-Banks</t>
  </si>
  <si>
    <t>Amount
(b)</t>
  </si>
  <si>
    <t>WORKING FUNDS AND OTHER</t>
  </si>
  <si>
    <t>Working Funds and Other</t>
  </si>
  <si>
    <t xml:space="preserve"> Average </t>
  </si>
  <si>
    <t xml:space="preserve"> Grand Total </t>
  </si>
  <si>
    <t>Day</t>
  </si>
  <si>
    <t>Average Daily Bank Balances</t>
  </si>
  <si>
    <t>EFT</t>
  </si>
  <si>
    <t>Kentucky Department of Revenue</t>
  </si>
  <si>
    <t>(M)</t>
  </si>
  <si>
    <t>(L)</t>
  </si>
  <si>
    <t>(K)</t>
  </si>
  <si>
    <t>(J)</t>
  </si>
  <si>
    <t>(I)</t>
  </si>
  <si>
    <t>(H)</t>
  </si>
  <si>
    <t>(G)</t>
  </si>
  <si>
    <t>(F)</t>
  </si>
  <si>
    <t>(E)</t>
  </si>
  <si>
    <t>(D)</t>
  </si>
  <si>
    <t>(C)</t>
  </si>
  <si>
    <t>(B)</t>
  </si>
  <si>
    <t>(A)</t>
  </si>
  <si>
    <t>Weighted Lead</t>
  </si>
  <si>
    <t>Total Lead</t>
  </si>
  <si>
    <t>Float</t>
  </si>
  <si>
    <t>Payment Lead</t>
  </si>
  <si>
    <t>Service Lead</t>
  </si>
  <si>
    <t xml:space="preserve">Weighting Factor </t>
  </si>
  <si>
    <t>Payment Date</t>
  </si>
  <si>
    <t>Tax Due Date</t>
  </si>
  <si>
    <t>Period Ending</t>
  </si>
  <si>
    <t>Period Beginning</t>
  </si>
  <si>
    <t>Method of Payment</t>
  </si>
  <si>
    <t>Payee</t>
  </si>
  <si>
    <t>Sales/Use Tax</t>
  </si>
  <si>
    <t>Various Localities</t>
  </si>
  <si>
    <t>Due Date</t>
  </si>
  <si>
    <t>Local Franchise Fee</t>
  </si>
  <si>
    <t>Working Capital Amount</t>
  </si>
  <si>
    <t>Average Daily Amount</t>
  </si>
  <si>
    <t>Weighted Expense Lead</t>
  </si>
  <si>
    <t>Category</t>
  </si>
  <si>
    <t xml:space="preserve">Pass Through Taxes - CWC Analysis </t>
  </si>
  <si>
    <t>Total Company Adjusted Payroll Expense</t>
  </si>
  <si>
    <t>Payroll</t>
  </si>
  <si>
    <t>Amortization of monthly prepaids</t>
  </si>
  <si>
    <t>DESCR254</t>
  </si>
  <si>
    <t xml:space="preserve"> Prepaid Amortization Amount </t>
  </si>
  <si>
    <t>Prepayments</t>
  </si>
  <si>
    <t>WV</t>
  </si>
  <si>
    <t>OH</t>
  </si>
  <si>
    <t>KY</t>
  </si>
  <si>
    <t>CWC Amount</t>
  </si>
  <si>
    <t>Fringe Benefit Allocation (Account 4081035)</t>
  </si>
  <si>
    <t>Allocated Amounts</t>
  </si>
  <si>
    <t>O&amp;M Labor</t>
  </si>
  <si>
    <t>OPERATING_UNIT</t>
  </si>
  <si>
    <t>Allocation Factor</t>
  </si>
  <si>
    <t>State Unemployment</t>
  </si>
  <si>
    <t>Net Plant-In-Service at May 31, 2025</t>
  </si>
  <si>
    <t>SITCW31301</t>
  </si>
  <si>
    <t>ITSEC2047</t>
  </si>
  <si>
    <t>SITCX28001</t>
  </si>
  <si>
    <t>ITSEC2091    Cyber Axonius Sec Asst Mgmt</t>
  </si>
  <si>
    <t>SITCU52701</t>
  </si>
  <si>
    <t>ITSEC1934</t>
  </si>
  <si>
    <t>SITCV23501</t>
  </si>
  <si>
    <t>ITSEC1965</t>
  </si>
  <si>
    <t>SITCS61001</t>
  </si>
  <si>
    <t>ITSSV1766</t>
  </si>
  <si>
    <t>SITCU25901</t>
  </si>
  <si>
    <t>ITSEC1882</t>
  </si>
  <si>
    <t>SITCU15901</t>
  </si>
  <si>
    <t>ITSEC1855</t>
  </si>
  <si>
    <t>SITCU15801</t>
  </si>
  <si>
    <t>SITCU06201</t>
  </si>
  <si>
    <t>SITCT49401</t>
  </si>
  <si>
    <t>ITSEC1808</t>
  </si>
  <si>
    <t>SITCT33101</t>
  </si>
  <si>
    <t>ITSEC1795</t>
  </si>
  <si>
    <t>SITCS49801</t>
  </si>
  <si>
    <t>ITSEC1737</t>
  </si>
  <si>
    <t>SITCS62101</t>
  </si>
  <si>
    <t>ITSEC1769</t>
  </si>
  <si>
    <t>SITCS55001</t>
  </si>
  <si>
    <t>ITSEC1753</t>
  </si>
  <si>
    <t>SITCS54901</t>
  </si>
  <si>
    <t>ITSEC1752</t>
  </si>
  <si>
    <t>SITCS44101</t>
  </si>
  <si>
    <t>ITSEC1732</t>
  </si>
  <si>
    <t>SITCS38701</t>
  </si>
  <si>
    <t>ITSEC1726</t>
  </si>
  <si>
    <t>SITCS37701</t>
  </si>
  <si>
    <t>ITSEC1720</t>
  </si>
  <si>
    <t>SITCS32901</t>
  </si>
  <si>
    <t>ITSEC1715</t>
  </si>
  <si>
    <t>SITCS34201</t>
  </si>
  <si>
    <t>ITSEC1716</t>
  </si>
  <si>
    <t>SITCX26401</t>
  </si>
  <si>
    <t>ITSEC1436</t>
  </si>
  <si>
    <t>SITCW34401</t>
  </si>
  <si>
    <t>SITCW31001</t>
  </si>
  <si>
    <t>SITCU51101</t>
  </si>
  <si>
    <t>SITCW22501</t>
  </si>
  <si>
    <t>SITCV38001</t>
  </si>
  <si>
    <t>SITCV37001</t>
  </si>
  <si>
    <t>SITCV34201</t>
  </si>
  <si>
    <t>SITCV29301</t>
  </si>
  <si>
    <t>SITCV17501</t>
  </si>
  <si>
    <t>SITCV11401</t>
  </si>
  <si>
    <t>SITCV16801</t>
  </si>
  <si>
    <t>SITCU36101</t>
  </si>
  <si>
    <t>SITCU31901</t>
  </si>
  <si>
    <t>SITCS23001</t>
  </si>
  <si>
    <t>SITCS22201</t>
  </si>
  <si>
    <t>SITCR33901</t>
  </si>
  <si>
    <t>SITCR25501</t>
  </si>
  <si>
    <t>SITCR23901</t>
  </si>
  <si>
    <t>SITCQ16701</t>
  </si>
  <si>
    <t>ITSEC1552</t>
  </si>
  <si>
    <t>SITCR11401</t>
  </si>
  <si>
    <t>ITSEC1623</t>
  </si>
  <si>
    <t>SITCQ26001</t>
  </si>
  <si>
    <t>ITSEC1567</t>
  </si>
  <si>
    <t>SITCQ16001</t>
  </si>
  <si>
    <t>ITSEC1529</t>
  </si>
  <si>
    <t>SITCQ16201</t>
  </si>
  <si>
    <t>ITSEC1547</t>
  </si>
  <si>
    <t>SITCQ05001</t>
  </si>
  <si>
    <t>ITSEC1478</t>
  </si>
  <si>
    <t>SITCQ05301</t>
  </si>
  <si>
    <t>SITCQ04501</t>
  </si>
  <si>
    <t>SITCA55601</t>
  </si>
  <si>
    <t>ITSSV1382</t>
  </si>
  <si>
    <t>SITC156201</t>
  </si>
  <si>
    <t>SITC152401</t>
  </si>
  <si>
    <t>SITC152301</t>
  </si>
  <si>
    <t>SITC152101</t>
  </si>
  <si>
    <t>SITC151901</t>
  </si>
  <si>
    <t>SITC151801</t>
  </si>
  <si>
    <t>SITC151701</t>
  </si>
  <si>
    <t>SITC056001</t>
  </si>
  <si>
    <t>SITCA40401</t>
  </si>
  <si>
    <t xml:space="preserve">ITSSV1332 </t>
  </si>
  <si>
    <t>SITCB45901</t>
  </si>
  <si>
    <t>ITSSV0003</t>
  </si>
  <si>
    <t>SITCB44601</t>
  </si>
  <si>
    <t>BU 180</t>
  </si>
  <si>
    <t>BU 117</t>
  </si>
  <si>
    <t>BU 110</t>
  </si>
  <si>
    <t>(N) + (M)</t>
  </si>
  <si>
    <t>(K) * ((F) /12)</t>
  </si>
  <si>
    <t>Prior Month SS</t>
  </si>
  <si>
    <t>(O)</t>
  </si>
  <si>
    <t>(N)</t>
  </si>
  <si>
    <t>(E )</t>
  </si>
  <si>
    <t>Current Month Accumulated Depreciation Expense</t>
  </si>
  <si>
    <t>Current Month Depreciation Expense</t>
  </si>
  <si>
    <t>Previous Months Total Accumulated Depreciation</t>
  </si>
  <si>
    <t>Total Balance Eligible for Depreciation Expense</t>
  </si>
  <si>
    <t>Depreciation Rate</t>
  </si>
  <si>
    <t>TOTAL KPCO Costs</t>
  </si>
  <si>
    <t>2025 KPCO Total Costs</t>
  </si>
  <si>
    <t>2024 KPCO Total Costs</t>
  </si>
  <si>
    <t>2023 KPCO Total Costs</t>
  </si>
  <si>
    <t>2022 KPCO Total Costs</t>
  </si>
  <si>
    <t>2021 KPCO Total Costs</t>
  </si>
  <si>
    <t>2020 KPCO Total Costs</t>
  </si>
  <si>
    <t>2019 KPCO Total Costs</t>
  </si>
  <si>
    <t>2018 KPCO Total Costs</t>
  </si>
  <si>
    <t>2017 KPCO Total Costs</t>
  </si>
  <si>
    <t>Work Order</t>
  </si>
  <si>
    <t>Fund Project Number</t>
  </si>
  <si>
    <t>NERC Compliance and Cyber Security Plant-In-Service and Accumulated Depreciation</t>
  </si>
  <si>
    <t>W58-Remove NERC Compliance and Cybersecurity Net Plant from Rate Base</t>
  </si>
  <si>
    <t>W07_PG_X_of_X</t>
  </si>
  <si>
    <t>W10_PG_X_of_X</t>
  </si>
  <si>
    <t>W11_PG_X_of_X</t>
  </si>
  <si>
    <t>W12_PG_X_of_X</t>
  </si>
  <si>
    <t>W13_PG_X_of_X</t>
  </si>
  <si>
    <t>W17_PG_X_of_X</t>
  </si>
  <si>
    <t>W20_PG_X_of_X</t>
  </si>
  <si>
    <t>W25_PG_X_of_X</t>
  </si>
  <si>
    <t>W26_PG_X_of_X</t>
  </si>
  <si>
    <t>W27_PG_X_of_X</t>
  </si>
  <si>
    <t>W28_PG_X_of_X</t>
  </si>
  <si>
    <t>W29_PG_X_of_X</t>
  </si>
  <si>
    <t>W30_PG_X_of_X</t>
  </si>
  <si>
    <t>W31_PG_X_of_X</t>
  </si>
  <si>
    <t>W32_PG_X_of_X</t>
  </si>
  <si>
    <t>W34_PG_X_of_X</t>
  </si>
  <si>
    <t>W35_PG_X_of_X</t>
  </si>
  <si>
    <t>W37_PG_X_of_X</t>
  </si>
  <si>
    <t>W38_PG_X_of_X</t>
  </si>
  <si>
    <t>W39_PG_X_of_X</t>
  </si>
  <si>
    <t>W46_PG_X_of_X</t>
  </si>
  <si>
    <t>W56_PG_X_of_X</t>
  </si>
  <si>
    <t>W58_PG_X_of_X</t>
  </si>
  <si>
    <t>No Additional Workpapers</t>
  </si>
  <si>
    <t>Remove Tariff P.P.A. Revenues and Expenses</t>
  </si>
  <si>
    <t>Remove Tariff D.S.M Revenues and Expenses</t>
  </si>
  <si>
    <t>Adjustment to Remove Joint Use Pole Rental Revenue and Expense Related to a Prior Period</t>
  </si>
  <si>
    <t>Kentucky Power Severance Expense Removal</t>
  </si>
  <si>
    <t>Annualization of Depreciation Expense (Excluding ARO Depreciation)</t>
  </si>
  <si>
    <t>Remove Pension Settlement Costs</t>
  </si>
  <si>
    <t>Request to Defer and Amortize Pension Settlement Costs</t>
  </si>
  <si>
    <t>Adjust depreciation rates</t>
  </si>
  <si>
    <t>Remove Mitchell Plant from Rate Base and Cost of Service</t>
  </si>
  <si>
    <t>Cash Working Capital Adjustment</t>
  </si>
  <si>
    <t>W30-W35</t>
  </si>
  <si>
    <t>Summary of Incentive Compensation &amp; Payroll Adjustments</t>
  </si>
  <si>
    <t>W30_W35_PG_X_of_X</t>
  </si>
  <si>
    <t>9350</t>
  </si>
  <si>
    <t>9302</t>
  </si>
  <si>
    <t>9280</t>
  </si>
  <si>
    <t>9220</t>
  </si>
  <si>
    <t>9200</t>
  </si>
  <si>
    <t>9080</t>
  </si>
  <si>
    <t>9070</t>
  </si>
  <si>
    <t>9030</t>
  </si>
  <si>
    <t>9020</t>
  </si>
  <si>
    <t>5980</t>
  </si>
  <si>
    <t>5970</t>
  </si>
  <si>
    <t>5960</t>
  </si>
  <si>
    <t>5950</t>
  </si>
  <si>
    <t>5940</t>
  </si>
  <si>
    <t>5930</t>
  </si>
  <si>
    <t>5920</t>
  </si>
  <si>
    <t>5900</t>
  </si>
  <si>
    <t>5880</t>
  </si>
  <si>
    <t>5870</t>
  </si>
  <si>
    <t>5860</t>
  </si>
  <si>
    <t>5850</t>
  </si>
  <si>
    <t>5840</t>
  </si>
  <si>
    <t>5830</t>
  </si>
  <si>
    <t>5800</t>
  </si>
  <si>
    <t>5710</t>
  </si>
  <si>
    <t>5660</t>
  </si>
  <si>
    <t>5600</t>
  </si>
  <si>
    <t>5140</t>
  </si>
  <si>
    <t>5130</t>
  </si>
  <si>
    <t>5120</t>
  </si>
  <si>
    <t>5110</t>
  </si>
  <si>
    <t>5100</t>
  </si>
  <si>
    <t>5060</t>
  </si>
  <si>
    <t>Grand Total (FERC Account 408)</t>
  </si>
  <si>
    <t>5050</t>
  </si>
  <si>
    <t>Adj to Social Security Tax Base</t>
  </si>
  <si>
    <t>5020</t>
  </si>
  <si>
    <t>Social Security Tax Expense</t>
  </si>
  <si>
    <t>5010</t>
  </si>
  <si>
    <t>Medicare Tax Expense</t>
  </si>
  <si>
    <t>5000</t>
  </si>
  <si>
    <t>Total KPSC Jurisdictional</t>
  </si>
  <si>
    <t>Total Adjustment</t>
  </si>
  <si>
    <t>Total Base Payroll Adj</t>
  </si>
  <si>
    <t>OT Related to Merit Increase Adj</t>
  </si>
  <si>
    <t>Incentive Comp. Adjustment</t>
  </si>
  <si>
    <t>FERC Accounts</t>
  </si>
  <si>
    <t>Total KPSC Jurisdictional O&amp;M Payroll Adjustment</t>
  </si>
  <si>
    <t>Total O&amp;M Payroll Adjustment</t>
  </si>
  <si>
    <t>W30-W35-Summary of Incentive Compensation &amp; Payroll Adjustments</t>
  </si>
  <si>
    <t>All amounts include 50% of Mitchell</t>
  </si>
  <si>
    <t>(i)</t>
  </si>
  <si>
    <t>(h)</t>
  </si>
  <si>
    <t>(g)</t>
  </si>
  <si>
    <t>(f)</t>
  </si>
  <si>
    <t>(e)</t>
  </si>
  <si>
    <t>(d)</t>
  </si>
  <si>
    <t>(c)</t>
  </si>
  <si>
    <t>(b)</t>
  </si>
  <si>
    <t>(a)</t>
  </si>
  <si>
    <t>Total Adjustment to Incentive Compensation Expense
(d+g)</t>
  </si>
  <si>
    <t>Net Change in LTIP Cost
(f-e)</t>
  </si>
  <si>
    <t>Expected Cost at a Level 1.0 Target*</t>
  </si>
  <si>
    <t xml:space="preserve">Test Year LTIP </t>
  </si>
  <si>
    <t>Net Change in ICP Cost
(c-b)</t>
  </si>
  <si>
    <t>Test Year ICP</t>
  </si>
  <si>
    <t>With Formula Links to Support</t>
  </si>
  <si>
    <t>W30-KPCo Incentive Compensation Expense Adjustment</t>
  </si>
  <si>
    <t>4265</t>
  </si>
  <si>
    <t>4264</t>
  </si>
  <si>
    <t>4261</t>
  </si>
  <si>
    <t>1860</t>
  </si>
  <si>
    <t>1850</t>
  </si>
  <si>
    <t>1840</t>
  </si>
  <si>
    <t>1830</t>
  </si>
  <si>
    <t>1630</t>
  </si>
  <si>
    <t>1520</t>
  </si>
  <si>
    <t>1080</t>
  </si>
  <si>
    <t>1070</t>
  </si>
  <si>
    <t>ICP Adjustment</t>
  </si>
  <si>
    <t>Target</t>
  </si>
  <si>
    <t>158</t>
  </si>
  <si>
    <t>155</t>
  </si>
  <si>
    <t>149</t>
  </si>
  <si>
    <t>148</t>
  </si>
  <si>
    <t>141</t>
  </si>
  <si>
    <t>Sum of Allocated Monetary Amount</t>
  </si>
  <si>
    <t>ICP</t>
  </si>
  <si>
    <t>Pay Type</t>
  </si>
  <si>
    <t>Calculation for ICP Adjustment</t>
  </si>
  <si>
    <t>LTIP Adjustment to 1.0 excluding 50% Mitchell</t>
  </si>
  <si>
    <t>1.0 target excluding 50% of Mitchell</t>
  </si>
  <si>
    <t>LTIP</t>
  </si>
  <si>
    <t>Calculation for LTIP Adjustment</t>
  </si>
  <si>
    <t>*All amounts include 50% of Mitchell</t>
  </si>
  <si>
    <t>Note: Changes to base payroll exclude overtime, severance payments, incentive payments and other remunerations</t>
  </si>
  <si>
    <t>Total Base Payroll Adjustment
(b+d+f)</t>
  </si>
  <si>
    <t>Merit/General Increase Adjustment
(e-c)</t>
  </si>
  <si>
    <t>Annualized Base with Merit/General Increases as of 5/31/25*</t>
  </si>
  <si>
    <t>Base Payroll Annualiztion Adjustment
(c-b)</t>
  </si>
  <si>
    <t>Annualized Base as of 5/31/25*</t>
  </si>
  <si>
    <t>Test Year Base Payroll</t>
  </si>
  <si>
    <t>W31-KPCo Annualization of Payroll Expense Adjustment</t>
  </si>
  <si>
    <t>O&amp;M Portion</t>
  </si>
  <si>
    <t>2420</t>
  </si>
  <si>
    <t>Total Base Adjustment
(h-a)</t>
  </si>
  <si>
    <t>Merit/General Increase Adjustment
(h-d)</t>
  </si>
  <si>
    <t>Annualized Base with Merit/General Increases as of 5/31/25
(f+g)</t>
  </si>
  <si>
    <t>Annualized Base for 50% of Mitchell with Merit/General Increases as of 5/31/25</t>
  </si>
  <si>
    <t>Annualized Base of Kentucky with Merit/General Increases as of 5/31/25</t>
  </si>
  <si>
    <t>Annualization Adjustment
(e-b)</t>
  </si>
  <si>
    <t>Annualized Base as of 5/31/25
(b+c)</t>
  </si>
  <si>
    <t>Annualized Base for 50% of Mitchell as of 5/31/25</t>
  </si>
  <si>
    <t>Annualized Base of Kentucky as of 3/31/25</t>
  </si>
  <si>
    <t>Summary of Adjustment to Base Payroll</t>
  </si>
  <si>
    <t>Base</t>
  </si>
  <si>
    <t>Pivot of Test Year Base Payroll Data</t>
  </si>
  <si>
    <t>Total Projected Base (Including 50% of Mitchell)</t>
  </si>
  <si>
    <t>Annual Base Rates (Including 50% of Mitchell)</t>
  </si>
  <si>
    <t>U036_ASTR</t>
  </si>
  <si>
    <t>U036</t>
  </si>
  <si>
    <t>SP20</t>
  </si>
  <si>
    <t>Sum of ANNUAL_RT</t>
  </si>
  <si>
    <t>Salary Plan</t>
  </si>
  <si>
    <t>Yes</t>
  </si>
  <si>
    <t>Mitchell</t>
  </si>
  <si>
    <t>AsOfDate</t>
  </si>
  <si>
    <t>Mitchell Plant</t>
  </si>
  <si>
    <t>U093</t>
  </si>
  <si>
    <t>U091</t>
  </si>
  <si>
    <t>U057</t>
  </si>
  <si>
    <t>U056</t>
  </si>
  <si>
    <t>U052</t>
  </si>
  <si>
    <t>U051</t>
  </si>
  <si>
    <t>U004_ASTR</t>
  </si>
  <si>
    <t>U004</t>
  </si>
  <si>
    <t>N007</t>
  </si>
  <si>
    <t>N004</t>
  </si>
  <si>
    <t>Base Rates Projected as of 3/31/2021</t>
  </si>
  <si>
    <t>Increase %</t>
  </si>
  <si>
    <t>Date of Merit/General Increase</t>
  </si>
  <si>
    <t>Pivot of Annual Base Rates by Salary Plan</t>
  </si>
  <si>
    <t>For the Test Year End 5/31/2025</t>
  </si>
  <si>
    <t>Annualization of Payroll Expense Adjustment</t>
  </si>
  <si>
    <t>Base Increase Percentage based on 2.5% merit increase</t>
  </si>
  <si>
    <t>Total OT Related to Employee Merit Increase
(b+c)</t>
  </si>
  <si>
    <t>Blended Base Increase Percentage*</t>
  </si>
  <si>
    <t>Test Year OT Payroll</t>
  </si>
  <si>
    <t>W32-KPCo Overtime Related to Employee Merit Increases Adjustment</t>
  </si>
  <si>
    <t>Blended Base Increase Percentage</t>
  </si>
  <si>
    <t>OT</t>
  </si>
  <si>
    <t>Summary of Adjustment to OT Payroll</t>
  </si>
  <si>
    <t>KPSC Jurisdictional Adjustment to Decrease O&amp;M Expense for Social Security Tax (FERC Account 408)</t>
  </si>
  <si>
    <t>KYJurisdictional Factor - OML</t>
  </si>
  <si>
    <t>Total Adjustment to Decrease O&amp;M Expense for Social Security Tax (FERC Account 408)</t>
  </si>
  <si>
    <t>Social Security Tax Rate</t>
  </si>
  <si>
    <t>Adjustment to O&amp;M Payroll Subject to Social Security Tax</t>
  </si>
  <si>
    <t>Percentage of Salaries Subject to Social Security Tax</t>
  </si>
  <si>
    <t>Percentage Not Subject to Social Security Tax</t>
  </si>
  <si>
    <t>2024 Salaries, Paid Overtime and other remunerations</t>
  </si>
  <si>
    <t>2024 Salaries in Excess of Social Security Taxes (adj for 50% Mitchell)</t>
  </si>
  <si>
    <t>Change in O&amp;M Payroll</t>
  </si>
  <si>
    <t xml:space="preserve">2025 O&amp;M Merit Increases Effect on Overtime </t>
  </si>
  <si>
    <t>2025 O&amp;M Merit Increases</t>
  </si>
  <si>
    <t>Annualization Adjustment of O&amp;M Base Payroll</t>
  </si>
  <si>
    <t>Change in O&amp;M LTIP Incentives</t>
  </si>
  <si>
    <t>Change in O&amp;M ICP Incentives</t>
  </si>
  <si>
    <t>No.</t>
  </si>
  <si>
    <t>W34-KPCo Social Security Tax Expense Adjustment</t>
  </si>
  <si>
    <t>110 Kentucky Power Co - Dist</t>
  </si>
  <si>
    <t>413 Wheeling Power Co - Generation</t>
  </si>
  <si>
    <t>Wheeling Power Company</t>
  </si>
  <si>
    <t>117 Kentucky Power Co - Gene</t>
  </si>
  <si>
    <t>2024 Salaries in Excess of Social Security Taxes (Adjusted for 50% Mitchell)</t>
  </si>
  <si>
    <t>Sum of Amount over FICA Limit2</t>
  </si>
  <si>
    <t>Count of Amount over FICA Limit</t>
  </si>
  <si>
    <t>Amount over FICA Limit</t>
  </si>
  <si>
    <t>2024 FICA Limit</t>
  </si>
  <si>
    <t>Medicare wages and tips</t>
  </si>
  <si>
    <t>Company</t>
  </si>
  <si>
    <t>Salaries above Social Security Limits for 2024</t>
  </si>
  <si>
    <t>Incentive Payments</t>
  </si>
  <si>
    <t>Fiscal Year</t>
  </si>
  <si>
    <t>KPSC Jurisdictional Adjustment to Increase O&amp;M for Change in the Social Security Tax Base (FERC Account 408)</t>
  </si>
  <si>
    <t>Adjustment to Increase O&amp;M Expense for Change in the Social Security Tax Base (FERC Account 408)</t>
  </si>
  <si>
    <t xml:space="preserve">KPCo O&amp;M% </t>
  </si>
  <si>
    <t>50% Billed from Wheeling Power Company</t>
  </si>
  <si>
    <t>Increase in Social Security Tax due to Increase in Base</t>
  </si>
  <si>
    <t>Adjustment to Social Security Base</t>
  </si>
  <si>
    <t>Increase in Social Security Tax Base</t>
  </si>
  <si>
    <t>Social Security Tax Base for 2024</t>
  </si>
  <si>
    <t>Social Security Tax Base for 2025</t>
  </si>
  <si>
    <t>Employees earning more than $168,600 limit in 2024</t>
  </si>
  <si>
    <t>1</t>
  </si>
  <si>
    <t xml:space="preserve">KPCo (Excluding Mitchell) </t>
  </si>
  <si>
    <t>W35-KPCo Social Security Tax Base Adjustment</t>
  </si>
  <si>
    <t>O&amp;M %</t>
  </si>
  <si>
    <t>Kentucky Region Total</t>
  </si>
  <si>
    <t>9260</t>
  </si>
  <si>
    <t>Sum of Act $</t>
  </si>
  <si>
    <t>Kentucky Region</t>
  </si>
  <si>
    <t>clearing</t>
  </si>
  <si>
    <t>Region</t>
  </si>
  <si>
    <t>5620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</si>
</sst>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 #,##0.00_);&quot;$&quot;* \(#,##0.00\);&quot;$&quot;* &quot;—&quot;_);_(@_)"/>
    <numFmt numFmtId="165" formatCode="* #,##0.00;* \(#,##0.00\);* &quot;—&quot;;_(@_)"/>
    <numFmt numFmtId="166" formatCode="* #,##0;* \(#,##0\);* &quot;—&quot;;_(@_)"/>
    <numFmt numFmtId="167" formatCode="* #,##0.000000000;* \(#,##0.000000000\);* &quot;—&quot;;_(@_)"/>
    <numFmt numFmtId="168" formatCode="#0;&quot;-&quot;#0;#0;_(@_)"/>
    <numFmt numFmtId="169" formatCode="#0.#######################;&quot;-&quot;#0.#######################;#0.#######################;_(@_)"/>
    <numFmt numFmtId="170" formatCode="_(&quot;$&quot;* #,##0_);_(&quot;$&quot;* \(#,##0\);_(&quot;$&quot;* &quot;-&quot;??_);_(@_)"/>
    <numFmt numFmtId="171" formatCode="_(* #,##0_);_(* \(#,##0\);_(* &quot;-&quot;??_);_(@_)"/>
    <numFmt numFmtId="172" formatCode="#,##0.0000_);\(#,##0.0000\)"/>
    <numFmt numFmtId="173" formatCode="&quot;$&quot;* #,##0_);&quot;$&quot;* \(#,##0\);&quot;$&quot;* &quot;—&quot;_);_(@_)"/>
    <numFmt numFmtId="174" formatCode="#0.00;&quot;-&quot;#0.00;#0.00;_(@_)"/>
    <numFmt numFmtId="175" formatCode="#,##0.00;\(#,##0.00\);&quot;—&quot;;_(@_)"/>
    <numFmt numFmtId="176" formatCode="&quot;$&quot;#,##0.00_);&quot;$&quot;\(#,##0.00\);&quot;$&quot;&quot;—&quot;_);_(@_)"/>
    <numFmt numFmtId="177" formatCode="&quot;&quot;* #,##0_);&quot;&quot;* \(#,##0\);&quot;&quot;* #,##0_);_(@_)"/>
    <numFmt numFmtId="178" formatCode="#0.00_)%;\(#0.00\)%;#0.00_)%;_(@_)"/>
    <numFmt numFmtId="179" formatCode="_(* #,##0.000_);_(* \(#,##0.000\);_(* &quot;-&quot;??_);_(@_)"/>
    <numFmt numFmtId="180" formatCode="&quot;$&quot;#,##0.00"/>
    <numFmt numFmtId="181" formatCode="#,##0;&quot;-&quot;#,##0;#,##0;_(@_)"/>
    <numFmt numFmtId="182" formatCode="mmmm\ d\,\ yyyy"/>
    <numFmt numFmtId="183" formatCode="&quot;&quot;* #,##0.00_);&quot;&quot;* \(#,##0.00\);&quot;&quot;* #,##0.00_);_(@_)"/>
    <numFmt numFmtId="184" formatCode="#,##0.00;&quot;-&quot;#,##0.00;#,##0.00;_(@_)"/>
    <numFmt numFmtId="185" formatCode="&quot;$&quot;* #,##0_);&quot;$&quot;* \(#,##0\);&quot;$&quot;* #,##0_);_(@_)"/>
    <numFmt numFmtId="186" formatCode="#0.000_)%;\(#0.000\)%;#0.000_)%;_(@_)"/>
    <numFmt numFmtId="187" formatCode="#0.000;&quot;-&quot;#0.000;#0.000;_(@_)"/>
    <numFmt numFmtId="188" formatCode="#0_)%;\(#0\)%;#0_)%;_(@_)"/>
    <numFmt numFmtId="189" formatCode="0.000"/>
    <numFmt numFmtId="190" formatCode="0.0%"/>
    <numFmt numFmtId="191" formatCode="#0"/>
    <numFmt numFmtId="192" formatCode="0.0000%"/>
    <numFmt numFmtId="193" formatCode="0.000%"/>
  </numFmts>
  <fonts count="49">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0"/>
      <color rgb="FF000000"/>
      <name val="Arial"/>
      <family val="2"/>
    </font>
    <font>
      <sz val="10"/>
      <name val="Arial"/>
      <family val="2"/>
    </font>
    <font>
      <sz val="10"/>
      <color rgb="FF000000"/>
      <name val="Arial"/>
      <family val="2"/>
    </font>
    <font>
      <sz val="12"/>
      <name val="Arial MT"/>
    </font>
    <font>
      <b/>
      <sz val="10"/>
      <name val="Arial"/>
      <family val="2"/>
    </font>
    <font>
      <sz val="10"/>
      <name val="Arial"/>
      <family val="2"/>
    </font>
    <font>
      <b/>
      <i/>
      <u/>
      <sz val="10"/>
      <name val="Arial"/>
      <family val="2"/>
    </font>
    <font>
      <b/>
      <u/>
      <sz val="10"/>
      <name val="Arial"/>
      <family val="2"/>
    </font>
    <font>
      <i/>
      <u/>
      <sz val="10"/>
      <name val="Arial"/>
      <family val="2"/>
    </font>
    <font>
      <u/>
      <sz val="10"/>
      <name val="Arial"/>
      <family val="2"/>
    </font>
    <font>
      <b/>
      <sz val="11"/>
      <name val="Arial"/>
      <family val="2"/>
    </font>
    <font>
      <b/>
      <sz val="12"/>
      <color rgb="FFFF0000"/>
      <name val="Arial MT"/>
    </font>
    <font>
      <b/>
      <sz val="10"/>
      <color rgb="FFFF0000"/>
      <name val="Arial"/>
      <family val="2"/>
    </font>
    <font>
      <b/>
      <sz val="9"/>
      <color indexed="81"/>
      <name val="Tahoma"/>
      <family val="2"/>
    </font>
    <font>
      <sz val="9"/>
      <color indexed="81"/>
      <name val="Tahoma"/>
      <family val="2"/>
    </font>
    <font>
      <i/>
      <u/>
      <sz val="10"/>
      <color rgb="FF000000"/>
      <name val="Arial"/>
      <family val="2"/>
    </font>
    <font>
      <sz val="9"/>
      <color rgb="FF000000"/>
      <name val="Arial"/>
      <family val="2"/>
    </font>
    <font>
      <b/>
      <u/>
      <sz val="10"/>
      <color rgb="FF000000"/>
      <name val="Arial"/>
      <family val="2"/>
    </font>
    <font>
      <b/>
      <i/>
      <sz val="10"/>
      <color rgb="FF000000"/>
      <name val="Arial"/>
      <family val="2"/>
    </font>
    <font>
      <sz val="10"/>
      <color theme="1"/>
      <name val="Arial"/>
      <family val="2"/>
    </font>
    <font>
      <sz val="8"/>
      <color theme="1"/>
      <name val="Arial"/>
      <family val="2"/>
    </font>
    <font>
      <sz val="9"/>
      <color theme="1"/>
      <name val="Arial"/>
      <family val="2"/>
    </font>
    <font>
      <sz val="10"/>
      <color rgb="FF000000"/>
      <name val="Times New Roman"/>
      <family val="1"/>
    </font>
    <font>
      <sz val="10"/>
      <color rgb="FF000000"/>
      <name val="Arial"/>
      <family val="2"/>
    </font>
    <font>
      <sz val="12"/>
      <color rgb="FF000000"/>
      <name val="Arial"/>
      <family val="2"/>
    </font>
    <font>
      <b/>
      <sz val="11"/>
      <name val="Tw Cen MT"/>
      <family val="2"/>
    </font>
    <font>
      <sz val="11"/>
      <name val="Tw Cen MT"/>
      <family val="2"/>
    </font>
    <font>
      <b/>
      <sz val="10"/>
      <color theme="1"/>
      <name val="Arial"/>
      <family val="2"/>
    </font>
    <font>
      <sz val="9"/>
      <color theme="1"/>
      <name val="Segoe UI"/>
      <family val="2"/>
      <charset val="1"/>
    </font>
    <font>
      <b/>
      <sz val="9"/>
      <color theme="1"/>
      <name val="Segoe UI"/>
      <family val="2"/>
      <charset val="1"/>
    </font>
    <font>
      <b/>
      <i/>
      <sz val="9"/>
      <color theme="1"/>
      <name val="Segoe UI"/>
      <family val="2"/>
    </font>
    <font>
      <b/>
      <sz val="9"/>
      <color theme="1"/>
      <name val="Segoe UI"/>
      <family val="2"/>
    </font>
    <font>
      <b/>
      <sz val="9"/>
      <color rgb="FF000000"/>
      <name val="Segoe UI"/>
      <family val="2"/>
    </font>
    <font>
      <sz val="11"/>
      <color indexed="8"/>
      <name val="Aptos Narrow"/>
      <family val="2"/>
      <scheme val="minor"/>
    </font>
    <font>
      <b/>
      <sz val="10"/>
      <color rgb="FF000000"/>
      <name val="Arial"/>
      <family val="2"/>
    </font>
    <font>
      <sz val="10"/>
      <color theme="1"/>
      <name val="Tahoma"/>
      <family val="2"/>
    </font>
    <font>
      <b/>
      <sz val="10"/>
      <color theme="1"/>
      <name val="Tahoma"/>
      <family val="2"/>
    </font>
    <font>
      <b/>
      <sz val="11"/>
      <color theme="1"/>
      <name val="Tahoma"/>
      <family val="2"/>
    </font>
    <font>
      <b/>
      <sz val="11"/>
      <color theme="1"/>
      <name val="Arial"/>
      <family val="2"/>
    </font>
    <font>
      <sz val="9"/>
      <name val="Arial"/>
      <family val="2"/>
    </font>
    <font>
      <sz val="9"/>
      <name val="Arial MT"/>
    </font>
    <font>
      <b/>
      <sz val="10"/>
      <color indexed="8"/>
      <name val="Arial"/>
      <family val="2"/>
    </font>
    <font>
      <b/>
      <sz val="10"/>
      <name val="Arial Unicode MS"/>
    </font>
    <font>
      <sz val="10"/>
      <color rgb="FF000000"/>
      <name val="Tahoma"/>
      <family val="2"/>
    </font>
    <font>
      <b/>
      <sz val="9"/>
      <name val="Arial"/>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EEFF"/>
        <bgColor indexed="64"/>
      </patternFill>
    </fill>
    <fill>
      <patternFill patternType="solid">
        <fgColor rgb="FFCBCBCB"/>
        <bgColor indexed="64"/>
      </patternFill>
    </fill>
    <fill>
      <patternFill patternType="solid">
        <fgColor rgb="FFFFFFFF"/>
        <bgColor indexed="64"/>
      </patternFill>
    </fill>
    <fill>
      <patternFill patternType="solid">
        <fgColor rgb="FFDBDBDB"/>
        <bgColor indexed="64"/>
      </patternFill>
    </fill>
    <fill>
      <patternFill patternType="solid">
        <fgColor theme="4" tint="0.79998168889431442"/>
        <bgColor indexed="64"/>
      </patternFill>
    </fill>
    <fill>
      <patternFill patternType="solid">
        <fgColor rgb="FF92D050"/>
        <bgColor indexed="64"/>
      </patternFill>
    </fill>
    <fill>
      <patternFill patternType="solid">
        <fgColor rgb="FFBFE4FF"/>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22"/>
        <bgColor indexed="64"/>
      </patternFill>
    </fill>
  </fills>
  <borders count="65">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double">
        <color rgb="FF000000"/>
      </top>
      <bottom/>
      <diagonal/>
    </border>
    <border>
      <left/>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theme="1"/>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right style="thin">
        <color rgb="FF000000"/>
      </right>
      <top/>
      <bottom/>
      <diagonal/>
    </border>
    <border>
      <left style="thin">
        <color rgb="FF000000"/>
      </left>
      <right style="thin">
        <color rgb="FF000000"/>
      </right>
      <top/>
      <bottom/>
      <diagonal/>
    </border>
    <border>
      <left/>
      <right/>
      <top/>
      <bottom style="double">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double">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style="double">
        <color rgb="FF000000"/>
      </top>
      <bottom/>
      <diagonal/>
    </border>
    <border>
      <left/>
      <right style="thin">
        <color rgb="FF000000"/>
      </right>
      <top style="thin">
        <color rgb="FF000000"/>
      </top>
      <bottom style="double">
        <color rgb="FF000000"/>
      </bottom>
      <diagonal/>
    </border>
    <border>
      <left/>
      <right style="thin">
        <color rgb="FF000000"/>
      </right>
      <top style="thin">
        <color rgb="FF000000"/>
      </top>
      <bottom/>
      <diagonal/>
    </border>
    <border>
      <left/>
      <right/>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right/>
      <top style="thin">
        <color indexed="8"/>
      </top>
      <bottom/>
      <diagonal/>
    </border>
    <border>
      <left/>
      <right/>
      <top/>
      <bottom style="thin">
        <color indexed="8"/>
      </bottom>
      <diagonal/>
    </border>
  </borders>
  <cellStyleXfs count="34">
    <xf numFmtId="0" fontId="0" fillId="0" borderId="0"/>
    <xf numFmtId="43" fontId="1" fillId="0" borderId="0" applyFont="0" applyFill="0" applyBorder="0" applyAlignment="0" applyProtection="0"/>
    <xf numFmtId="0" fontId="5" fillId="0" borderId="0"/>
    <xf numFmtId="0" fontId="6" fillId="0" borderId="0" applyBorder="0">
      <alignment wrapText="1"/>
    </xf>
    <xf numFmtId="0" fontId="7" fillId="0" borderId="0"/>
    <xf numFmtId="44" fontId="7"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 fillId="0" borderId="0"/>
    <xf numFmtId="0" fontId="9" fillId="0" borderId="0"/>
    <xf numFmtId="44" fontId="9" fillId="0" borderId="0" applyFont="0" applyFill="0" applyBorder="0" applyAlignment="0" applyProtection="0"/>
    <xf numFmtId="0" fontId="23" fillId="0" borderId="0"/>
    <xf numFmtId="43" fontId="23" fillId="0" borderId="0" applyFont="0" applyFill="0" applyBorder="0" applyAlignment="0" applyProtection="0"/>
    <xf numFmtId="0" fontId="26" fillId="0" borderId="0"/>
    <xf numFmtId="0" fontId="1" fillId="0" borderId="0"/>
    <xf numFmtId="43" fontId="1" fillId="0" borderId="0" applyFont="0" applyFill="0" applyBorder="0" applyAlignment="0" applyProtection="0"/>
    <xf numFmtId="0" fontId="32" fillId="0" borderId="0"/>
    <xf numFmtId="9" fontId="32" fillId="0" borderId="0" applyFont="0" applyFill="0" applyBorder="0" applyAlignment="0" applyProtection="0"/>
    <xf numFmtId="0" fontId="37" fillId="0" borderId="0"/>
    <xf numFmtId="0" fontId="9" fillId="0" borderId="0"/>
    <xf numFmtId="0" fontId="27" fillId="0" borderId="0" applyBorder="0">
      <alignment wrapText="1"/>
    </xf>
    <xf numFmtId="0" fontId="39" fillId="0" borderId="0"/>
    <xf numFmtId="43" fontId="1" fillId="0" borderId="0" applyFont="0" applyFill="0" applyBorder="0" applyAlignment="0" applyProtection="0"/>
    <xf numFmtId="0" fontId="23"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7"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cellStyleXfs>
  <cellXfs count="765">
    <xf numFmtId="0" fontId="0" fillId="0" borderId="0" xfId="0"/>
    <xf numFmtId="0" fontId="4" fillId="0" borderId="0" xfId="0" applyFont="1" applyAlignment="1">
      <alignment wrapText="1"/>
    </xf>
    <xf numFmtId="0" fontId="5" fillId="0" borderId="0" xfId="2"/>
    <xf numFmtId="0" fontId="6" fillId="0" borderId="0" xfId="2" applyFont="1" applyAlignment="1">
      <alignment horizontal="left" wrapText="1"/>
    </xf>
    <xf numFmtId="0" fontId="4" fillId="0" borderId="1" xfId="2" applyFont="1" applyBorder="1" applyAlignment="1">
      <alignment horizontal="center" wrapText="1"/>
    </xf>
    <xf numFmtId="0" fontId="4" fillId="0" borderId="0" xfId="2" applyFont="1" applyAlignment="1">
      <alignment horizontal="right" wrapText="1"/>
    </xf>
    <xf numFmtId="164" fontId="4" fillId="0" borderId="2" xfId="2" applyNumberFormat="1" applyFont="1" applyBorder="1" applyAlignment="1">
      <alignment wrapText="1"/>
    </xf>
    <xf numFmtId="0" fontId="6" fillId="0" borderId="2" xfId="2" applyFont="1" applyBorder="1" applyAlignment="1">
      <alignment wrapText="1"/>
    </xf>
    <xf numFmtId="164" fontId="6" fillId="0" borderId="2" xfId="2" applyNumberFormat="1" applyFont="1" applyBorder="1" applyAlignment="1">
      <alignment wrapText="1"/>
    </xf>
    <xf numFmtId="165" fontId="6" fillId="0" borderId="3" xfId="2" applyNumberFormat="1" applyFont="1" applyBorder="1" applyAlignment="1">
      <alignment wrapText="1"/>
    </xf>
    <xf numFmtId="165" fontId="6" fillId="0" borderId="0" xfId="2" applyNumberFormat="1" applyFont="1" applyAlignment="1">
      <alignment wrapText="1"/>
    </xf>
    <xf numFmtId="166" fontId="6" fillId="0" borderId="0" xfId="2" applyNumberFormat="1" applyFont="1" applyAlignment="1">
      <alignment wrapText="1"/>
    </xf>
    <xf numFmtId="167" fontId="6" fillId="0" borderId="0" xfId="2" applyNumberFormat="1" applyFont="1" applyAlignment="1">
      <alignment wrapText="1"/>
    </xf>
    <xf numFmtId="0" fontId="6" fillId="0" borderId="0" xfId="3">
      <alignment wrapText="1"/>
    </xf>
    <xf numFmtId="165" fontId="6" fillId="0" borderId="1" xfId="2" applyNumberFormat="1" applyFont="1" applyBorder="1" applyAlignment="1">
      <alignment wrapText="1"/>
    </xf>
    <xf numFmtId="166" fontId="6" fillId="0" borderId="1" xfId="2" applyNumberFormat="1" applyFont="1" applyBorder="1" applyAlignment="1">
      <alignment wrapText="1"/>
    </xf>
    <xf numFmtId="167" fontId="6" fillId="0" borderId="1" xfId="2" applyNumberFormat="1" applyFont="1" applyBorder="1" applyAlignment="1">
      <alignment wrapText="1"/>
    </xf>
    <xf numFmtId="0" fontId="6" fillId="0" borderId="1" xfId="2" applyFont="1" applyBorder="1" applyAlignment="1">
      <alignment wrapText="1"/>
    </xf>
    <xf numFmtId="0" fontId="6" fillId="0" borderId="4" xfId="2" applyFont="1" applyBorder="1" applyAlignment="1">
      <alignment wrapText="1"/>
    </xf>
    <xf numFmtId="0" fontId="6" fillId="0" borderId="5" xfId="2" applyFont="1" applyBorder="1" applyAlignment="1">
      <alignment horizontal="center" vertical="center" wrapText="1"/>
    </xf>
    <xf numFmtId="168" fontId="6" fillId="0" borderId="0" xfId="2" applyNumberFormat="1" applyFont="1" applyAlignment="1">
      <alignment wrapText="1"/>
    </xf>
    <xf numFmtId="164" fontId="6" fillId="0" borderId="0" xfId="2" applyNumberFormat="1" applyFont="1" applyAlignment="1">
      <alignment wrapText="1"/>
    </xf>
    <xf numFmtId="0" fontId="6" fillId="0" borderId="6" xfId="2" applyFont="1" applyBorder="1" applyAlignment="1">
      <alignment wrapText="1"/>
    </xf>
    <xf numFmtId="165" fontId="6" fillId="0" borderId="7" xfId="2" applyNumberFormat="1" applyFont="1" applyBorder="1" applyAlignment="1">
      <alignment wrapText="1"/>
    </xf>
    <xf numFmtId="0" fontId="6" fillId="0" borderId="3" xfId="2" applyFont="1" applyBorder="1" applyAlignment="1">
      <alignment wrapText="1"/>
    </xf>
    <xf numFmtId="169" fontId="6" fillId="0" borderId="0" xfId="2" applyNumberFormat="1" applyFont="1" applyAlignment="1">
      <alignment wrapText="1"/>
    </xf>
    <xf numFmtId="168" fontId="4" fillId="0" borderId="5" xfId="2" applyNumberFormat="1" applyFont="1" applyBorder="1" applyAlignment="1">
      <alignment horizontal="center" wrapText="1"/>
    </xf>
    <xf numFmtId="0" fontId="4" fillId="0" borderId="5" xfId="2" applyFont="1" applyBorder="1" applyAlignment="1">
      <alignment horizontal="center" wrapText="1"/>
    </xf>
    <xf numFmtId="0" fontId="6" fillId="0" borderId="5" xfId="2" applyFont="1" applyBorder="1" applyAlignment="1">
      <alignment horizontal="center" wrapText="1"/>
    </xf>
    <xf numFmtId="0" fontId="9" fillId="2" borderId="0" xfId="4" applyFont="1" applyFill="1"/>
    <xf numFmtId="0" fontId="8" fillId="2" borderId="0" xfId="4" applyFont="1" applyFill="1"/>
    <xf numFmtId="0" fontId="8" fillId="2" borderId="0" xfId="4" applyFont="1" applyFill="1" applyAlignment="1">
      <alignment horizontal="center" wrapText="1"/>
    </xf>
    <xf numFmtId="0" fontId="8" fillId="2" borderId="0" xfId="4" applyFont="1" applyFill="1" applyAlignment="1">
      <alignment horizontal="center"/>
    </xf>
    <xf numFmtId="0" fontId="9" fillId="2" borderId="0" xfId="4" applyFont="1" applyFill="1" applyAlignment="1">
      <alignment horizontal="center"/>
    </xf>
    <xf numFmtId="0" fontId="10" fillId="0" borderId="0" xfId="4" applyFont="1"/>
    <xf numFmtId="0" fontId="8" fillId="0" borderId="0" xfId="4" applyFont="1" applyAlignment="1">
      <alignment horizontal="center"/>
    </xf>
    <xf numFmtId="0" fontId="11" fillId="0" borderId="0" xfId="4" applyFont="1" applyAlignment="1">
      <alignment horizontal="center"/>
    </xf>
    <xf numFmtId="0" fontId="9" fillId="2" borderId="0" xfId="4" quotePrefix="1" applyFont="1" applyFill="1" applyAlignment="1">
      <alignment horizontal="left" indent="2"/>
    </xf>
    <xf numFmtId="170" fontId="9" fillId="2" borderId="0" xfId="5" applyNumberFormat="1" applyFont="1" applyFill="1"/>
    <xf numFmtId="0" fontId="8" fillId="2" borderId="0" xfId="4" quotePrefix="1" applyFont="1" applyFill="1" applyAlignment="1">
      <alignment horizontal="left"/>
    </xf>
    <xf numFmtId="171" fontId="8" fillId="0" borderId="10" xfId="4" applyNumberFormat="1" applyFont="1" applyBorder="1"/>
    <xf numFmtId="0" fontId="9" fillId="2" borderId="0" xfId="4" quotePrefix="1" applyFont="1" applyFill="1" applyAlignment="1">
      <alignment horizontal="center"/>
    </xf>
    <xf numFmtId="171" fontId="9" fillId="0" borderId="0" xfId="6" applyNumberFormat="1" applyFont="1" applyFill="1" applyBorder="1"/>
    <xf numFmtId="37" fontId="9" fillId="0" borderId="0" xfId="4" applyNumberFormat="1" applyFont="1"/>
    <xf numFmtId="0" fontId="9" fillId="2" borderId="0" xfId="4" applyFont="1" applyFill="1" applyAlignment="1">
      <alignment vertical="top"/>
    </xf>
    <xf numFmtId="171" fontId="9" fillId="2" borderId="0" xfId="6" applyNumberFormat="1" applyFont="1" applyFill="1"/>
    <xf numFmtId="171" fontId="9" fillId="2" borderId="0" xfId="6" applyNumberFormat="1" applyFont="1" applyFill="1" applyBorder="1"/>
    <xf numFmtId="0" fontId="8" fillId="0" borderId="0" xfId="4" applyFont="1"/>
    <xf numFmtId="0" fontId="9" fillId="0" borderId="0" xfId="4" applyFont="1" applyAlignment="1">
      <alignment horizontal="center"/>
    </xf>
    <xf numFmtId="0" fontId="9" fillId="0" borderId="0" xfId="4" applyFont="1"/>
    <xf numFmtId="171" fontId="8" fillId="0" borderId="0" xfId="4" applyNumberFormat="1" applyFont="1"/>
    <xf numFmtId="0" fontId="12" fillId="0" borderId="0" xfId="4" applyFont="1" applyAlignment="1">
      <alignment horizontal="left"/>
    </xf>
    <xf numFmtId="0" fontId="9" fillId="2" borderId="0" xfId="4" quotePrefix="1" applyFont="1" applyFill="1" applyAlignment="1">
      <alignment horizontal="left"/>
    </xf>
    <xf numFmtId="43" fontId="9" fillId="2" borderId="0" xfId="6" applyFont="1" applyFill="1" applyBorder="1"/>
    <xf numFmtId="43" fontId="9" fillId="2" borderId="0" xfId="6" applyFont="1" applyFill="1"/>
    <xf numFmtId="43" fontId="9" fillId="0" borderId="0" xfId="6" applyFont="1" applyFill="1" applyBorder="1"/>
    <xf numFmtId="43" fontId="9" fillId="2" borderId="11" xfId="6" applyFont="1" applyFill="1" applyBorder="1"/>
    <xf numFmtId="171" fontId="9" fillId="0" borderId="0" xfId="6" applyNumberFormat="1" applyFont="1" applyFill="1" applyBorder="1" applyProtection="1"/>
    <xf numFmtId="0" fontId="9" fillId="0" borderId="0" xfId="4" applyFont="1" applyAlignment="1">
      <alignment horizontal="left"/>
    </xf>
    <xf numFmtId="171" fontId="9" fillId="0" borderId="0" xfId="7" applyNumberFormat="1" applyFont="1" applyFill="1" applyBorder="1" applyProtection="1"/>
    <xf numFmtId="5" fontId="9" fillId="0" borderId="0" xfId="4" applyNumberFormat="1" applyFont="1"/>
    <xf numFmtId="5" fontId="9" fillId="0" borderId="0" xfId="4" applyNumberFormat="1" applyFont="1" applyAlignment="1">
      <alignment horizontal="right"/>
    </xf>
    <xf numFmtId="5" fontId="13" fillId="0" borderId="0" xfId="4" applyNumberFormat="1" applyFont="1"/>
    <xf numFmtId="172" fontId="9" fillId="0" borderId="0" xfId="4" applyNumberFormat="1" applyFont="1"/>
    <xf numFmtId="5" fontId="9" fillId="0" borderId="0" xfId="4" applyNumberFormat="1" applyFont="1" applyAlignment="1">
      <alignment horizontal="left" wrapText="1"/>
    </xf>
    <xf numFmtId="10" fontId="9" fillId="0" borderId="0" xfId="7" applyNumberFormat="1" applyFont="1" applyFill="1" applyBorder="1"/>
    <xf numFmtId="0" fontId="14" fillId="0" borderId="0" xfId="8" applyFont="1"/>
    <xf numFmtId="0" fontId="7" fillId="0" borderId="0" xfId="4"/>
    <xf numFmtId="0" fontId="8" fillId="3" borderId="12" xfId="4" applyFont="1" applyFill="1" applyBorder="1" applyAlignment="1">
      <alignment horizontal="center" vertical="center"/>
    </xf>
    <xf numFmtId="0" fontId="11" fillId="0" borderId="0" xfId="4" applyFont="1"/>
    <xf numFmtId="17" fontId="11" fillId="0" borderId="0" xfId="4" quotePrefix="1" applyNumberFormat="1" applyFont="1" applyAlignment="1">
      <alignment horizontal="center"/>
    </xf>
    <xf numFmtId="44" fontId="9" fillId="0" borderId="0" xfId="4" applyNumberFormat="1" applyFont="1"/>
    <xf numFmtId="40" fontId="15" fillId="0" borderId="0" xfId="4" applyNumberFormat="1" applyFont="1"/>
    <xf numFmtId="40" fontId="9" fillId="0" borderId="13" xfId="4" applyNumberFormat="1" applyFont="1" applyBorder="1"/>
    <xf numFmtId="0" fontId="8" fillId="0" borderId="0" xfId="9" applyFont="1"/>
    <xf numFmtId="38" fontId="9" fillId="0" borderId="0" xfId="4" applyNumberFormat="1" applyFont="1"/>
    <xf numFmtId="40" fontId="15" fillId="4" borderId="0" xfId="4" applyNumberFormat="1" applyFont="1" applyFill="1"/>
    <xf numFmtId="43" fontId="9" fillId="0" borderId="0" xfId="6" applyFont="1" applyFill="1" applyBorder="1" applyAlignment="1" applyProtection="1">
      <alignment horizontal="right"/>
    </xf>
    <xf numFmtId="0" fontId="7" fillId="4" borderId="0" xfId="4" applyFill="1" applyAlignment="1">
      <alignment horizontal="left"/>
    </xf>
    <xf numFmtId="0" fontId="7" fillId="4" borderId="0" xfId="4" applyFill="1"/>
    <xf numFmtId="0" fontId="8" fillId="0" borderId="0" xfId="4" applyFont="1" applyAlignment="1">
      <alignment horizontal="left"/>
    </xf>
    <xf numFmtId="44" fontId="9" fillId="0" borderId="13" xfId="5" applyFont="1" applyFill="1" applyBorder="1" applyProtection="1"/>
    <xf numFmtId="9" fontId="9" fillId="0" borderId="0" xfId="4" applyNumberFormat="1" applyFont="1" applyAlignment="1">
      <alignment horizontal="left"/>
    </xf>
    <xf numFmtId="44" fontId="9" fillId="0" borderId="0" xfId="10" applyFont="1" applyFill="1" applyBorder="1"/>
    <xf numFmtId="44" fontId="7" fillId="0" borderId="0" xfId="4" applyNumberFormat="1"/>
    <xf numFmtId="44" fontId="9" fillId="0" borderId="0" xfId="10" applyFont="1" applyFill="1" applyBorder="1" applyProtection="1"/>
    <xf numFmtId="40" fontId="9" fillId="0" borderId="0" xfId="4" applyNumberFormat="1" applyFont="1"/>
    <xf numFmtId="0" fontId="15" fillId="0" borderId="0" xfId="4" applyFont="1"/>
    <xf numFmtId="43" fontId="9" fillId="0" borderId="0" xfId="4" applyNumberFormat="1" applyFont="1"/>
    <xf numFmtId="170" fontId="9" fillId="0" borderId="0" xfId="5" applyNumberFormat="1" applyFont="1" applyFill="1" applyBorder="1" applyProtection="1"/>
    <xf numFmtId="43" fontId="7" fillId="0" borderId="0" xfId="4" applyNumberFormat="1"/>
    <xf numFmtId="40" fontId="9" fillId="0" borderId="14" xfId="4" applyNumberFormat="1" applyFont="1" applyBorder="1"/>
    <xf numFmtId="0" fontId="7" fillId="0" borderId="0" xfId="4" quotePrefix="1"/>
    <xf numFmtId="0" fontId="9" fillId="0" borderId="13" xfId="9" applyBorder="1"/>
    <xf numFmtId="0" fontId="9" fillId="0" borderId="13" xfId="4" applyFont="1" applyBorder="1"/>
    <xf numFmtId="43" fontId="9" fillId="0" borderId="13" xfId="4" applyNumberFormat="1" applyFont="1" applyBorder="1"/>
    <xf numFmtId="43" fontId="9" fillId="0" borderId="0" xfId="6" applyFont="1" applyFill="1" applyBorder="1" applyProtection="1"/>
    <xf numFmtId="43" fontId="9" fillId="0" borderId="0" xfId="6" applyFont="1" applyFill="1" applyProtection="1"/>
    <xf numFmtId="171" fontId="9" fillId="0" borderId="0" xfId="6" applyNumberFormat="1" applyFont="1" applyFill="1"/>
    <xf numFmtId="171" fontId="9" fillId="0" borderId="13" xfId="6" applyNumberFormat="1" applyFont="1" applyFill="1" applyBorder="1" applyProtection="1"/>
    <xf numFmtId="40" fontId="16" fillId="0" borderId="0" xfId="4" applyNumberFormat="1" applyFont="1"/>
    <xf numFmtId="0" fontId="4" fillId="0" borderId="4" xfId="2" applyFont="1" applyBorder="1" applyAlignment="1">
      <alignment horizontal="center" wrapText="1"/>
    </xf>
    <xf numFmtId="0" fontId="19" fillId="0" borderId="1" xfId="2" applyFont="1" applyBorder="1" applyAlignment="1">
      <alignment wrapText="1"/>
    </xf>
    <xf numFmtId="0" fontId="6" fillId="0" borderId="0" xfId="2" applyFont="1" applyAlignment="1">
      <alignment horizontal="left" vertical="center" wrapText="1" indent="1"/>
    </xf>
    <xf numFmtId="173" fontId="6" fillId="0" borderId="0" xfId="2" applyNumberFormat="1" applyFont="1" applyAlignment="1">
      <alignment wrapText="1"/>
    </xf>
    <xf numFmtId="0" fontId="6" fillId="0" borderId="0" xfId="2" applyFont="1" applyAlignment="1">
      <alignment wrapText="1" indent="1"/>
    </xf>
    <xf numFmtId="173" fontId="6" fillId="0" borderId="3" xfId="2" applyNumberFormat="1" applyFont="1" applyBorder="1" applyAlignment="1">
      <alignment wrapText="1"/>
    </xf>
    <xf numFmtId="0" fontId="4" fillId="0" borderId="0" xfId="2" applyFont="1" applyAlignment="1">
      <alignment wrapText="1"/>
    </xf>
    <xf numFmtId="168" fontId="6" fillId="0" borderId="0" xfId="2" applyNumberFormat="1" applyFont="1" applyAlignment="1">
      <alignment horizontal="center" wrapText="1"/>
    </xf>
    <xf numFmtId="173" fontId="6" fillId="0" borderId="7" xfId="2" applyNumberFormat="1" applyFont="1" applyBorder="1" applyAlignment="1">
      <alignment wrapText="1"/>
    </xf>
    <xf numFmtId="0" fontId="19" fillId="0" borderId="0" xfId="2" applyFont="1" applyAlignment="1">
      <alignment wrapText="1"/>
    </xf>
    <xf numFmtId="0" fontId="6" fillId="0" borderId="0" xfId="2" applyFont="1" applyAlignment="1">
      <alignment horizontal="right" wrapText="1"/>
    </xf>
    <xf numFmtId="0" fontId="4" fillId="0" borderId="0" xfId="2" applyFont="1" applyAlignment="1">
      <alignment horizontal="center" wrapText="1"/>
    </xf>
    <xf numFmtId="0" fontId="4" fillId="0" borderId="3" xfId="2" applyFont="1" applyBorder="1" applyAlignment="1">
      <alignment horizontal="center" wrapText="1"/>
    </xf>
    <xf numFmtId="173" fontId="6" fillId="0" borderId="1" xfId="2" applyNumberFormat="1" applyFont="1" applyBorder="1" applyAlignment="1">
      <alignment wrapText="1"/>
    </xf>
    <xf numFmtId="166" fontId="6" fillId="0" borderId="3" xfId="2" applyNumberFormat="1" applyFont="1" applyBorder="1" applyAlignment="1">
      <alignment wrapText="1"/>
    </xf>
    <xf numFmtId="173" fontId="4" fillId="0" borderId="7" xfId="2" applyNumberFormat="1" applyFont="1" applyBorder="1" applyAlignment="1">
      <alignment wrapText="1"/>
    </xf>
    <xf numFmtId="0" fontId="4" fillId="5" borderId="0" xfId="2" applyFont="1" applyFill="1" applyAlignment="1">
      <alignment wrapText="1"/>
    </xf>
    <xf numFmtId="0" fontId="6" fillId="5" borderId="0" xfId="2" applyFont="1" applyFill="1" applyAlignment="1">
      <alignment wrapText="1"/>
    </xf>
    <xf numFmtId="165" fontId="6" fillId="5" borderId="0" xfId="2" applyNumberFormat="1" applyFont="1" applyFill="1" applyAlignment="1">
      <alignment wrapText="1"/>
    </xf>
    <xf numFmtId="168" fontId="6" fillId="0" borderId="0" xfId="2" applyNumberFormat="1" applyFont="1" applyAlignment="1">
      <alignment horizontal="left" wrapText="1"/>
    </xf>
    <xf numFmtId="165" fontId="4" fillId="5" borderId="0" xfId="2" applyNumberFormat="1" applyFont="1" applyFill="1" applyAlignment="1">
      <alignment wrapText="1"/>
    </xf>
    <xf numFmtId="168" fontId="6" fillId="0" borderId="0" xfId="2" applyNumberFormat="1" applyFont="1" applyAlignment="1">
      <alignment horizontal="right" wrapText="1"/>
    </xf>
    <xf numFmtId="165" fontId="6" fillId="0" borderId="5" xfId="2" applyNumberFormat="1" applyFont="1" applyBorder="1" applyAlignment="1">
      <alignment wrapText="1"/>
    </xf>
    <xf numFmtId="0" fontId="6" fillId="0" borderId="5" xfId="2" applyFont="1" applyBorder="1" applyAlignment="1">
      <alignment wrapText="1"/>
    </xf>
    <xf numFmtId="164" fontId="6" fillId="0" borderId="7" xfId="2" applyNumberFormat="1" applyFont="1" applyBorder="1" applyAlignment="1">
      <alignment wrapText="1"/>
    </xf>
    <xf numFmtId="174" fontId="6" fillId="0" borderId="5" xfId="2" applyNumberFormat="1" applyFont="1" applyBorder="1" applyAlignment="1">
      <alignment horizontal="center" wrapText="1"/>
    </xf>
    <xf numFmtId="0" fontId="6" fillId="0" borderId="4" xfId="2" applyFont="1" applyBorder="1" applyAlignment="1">
      <alignment horizontal="right" wrapText="1"/>
    </xf>
    <xf numFmtId="164" fontId="6" fillId="0" borderId="5" xfId="2" applyNumberFormat="1" applyFont="1" applyBorder="1" applyAlignment="1">
      <alignment wrapText="1"/>
    </xf>
    <xf numFmtId="0" fontId="6" fillId="0" borderId="5" xfId="2" applyFont="1" applyBorder="1" applyAlignment="1">
      <alignment horizontal="left" wrapText="1"/>
    </xf>
    <xf numFmtId="0" fontId="6" fillId="0" borderId="4" xfId="2" applyFont="1" applyBorder="1" applyAlignment="1">
      <alignment horizontal="center" wrapText="1"/>
    </xf>
    <xf numFmtId="0" fontId="6" fillId="0" borderId="15" xfId="2" applyFont="1" applyBorder="1" applyAlignment="1">
      <alignment wrapText="1"/>
    </xf>
    <xf numFmtId="0" fontId="6" fillId="0" borderId="7" xfId="2" applyFont="1" applyBorder="1" applyAlignment="1">
      <alignment wrapText="1"/>
    </xf>
    <xf numFmtId="168" fontId="6" fillId="0" borderId="5" xfId="2" applyNumberFormat="1" applyFont="1" applyBorder="1" applyAlignment="1">
      <alignment horizontal="center" vertical="center" wrapText="1"/>
    </xf>
    <xf numFmtId="0" fontId="4" fillId="6" borderId="5" xfId="2" applyFont="1" applyFill="1" applyBorder="1" applyAlignment="1">
      <alignment wrapText="1"/>
    </xf>
    <xf numFmtId="168" fontId="6" fillId="0" borderId="5" xfId="2" applyNumberFormat="1" applyFont="1" applyBorder="1" applyAlignment="1">
      <alignment horizontal="left" wrapText="1"/>
    </xf>
    <xf numFmtId="0" fontId="6" fillId="5" borderId="5" xfId="2" applyFont="1" applyFill="1" applyBorder="1" applyAlignment="1">
      <alignment wrapText="1"/>
    </xf>
    <xf numFmtId="0" fontId="6" fillId="0" borderId="1" xfId="2" applyFont="1" applyBorder="1" applyAlignment="1">
      <alignment horizontal="left" wrapText="1"/>
    </xf>
    <xf numFmtId="0" fontId="6" fillId="0" borderId="3" xfId="2" applyFont="1" applyBorder="1" applyAlignment="1">
      <alignment horizontal="center" wrapText="1"/>
    </xf>
    <xf numFmtId="166" fontId="6" fillId="0" borderId="7" xfId="2" applyNumberFormat="1" applyFont="1" applyBorder="1" applyAlignment="1">
      <alignment wrapText="1"/>
    </xf>
    <xf numFmtId="165" fontId="4" fillId="0" borderId="0" xfId="2" applyNumberFormat="1" applyFont="1" applyAlignment="1">
      <alignment wrapText="1"/>
    </xf>
    <xf numFmtId="0" fontId="6" fillId="0" borderId="0" xfId="2" applyFont="1" applyAlignment="1">
      <alignment horizontal="center" wrapText="1"/>
    </xf>
    <xf numFmtId="168" fontId="6" fillId="7" borderId="0" xfId="2" applyNumberFormat="1" applyFont="1" applyFill="1" applyAlignment="1">
      <alignment horizontal="center" wrapText="1"/>
    </xf>
    <xf numFmtId="0" fontId="6" fillId="7" borderId="0" xfId="2" applyFont="1" applyFill="1" applyAlignment="1">
      <alignment wrapText="1"/>
    </xf>
    <xf numFmtId="176" fontId="6" fillId="0" borderId="0" xfId="2" applyNumberFormat="1" applyFont="1" applyAlignment="1">
      <alignment horizontal="left" wrapText="1"/>
    </xf>
    <xf numFmtId="164" fontId="4" fillId="0" borderId="7" xfId="2" applyNumberFormat="1" applyFont="1" applyBorder="1" applyAlignment="1">
      <alignment wrapText="1"/>
    </xf>
    <xf numFmtId="0" fontId="4" fillId="0" borderId="0" xfId="2" applyFont="1" applyAlignment="1">
      <alignment horizontal="left" wrapText="1"/>
    </xf>
    <xf numFmtId="164" fontId="6" fillId="0" borderId="3" xfId="2" applyNumberFormat="1" applyFont="1" applyBorder="1" applyAlignment="1">
      <alignment wrapText="1"/>
    </xf>
    <xf numFmtId="164" fontId="6" fillId="0" borderId="1" xfId="2" applyNumberFormat="1" applyFont="1" applyBorder="1" applyAlignment="1">
      <alignment wrapText="1"/>
    </xf>
    <xf numFmtId="168" fontId="6" fillId="0" borderId="5" xfId="2" applyNumberFormat="1" applyFont="1" applyBorder="1" applyAlignment="1">
      <alignment wrapText="1"/>
    </xf>
    <xf numFmtId="0" fontId="20" fillId="0" borderId="4" xfId="2" applyFont="1" applyBorder="1" applyAlignment="1">
      <alignment horizontal="left" wrapText="1"/>
    </xf>
    <xf numFmtId="0" fontId="4" fillId="0" borderId="4" xfId="2" applyFont="1" applyBorder="1" applyAlignment="1">
      <alignment horizontal="right" wrapText="1"/>
    </xf>
    <xf numFmtId="166" fontId="4" fillId="0" borderId="7" xfId="2" applyNumberFormat="1" applyFont="1" applyBorder="1" applyAlignment="1">
      <alignment wrapText="1"/>
    </xf>
    <xf numFmtId="168" fontId="6" fillId="0" borderId="1" xfId="2" applyNumberFormat="1" applyFont="1" applyBorder="1" applyAlignment="1">
      <alignment wrapText="1"/>
    </xf>
    <xf numFmtId="0" fontId="6" fillId="6" borderId="5" xfId="2" applyFont="1" applyFill="1" applyBorder="1" applyAlignment="1">
      <alignment horizontal="center" wrapText="1"/>
    </xf>
    <xf numFmtId="17" fontId="6" fillId="6" borderId="5" xfId="2" applyNumberFormat="1" applyFont="1" applyFill="1" applyBorder="1" applyAlignment="1">
      <alignment horizontal="center" wrapText="1"/>
    </xf>
    <xf numFmtId="168" fontId="6" fillId="0" borderId="1" xfId="2" applyNumberFormat="1" applyFont="1" applyBorder="1" applyAlignment="1">
      <alignment horizontal="center" wrapText="1"/>
    </xf>
    <xf numFmtId="17" fontId="6" fillId="7" borderId="5" xfId="2" applyNumberFormat="1" applyFont="1" applyFill="1" applyBorder="1" applyAlignment="1">
      <alignment horizontal="center" wrapText="1"/>
    </xf>
    <xf numFmtId="0" fontId="4" fillId="0" borderId="1" xfId="2" applyFont="1" applyBorder="1" applyAlignment="1">
      <alignment wrapText="1"/>
    </xf>
    <xf numFmtId="0" fontId="4" fillId="0" borderId="5" xfId="2" applyFont="1" applyBorder="1" applyAlignment="1">
      <alignment horizontal="left" wrapText="1"/>
    </xf>
    <xf numFmtId="17" fontId="4" fillId="0" borderId="5" xfId="2" applyNumberFormat="1" applyFont="1" applyBorder="1" applyAlignment="1">
      <alignment horizontal="center" wrapText="1"/>
    </xf>
    <xf numFmtId="0" fontId="6" fillId="7" borderId="6" xfId="2" applyFont="1" applyFill="1" applyBorder="1" applyAlignment="1">
      <alignment wrapText="1"/>
    </xf>
    <xf numFmtId="0" fontId="6" fillId="7" borderId="4" xfId="2" applyFont="1" applyFill="1" applyBorder="1" applyAlignment="1">
      <alignment wrapText="1"/>
    </xf>
    <xf numFmtId="166" fontId="4" fillId="7" borderId="18" xfId="2" applyNumberFormat="1" applyFont="1" applyFill="1" applyBorder="1" applyAlignment="1">
      <alignment wrapText="1"/>
    </xf>
    <xf numFmtId="0" fontId="4" fillId="7" borderId="19" xfId="2" applyFont="1" applyFill="1" applyBorder="1" applyAlignment="1">
      <alignment wrapText="1"/>
    </xf>
    <xf numFmtId="166" fontId="6" fillId="7" borderId="3" xfId="2" applyNumberFormat="1" applyFont="1" applyFill="1" applyBorder="1" applyAlignment="1">
      <alignment wrapText="1"/>
    </xf>
    <xf numFmtId="166" fontId="6" fillId="7" borderId="0" xfId="2" applyNumberFormat="1" applyFont="1" applyFill="1" applyAlignment="1">
      <alignment wrapText="1"/>
    </xf>
    <xf numFmtId="166" fontId="6" fillId="7" borderId="1" xfId="2" applyNumberFormat="1" applyFont="1" applyFill="1" applyBorder="1" applyAlignment="1">
      <alignment wrapText="1"/>
    </xf>
    <xf numFmtId="0" fontId="6" fillId="7" borderId="0" xfId="2" applyFont="1" applyFill="1" applyAlignment="1">
      <alignment horizontal="center" wrapText="1"/>
    </xf>
    <xf numFmtId="0" fontId="6" fillId="7" borderId="0" xfId="2" applyFont="1" applyFill="1" applyAlignment="1">
      <alignment horizontal="center" vertical="center" wrapText="1"/>
    </xf>
    <xf numFmtId="0" fontId="4" fillId="7" borderId="5" xfId="2" applyFont="1" applyFill="1" applyBorder="1" applyAlignment="1">
      <alignment horizontal="center" wrapText="1"/>
    </xf>
    <xf numFmtId="0" fontId="6" fillId="7" borderId="19" xfId="2" applyFont="1" applyFill="1" applyBorder="1" applyAlignment="1">
      <alignment wrapText="1"/>
    </xf>
    <xf numFmtId="0" fontId="6" fillId="7" borderId="1" xfId="2" applyFont="1" applyFill="1" applyBorder="1" applyAlignment="1">
      <alignment wrapText="1"/>
    </xf>
    <xf numFmtId="0" fontId="6" fillId="7" borderId="3" xfId="2" applyFont="1" applyFill="1" applyBorder="1" applyAlignment="1">
      <alignment wrapText="1"/>
    </xf>
    <xf numFmtId="168" fontId="6" fillId="7" borderId="19" xfId="2" applyNumberFormat="1" applyFont="1" applyFill="1" applyBorder="1" applyAlignment="1">
      <alignment wrapText="1"/>
    </xf>
    <xf numFmtId="0" fontId="6" fillId="7" borderId="15" xfId="2" applyFont="1" applyFill="1" applyBorder="1" applyAlignment="1">
      <alignment wrapText="1"/>
    </xf>
    <xf numFmtId="166" fontId="4" fillId="7" borderId="7" xfId="2" applyNumberFormat="1" applyFont="1" applyFill="1" applyBorder="1" applyAlignment="1">
      <alignment wrapText="1"/>
    </xf>
    <xf numFmtId="0" fontId="4" fillId="7" borderId="0" xfId="2" applyFont="1" applyFill="1" applyAlignment="1">
      <alignment wrapText="1"/>
    </xf>
    <xf numFmtId="0" fontId="6" fillId="7" borderId="20" xfId="2" applyFont="1" applyFill="1" applyBorder="1" applyAlignment="1">
      <alignment horizontal="center" wrapText="1"/>
    </xf>
    <xf numFmtId="0" fontId="6" fillId="7" borderId="4" xfId="2" applyFont="1" applyFill="1" applyBorder="1" applyAlignment="1">
      <alignment horizontal="center" vertical="center" wrapText="1"/>
    </xf>
    <xf numFmtId="0" fontId="4" fillId="7" borderId="20" xfId="2" applyFont="1" applyFill="1" applyBorder="1" applyAlignment="1">
      <alignment horizontal="center" wrapText="1"/>
    </xf>
    <xf numFmtId="166" fontId="4" fillId="0" borderId="21" xfId="2" applyNumberFormat="1" applyFont="1" applyBorder="1" applyAlignment="1">
      <alignment wrapText="1"/>
    </xf>
    <xf numFmtId="0" fontId="6" fillId="0" borderId="22" xfId="2" applyFont="1" applyBorder="1" applyAlignment="1">
      <alignment horizontal="center" vertical="center" wrapText="1"/>
    </xf>
    <xf numFmtId="168" fontId="6" fillId="0" borderId="19" xfId="2" applyNumberFormat="1" applyFont="1" applyBorder="1" applyAlignment="1">
      <alignment wrapText="1"/>
    </xf>
    <xf numFmtId="177" fontId="6" fillId="0" borderId="5" xfId="2" applyNumberFormat="1" applyFont="1" applyBorder="1" applyAlignment="1">
      <alignment wrapText="1"/>
    </xf>
    <xf numFmtId="0" fontId="6" fillId="0" borderId="20" xfId="2" applyFont="1" applyBorder="1" applyAlignment="1">
      <alignment wrapText="1"/>
    </xf>
    <xf numFmtId="0" fontId="4" fillId="8" borderId="5" xfId="2" applyFont="1" applyFill="1" applyBorder="1" applyAlignment="1">
      <alignment wrapText="1"/>
    </xf>
    <xf numFmtId="177" fontId="4" fillId="0" borderId="5" xfId="2" applyNumberFormat="1" applyFont="1" applyBorder="1" applyAlignment="1">
      <alignment wrapText="1"/>
    </xf>
    <xf numFmtId="0" fontId="6" fillId="8" borderId="5" xfId="2" applyFont="1" applyFill="1" applyBorder="1" applyAlignment="1">
      <alignment wrapText="1"/>
    </xf>
    <xf numFmtId="174" fontId="6" fillId="0" borderId="5" xfId="2" applyNumberFormat="1" applyFont="1" applyBorder="1" applyAlignment="1">
      <alignment wrapText="1"/>
    </xf>
    <xf numFmtId="0" fontId="6" fillId="0" borderId="23" xfId="2" applyFont="1" applyBorder="1" applyAlignment="1">
      <alignment wrapText="1"/>
    </xf>
    <xf numFmtId="178" fontId="6" fillId="0" borderId="5" xfId="2" applyNumberFormat="1" applyFont="1" applyBorder="1" applyAlignment="1">
      <alignment wrapText="1"/>
    </xf>
    <xf numFmtId="0" fontId="6" fillId="0" borderId="22" xfId="2" applyFont="1" applyBorder="1" applyAlignment="1">
      <alignment wrapText="1"/>
    </xf>
    <xf numFmtId="0" fontId="6" fillId="0" borderId="19" xfId="2" applyFont="1" applyBorder="1" applyAlignment="1">
      <alignment wrapText="1"/>
    </xf>
    <xf numFmtId="0" fontId="4" fillId="0" borderId="19" xfId="2" applyFont="1" applyBorder="1" applyAlignment="1">
      <alignment horizontal="center" wrapText="1"/>
    </xf>
    <xf numFmtId="0" fontId="22" fillId="0" borderId="0" xfId="2" applyFont="1" applyAlignment="1">
      <alignment wrapText="1" indent="2"/>
    </xf>
    <xf numFmtId="0" fontId="22" fillId="0" borderId="0" xfId="2" applyFont="1" applyAlignment="1">
      <alignment wrapText="1"/>
    </xf>
    <xf numFmtId="0" fontId="24" fillId="0" borderId="0" xfId="11" applyFont="1"/>
    <xf numFmtId="0" fontId="23" fillId="0" borderId="0" xfId="11"/>
    <xf numFmtId="43" fontId="0" fillId="0" borderId="0" xfId="12" applyFont="1" applyFill="1" applyBorder="1"/>
    <xf numFmtId="171" fontId="0" fillId="0" borderId="0" xfId="12" applyNumberFormat="1" applyFont="1" applyFill="1" applyBorder="1"/>
    <xf numFmtId="0" fontId="23" fillId="0" borderId="0" xfId="11" applyAlignment="1">
      <alignment horizontal="center"/>
    </xf>
    <xf numFmtId="171" fontId="0" fillId="0" borderId="0" xfId="12" applyNumberFormat="1" applyFont="1" applyFill="1" applyAlignment="1">
      <alignment horizontal="right"/>
    </xf>
    <xf numFmtId="43" fontId="23" fillId="0" borderId="0" xfId="11" applyNumberFormat="1" applyAlignment="1">
      <alignment horizontal="center"/>
    </xf>
    <xf numFmtId="171" fontId="0" fillId="0" borderId="0" xfId="12" applyNumberFormat="1" applyFont="1" applyFill="1" applyAlignment="1">
      <alignment horizontal="center"/>
    </xf>
    <xf numFmtId="43" fontId="0" fillId="0" borderId="0" xfId="12" applyFont="1" applyFill="1" applyAlignment="1">
      <alignment horizontal="center"/>
    </xf>
    <xf numFmtId="43" fontId="0" fillId="0" borderId="0" xfId="12" applyFont="1" applyFill="1" applyBorder="1" applyAlignment="1">
      <alignment horizontal="center"/>
    </xf>
    <xf numFmtId="43" fontId="0" fillId="0" borderId="0" xfId="12" applyFont="1" applyFill="1" applyBorder="1" applyAlignment="1">
      <alignment horizontal="center" wrapText="1"/>
    </xf>
    <xf numFmtId="49" fontId="23" fillId="0" borderId="0" xfId="11" applyNumberFormat="1" applyAlignment="1">
      <alignment horizontal="center"/>
    </xf>
    <xf numFmtId="171" fontId="0" fillId="0" borderId="0" xfId="12" applyNumberFormat="1" applyFont="1" applyFill="1" applyAlignment="1">
      <alignment horizontal="left"/>
    </xf>
    <xf numFmtId="49" fontId="23" fillId="0" borderId="0" xfId="11" applyNumberFormat="1"/>
    <xf numFmtId="49" fontId="25" fillId="0" borderId="0" xfId="11" applyNumberFormat="1" applyFont="1" applyAlignment="1">
      <alignment horizontal="center" vertical="top"/>
    </xf>
    <xf numFmtId="49" fontId="25" fillId="0" borderId="0" xfId="12" applyNumberFormat="1" applyFont="1" applyFill="1" applyAlignment="1">
      <alignment horizontal="center" vertical="top"/>
    </xf>
    <xf numFmtId="43" fontId="25" fillId="0" borderId="0" xfId="12" applyFont="1" applyFill="1" applyAlignment="1">
      <alignment horizontal="center" vertical="top"/>
    </xf>
    <xf numFmtId="49" fontId="25" fillId="0" borderId="0" xfId="12" applyNumberFormat="1" applyFont="1" applyFill="1" applyBorder="1" applyAlignment="1">
      <alignment horizontal="center" vertical="top"/>
    </xf>
    <xf numFmtId="43" fontId="25" fillId="0" borderId="0" xfId="12" applyFont="1" applyFill="1" applyBorder="1" applyAlignment="1">
      <alignment horizontal="center" vertical="top"/>
    </xf>
    <xf numFmtId="0" fontId="24" fillId="0" borderId="0" xfId="11" applyFont="1" applyAlignment="1">
      <alignment horizontal="right" indent="1"/>
    </xf>
    <xf numFmtId="171" fontId="0" fillId="0" borderId="0" xfId="12" applyNumberFormat="1" applyFont="1" applyFill="1"/>
    <xf numFmtId="43" fontId="0" fillId="0" borderId="0" xfId="12" applyFont="1" applyFill="1"/>
    <xf numFmtId="170" fontId="0" fillId="0" borderId="0" xfId="12" applyNumberFormat="1" applyFont="1" applyFill="1"/>
    <xf numFmtId="41" fontId="0" fillId="0" borderId="0" xfId="12" applyNumberFormat="1" applyFont="1" applyFill="1"/>
    <xf numFmtId="49" fontId="24" fillId="0" borderId="0" xfId="12" applyNumberFormat="1" applyFont="1" applyFill="1" applyBorder="1" applyAlignment="1">
      <alignment horizontal="center"/>
    </xf>
    <xf numFmtId="179" fontId="0" fillId="0" borderId="0" xfId="12" applyNumberFormat="1" applyFont="1" applyFill="1" applyBorder="1"/>
    <xf numFmtId="170" fontId="0" fillId="0" borderId="24" xfId="12" applyNumberFormat="1" applyFont="1" applyFill="1" applyBorder="1"/>
    <xf numFmtId="42" fontId="0" fillId="0" borderId="0" xfId="12" applyNumberFormat="1" applyFont="1" applyFill="1"/>
    <xf numFmtId="0" fontId="0" fillId="0" borderId="0" xfId="12" applyNumberFormat="1" applyFont="1" applyFill="1" applyBorder="1"/>
    <xf numFmtId="42" fontId="0" fillId="0" borderId="25" xfId="12" applyNumberFormat="1" applyFont="1" applyFill="1" applyBorder="1"/>
    <xf numFmtId="42" fontId="0" fillId="0" borderId="24" xfId="12" applyNumberFormat="1" applyFont="1" applyFill="1" applyBorder="1"/>
    <xf numFmtId="0" fontId="26" fillId="0" borderId="0" xfId="13" applyAlignment="1">
      <alignment horizontal="left" vertical="top"/>
    </xf>
    <xf numFmtId="0" fontId="27" fillId="0" borderId="0" xfId="13" applyFont="1" applyAlignment="1">
      <alignment horizontal="right" vertical="top"/>
    </xf>
    <xf numFmtId="0" fontId="28" fillId="0" borderId="0" xfId="13" applyFont="1" applyAlignment="1">
      <alignment horizontal="left" vertical="top"/>
    </xf>
    <xf numFmtId="0" fontId="29" fillId="10" borderId="29" xfId="11" applyFont="1" applyFill="1" applyBorder="1"/>
    <xf numFmtId="0" fontId="30" fillId="10" borderId="0" xfId="11" applyFont="1" applyFill="1"/>
    <xf numFmtId="0" fontId="30" fillId="10" borderId="30" xfId="11" applyFont="1" applyFill="1" applyBorder="1"/>
    <xf numFmtId="0" fontId="29" fillId="0" borderId="31" xfId="11" applyFont="1" applyBorder="1"/>
    <xf numFmtId="0" fontId="30" fillId="0" borderId="32" xfId="11" applyFont="1" applyBorder="1"/>
    <xf numFmtId="0" fontId="30" fillId="0" borderId="33" xfId="11" applyFont="1" applyBorder="1"/>
    <xf numFmtId="0" fontId="29" fillId="9" borderId="29" xfId="11" applyFont="1" applyFill="1" applyBorder="1" applyAlignment="1">
      <alignment horizontal="center"/>
    </xf>
    <xf numFmtId="0" fontId="29" fillId="9" borderId="0" xfId="11" applyFont="1" applyFill="1" applyAlignment="1">
      <alignment horizontal="center" wrapText="1"/>
    </xf>
    <xf numFmtId="0" fontId="29" fillId="9" borderId="30" xfId="11" applyFont="1" applyFill="1" applyBorder="1" applyAlignment="1">
      <alignment horizontal="center" wrapText="1"/>
    </xf>
    <xf numFmtId="0" fontId="30" fillId="0" borderId="34" xfId="11" applyFont="1" applyBorder="1"/>
    <xf numFmtId="180" fontId="30" fillId="0" borderId="35" xfId="11" applyNumberFormat="1" applyFont="1" applyBorder="1"/>
    <xf numFmtId="180" fontId="30" fillId="0" borderId="36" xfId="11" applyNumberFormat="1" applyFont="1" applyBorder="1"/>
    <xf numFmtId="0" fontId="30" fillId="0" borderId="37" xfId="11" applyFont="1" applyBorder="1"/>
    <xf numFmtId="180" fontId="30" fillId="0" borderId="38" xfId="11" applyNumberFormat="1" applyFont="1" applyBorder="1"/>
    <xf numFmtId="180" fontId="30" fillId="0" borderId="39" xfId="11" applyNumberFormat="1" applyFont="1" applyBorder="1"/>
    <xf numFmtId="0" fontId="30" fillId="0" borderId="35" xfId="11" applyFont="1" applyBorder="1"/>
    <xf numFmtId="0" fontId="30" fillId="0" borderId="36" xfId="11" applyFont="1" applyBorder="1"/>
    <xf numFmtId="0" fontId="29" fillId="0" borderId="29" xfId="11" applyFont="1" applyBorder="1"/>
    <xf numFmtId="0" fontId="30" fillId="0" borderId="0" xfId="11" applyFont="1"/>
    <xf numFmtId="0" fontId="30" fillId="0" borderId="30" xfId="11" applyFont="1" applyBorder="1"/>
    <xf numFmtId="0" fontId="30" fillId="0" borderId="40" xfId="11" applyFont="1" applyBorder="1"/>
    <xf numFmtId="0" fontId="30" fillId="0" borderId="41" xfId="11" applyFont="1" applyBorder="1"/>
    <xf numFmtId="0" fontId="30" fillId="0" borderId="42" xfId="11" applyFont="1" applyBorder="1"/>
    <xf numFmtId="0" fontId="31" fillId="0" borderId="0" xfId="14" applyFont="1"/>
    <xf numFmtId="0" fontId="1" fillId="0" borderId="0" xfId="14"/>
    <xf numFmtId="0" fontId="1" fillId="0" borderId="35" xfId="14" applyBorder="1"/>
    <xf numFmtId="0" fontId="1" fillId="0" borderId="35" xfId="14" applyBorder="1" applyAlignment="1">
      <alignment horizontal="left"/>
    </xf>
    <xf numFmtId="0" fontId="2" fillId="0" borderId="0" xfId="14" applyFont="1" applyAlignment="1">
      <alignment horizontal="left"/>
    </xf>
    <xf numFmtId="0" fontId="3" fillId="0" borderId="35" xfId="14" applyFont="1" applyBorder="1" applyAlignment="1">
      <alignment horizontal="left"/>
    </xf>
    <xf numFmtId="0" fontId="3" fillId="0" borderId="35" xfId="14" applyFont="1" applyBorder="1"/>
    <xf numFmtId="0" fontId="2" fillId="0" borderId="0" xfId="11" applyFont="1"/>
    <xf numFmtId="0" fontId="2" fillId="0" borderId="43" xfId="11" applyFont="1" applyBorder="1"/>
    <xf numFmtId="0" fontId="2" fillId="0" borderId="43" xfId="14" applyFont="1" applyBorder="1"/>
    <xf numFmtId="0" fontId="2" fillId="0" borderId="0" xfId="14" applyFont="1"/>
    <xf numFmtId="0" fontId="1" fillId="0" borderId="0" xfId="14" applyAlignment="1">
      <alignment horizontal="center"/>
    </xf>
    <xf numFmtId="0" fontId="1" fillId="0" borderId="0" xfId="14" applyAlignment="1">
      <alignment horizontal="center" vertical="top" wrapText="1"/>
    </xf>
    <xf numFmtId="0" fontId="1" fillId="0" borderId="11" xfId="14" applyBorder="1" applyAlignment="1">
      <alignment horizontal="center"/>
    </xf>
    <xf numFmtId="0" fontId="1" fillId="0" borderId="11" xfId="14" applyBorder="1" applyAlignment="1">
      <alignment horizontal="center" vertical="top"/>
    </xf>
    <xf numFmtId="0" fontId="23" fillId="0" borderId="35" xfId="11" applyBorder="1"/>
    <xf numFmtId="0" fontId="23" fillId="0" borderId="35" xfId="11" applyBorder="1" applyAlignment="1">
      <alignment horizontal="left"/>
    </xf>
    <xf numFmtId="0" fontId="1" fillId="0" borderId="0" xfId="14" applyAlignment="1">
      <alignment horizontal="center" wrapText="1"/>
    </xf>
    <xf numFmtId="43" fontId="0" fillId="0" borderId="35" xfId="15" applyFont="1" applyFill="1" applyBorder="1"/>
    <xf numFmtId="43" fontId="0" fillId="0" borderId="35" xfId="12" applyFont="1" applyFill="1" applyBorder="1"/>
    <xf numFmtId="43" fontId="0" fillId="0" borderId="35" xfId="12" applyFont="1" applyBorder="1"/>
    <xf numFmtId="0" fontId="3" fillId="0" borderId="35" xfId="11" applyFont="1" applyBorder="1" applyAlignment="1">
      <alignment horizontal="left"/>
    </xf>
    <xf numFmtId="0" fontId="3" fillId="0" borderId="35" xfId="11" applyFont="1" applyBorder="1"/>
    <xf numFmtId="0" fontId="3" fillId="0" borderId="13" xfId="14" applyFont="1" applyBorder="1"/>
    <xf numFmtId="43" fontId="1" fillId="0" borderId="0" xfId="15" applyFont="1" applyFill="1" applyBorder="1"/>
    <xf numFmtId="0" fontId="1" fillId="0" borderId="35" xfId="14" applyBorder="1" applyAlignment="1">
      <alignment horizontal="center"/>
    </xf>
    <xf numFmtId="43" fontId="1" fillId="0" borderId="44" xfId="15" applyFont="1" applyFill="1" applyBorder="1"/>
    <xf numFmtId="0" fontId="3" fillId="0" borderId="13" xfId="11" applyFont="1" applyBorder="1"/>
    <xf numFmtId="0" fontId="23" fillId="0" borderId="35" xfId="11" applyBorder="1" applyAlignment="1">
      <alignment horizontal="center"/>
    </xf>
    <xf numFmtId="43" fontId="1" fillId="0" borderId="44" xfId="12" applyFont="1" applyFill="1" applyBorder="1"/>
    <xf numFmtId="43" fontId="1" fillId="0" borderId="13" xfId="15" applyFont="1" applyFill="1" applyBorder="1"/>
    <xf numFmtId="0" fontId="31" fillId="0" borderId="0" xfId="14" applyFont="1" applyAlignment="1">
      <alignment horizontal="left"/>
    </xf>
    <xf numFmtId="181" fontId="6" fillId="0" borderId="0" xfId="2" applyNumberFormat="1" applyFont="1" applyAlignment="1">
      <alignment wrapText="1"/>
    </xf>
    <xf numFmtId="166" fontId="4" fillId="0" borderId="3" xfId="2" applyNumberFormat="1" applyFont="1" applyBorder="1" applyAlignment="1">
      <alignment wrapText="1"/>
    </xf>
    <xf numFmtId="0" fontId="6" fillId="0" borderId="1" xfId="2" applyFont="1" applyBorder="1" applyAlignment="1">
      <alignment horizontal="center" wrapText="1"/>
    </xf>
    <xf numFmtId="165" fontId="4" fillId="0" borderId="7" xfId="2" applyNumberFormat="1" applyFont="1" applyBorder="1" applyAlignment="1">
      <alignment wrapText="1"/>
    </xf>
    <xf numFmtId="0" fontId="4" fillId="7" borderId="4" xfId="2" applyFont="1" applyFill="1" applyBorder="1" applyAlignment="1">
      <alignment wrapText="1"/>
    </xf>
    <xf numFmtId="165" fontId="4" fillId="8" borderId="16" xfId="2" applyNumberFormat="1" applyFont="1" applyFill="1" applyBorder="1" applyAlignment="1">
      <alignment wrapText="1"/>
    </xf>
    <xf numFmtId="0" fontId="6" fillId="8" borderId="3" xfId="2" applyFont="1" applyFill="1" applyBorder="1" applyAlignment="1">
      <alignment wrapText="1"/>
    </xf>
    <xf numFmtId="0" fontId="6" fillId="8" borderId="22" xfId="2" applyFont="1" applyFill="1" applyBorder="1" applyAlignment="1">
      <alignment wrapText="1"/>
    </xf>
    <xf numFmtId="165" fontId="6" fillId="0" borderId="52" xfId="2" applyNumberFormat="1" applyFont="1" applyBorder="1" applyAlignment="1">
      <alignment wrapText="1"/>
    </xf>
    <xf numFmtId="0" fontId="4" fillId="0" borderId="19" xfId="2" applyFont="1" applyBorder="1" applyAlignment="1">
      <alignment wrapText="1"/>
    </xf>
    <xf numFmtId="165" fontId="6" fillId="0" borderId="4" xfId="2" applyNumberFormat="1" applyFont="1" applyBorder="1" applyAlignment="1">
      <alignment wrapText="1"/>
    </xf>
    <xf numFmtId="165" fontId="6" fillId="0" borderId="19" xfId="2" applyNumberFormat="1" applyFont="1" applyBorder="1" applyAlignment="1">
      <alignment wrapText="1"/>
    </xf>
    <xf numFmtId="168" fontId="4" fillId="0" borderId="19" xfId="2" applyNumberFormat="1" applyFont="1" applyBorder="1" applyAlignment="1">
      <alignment wrapText="1"/>
    </xf>
    <xf numFmtId="165" fontId="6" fillId="0" borderId="53" xfId="2" applyNumberFormat="1" applyFont="1" applyBorder="1" applyAlignment="1">
      <alignment wrapText="1"/>
    </xf>
    <xf numFmtId="168" fontId="4" fillId="0" borderId="0" xfId="2" applyNumberFormat="1" applyFont="1" applyAlignment="1">
      <alignment wrapText="1"/>
    </xf>
    <xf numFmtId="165" fontId="4" fillId="8" borderId="54" xfId="2" applyNumberFormat="1" applyFont="1" applyFill="1" applyBorder="1" applyAlignment="1">
      <alignment wrapText="1"/>
    </xf>
    <xf numFmtId="0" fontId="6" fillId="8" borderId="0" xfId="2" applyFont="1" applyFill="1" applyAlignment="1">
      <alignment wrapText="1"/>
    </xf>
    <xf numFmtId="0" fontId="6" fillId="8" borderId="4" xfId="2" applyFont="1" applyFill="1" applyBorder="1" applyAlignment="1">
      <alignment wrapText="1"/>
    </xf>
    <xf numFmtId="0" fontId="6" fillId="7" borderId="0" xfId="2" applyFont="1" applyFill="1" applyAlignment="1">
      <alignment horizontal="left" wrapText="1"/>
    </xf>
    <xf numFmtId="165" fontId="6" fillId="7" borderId="0" xfId="2" applyNumberFormat="1" applyFont="1" applyFill="1" applyAlignment="1">
      <alignment wrapText="1"/>
    </xf>
    <xf numFmtId="165" fontId="6" fillId="7" borderId="21" xfId="2" applyNumberFormat="1" applyFont="1" applyFill="1" applyBorder="1" applyAlignment="1">
      <alignment wrapText="1"/>
    </xf>
    <xf numFmtId="183" fontId="6" fillId="0" borderId="19" xfId="2" applyNumberFormat="1" applyFont="1" applyBorder="1" applyAlignment="1">
      <alignment wrapText="1"/>
    </xf>
    <xf numFmtId="183" fontId="6" fillId="0" borderId="55" xfId="2" applyNumberFormat="1" applyFont="1" applyBorder="1" applyAlignment="1">
      <alignment wrapText="1"/>
    </xf>
    <xf numFmtId="165" fontId="6" fillId="0" borderId="55" xfId="2" applyNumberFormat="1" applyFont="1" applyBorder="1" applyAlignment="1">
      <alignment wrapText="1"/>
    </xf>
    <xf numFmtId="165" fontId="6" fillId="0" borderId="23" xfId="2" applyNumberFormat="1" applyFont="1" applyBorder="1" applyAlignment="1">
      <alignment wrapText="1"/>
    </xf>
    <xf numFmtId="168" fontId="4" fillId="0" borderId="55" xfId="2" applyNumberFormat="1" applyFont="1" applyBorder="1" applyAlignment="1">
      <alignment wrapText="1"/>
    </xf>
    <xf numFmtId="168" fontId="4" fillId="0" borderId="1" xfId="2" applyNumberFormat="1" applyFont="1" applyBorder="1" applyAlignment="1">
      <alignment wrapText="1"/>
    </xf>
    <xf numFmtId="0" fontId="4" fillId="7" borderId="0" xfId="2" applyFont="1" applyFill="1" applyAlignment="1">
      <alignment horizontal="center" wrapText="1"/>
    </xf>
    <xf numFmtId="0" fontId="4" fillId="7" borderId="4" xfId="2" applyFont="1" applyFill="1" applyBorder="1" applyAlignment="1">
      <alignment horizontal="center" wrapText="1"/>
    </xf>
    <xf numFmtId="0" fontId="4" fillId="8" borderId="5" xfId="2" applyFont="1" applyFill="1" applyBorder="1" applyAlignment="1">
      <alignment horizontal="center" wrapText="1"/>
    </xf>
    <xf numFmtId="168" fontId="4" fillId="8" borderId="5" xfId="2" applyNumberFormat="1" applyFont="1" applyFill="1" applyBorder="1" applyAlignment="1">
      <alignment horizontal="center" wrapText="1"/>
    </xf>
    <xf numFmtId="183" fontId="4" fillId="8" borderId="16" xfId="2" applyNumberFormat="1" applyFont="1" applyFill="1" applyBorder="1" applyAlignment="1">
      <alignment wrapText="1"/>
    </xf>
    <xf numFmtId="183" fontId="6" fillId="0" borderId="52" xfId="2" applyNumberFormat="1" applyFont="1" applyBorder="1" applyAlignment="1">
      <alignment wrapText="1"/>
    </xf>
    <xf numFmtId="183" fontId="6" fillId="0" borderId="0" xfId="2" applyNumberFormat="1" applyFont="1" applyAlignment="1">
      <alignment wrapText="1"/>
    </xf>
    <xf numFmtId="183" fontId="6" fillId="0" borderId="4" xfId="2" applyNumberFormat="1" applyFont="1" applyBorder="1" applyAlignment="1">
      <alignment wrapText="1"/>
    </xf>
    <xf numFmtId="183" fontId="6" fillId="0" borderId="53" xfId="2" applyNumberFormat="1" applyFont="1" applyBorder="1" applyAlignment="1">
      <alignment wrapText="1"/>
    </xf>
    <xf numFmtId="183" fontId="4" fillId="8" borderId="54" xfId="2" applyNumberFormat="1" applyFont="1" applyFill="1" applyBorder="1" applyAlignment="1">
      <alignment wrapText="1"/>
    </xf>
    <xf numFmtId="165" fontId="6" fillId="0" borderId="21" xfId="2" applyNumberFormat="1" applyFont="1" applyBorder="1" applyAlignment="1">
      <alignment wrapText="1"/>
    </xf>
    <xf numFmtId="183" fontId="6" fillId="0" borderId="1" xfId="2" applyNumberFormat="1" applyFont="1" applyBorder="1" applyAlignment="1">
      <alignment wrapText="1"/>
    </xf>
    <xf numFmtId="183" fontId="6" fillId="0" borderId="23" xfId="2" applyNumberFormat="1" applyFont="1" applyBorder="1" applyAlignment="1">
      <alignment wrapText="1"/>
    </xf>
    <xf numFmtId="0" fontId="6" fillId="0" borderId="5" xfId="2" applyFont="1" applyBorder="1" applyAlignment="1">
      <alignment horizontal="left" vertical="top" wrapText="1"/>
    </xf>
    <xf numFmtId="166" fontId="4" fillId="11" borderId="0" xfId="2" applyNumberFormat="1" applyFont="1" applyFill="1" applyAlignment="1">
      <alignment wrapText="1"/>
    </xf>
    <xf numFmtId="0" fontId="4" fillId="11" borderId="0" xfId="2" applyFont="1" applyFill="1" applyAlignment="1">
      <alignment wrapText="1"/>
    </xf>
    <xf numFmtId="177" fontId="4" fillId="0" borderId="0" xfId="2" applyNumberFormat="1" applyFont="1" applyAlignment="1">
      <alignment wrapText="1"/>
    </xf>
    <xf numFmtId="166" fontId="4" fillId="0" borderId="0" xfId="2" applyNumberFormat="1" applyFont="1" applyAlignment="1">
      <alignment wrapText="1"/>
    </xf>
    <xf numFmtId="177" fontId="6" fillId="0" borderId="0" xfId="2" applyNumberFormat="1" applyFont="1" applyAlignment="1">
      <alignment wrapText="1"/>
    </xf>
    <xf numFmtId="0" fontId="6" fillId="11" borderId="0" xfId="2" applyFont="1" applyFill="1" applyAlignment="1">
      <alignment horizontal="center" wrapText="1"/>
    </xf>
    <xf numFmtId="0" fontId="6" fillId="11" borderId="0" xfId="2" applyFont="1" applyFill="1" applyAlignment="1">
      <alignment wrapText="1"/>
    </xf>
    <xf numFmtId="0" fontId="32" fillId="0" borderId="0" xfId="16"/>
    <xf numFmtId="0" fontId="32" fillId="0" borderId="0" xfId="16" applyAlignment="1">
      <alignment horizontal="left"/>
    </xf>
    <xf numFmtId="171" fontId="32" fillId="0" borderId="0" xfId="16" applyNumberFormat="1"/>
    <xf numFmtId="0" fontId="33" fillId="12" borderId="56" xfId="16" applyFont="1" applyFill="1" applyBorder="1"/>
    <xf numFmtId="10" fontId="0" fillId="0" borderId="0" xfId="17" applyNumberFormat="1" applyFont="1"/>
    <xf numFmtId="0" fontId="33" fillId="12" borderId="57" xfId="16" applyFont="1" applyFill="1" applyBorder="1" applyAlignment="1">
      <alignment horizontal="left"/>
    </xf>
    <xf numFmtId="171" fontId="33" fillId="12" borderId="57" xfId="16" applyNumberFormat="1" applyFont="1" applyFill="1" applyBorder="1"/>
    <xf numFmtId="0" fontId="34" fillId="0" borderId="0" xfId="16" applyFont="1"/>
    <xf numFmtId="0" fontId="35" fillId="0" borderId="0" xfId="16" applyFont="1"/>
    <xf numFmtId="0" fontId="5" fillId="0" borderId="0" xfId="0" applyFont="1"/>
    <xf numFmtId="0" fontId="9" fillId="0" borderId="0" xfId="0" applyFont="1"/>
    <xf numFmtId="0" fontId="36" fillId="0" borderId="0" xfId="0" applyFont="1"/>
    <xf numFmtId="43" fontId="0" fillId="0" borderId="0" xfId="1" applyFont="1"/>
    <xf numFmtId="171" fontId="0" fillId="0" borderId="0" xfId="1" applyNumberFormat="1" applyFont="1"/>
    <xf numFmtId="0" fontId="37" fillId="0" borderId="0" xfId="18"/>
    <xf numFmtId="0" fontId="9" fillId="0" borderId="0" xfId="19"/>
    <xf numFmtId="0" fontId="27" fillId="0" borderId="0" xfId="19" applyFont="1" applyAlignment="1">
      <alignment horizontal="left" wrapText="1"/>
    </xf>
    <xf numFmtId="0" fontId="27" fillId="0" borderId="6" xfId="19" applyFont="1" applyBorder="1" applyAlignment="1">
      <alignment wrapText="1"/>
    </xf>
    <xf numFmtId="165" fontId="27" fillId="0" borderId="7" xfId="19" applyNumberFormat="1" applyFont="1" applyBorder="1" applyAlignment="1">
      <alignment wrapText="1"/>
    </xf>
    <xf numFmtId="0" fontId="27" fillId="0" borderId="0" xfId="19" applyFont="1" applyAlignment="1">
      <alignment horizontal="right" wrapText="1"/>
    </xf>
    <xf numFmtId="165" fontId="27" fillId="0" borderId="3" xfId="19" applyNumberFormat="1" applyFont="1" applyBorder="1" applyAlignment="1">
      <alignment wrapText="1"/>
    </xf>
    <xf numFmtId="165" fontId="27" fillId="0" borderId="0" xfId="19" applyNumberFormat="1" applyFont="1" applyAlignment="1">
      <alignment wrapText="1"/>
    </xf>
    <xf numFmtId="0" fontId="27" fillId="0" borderId="0" xfId="20">
      <alignment wrapText="1"/>
    </xf>
    <xf numFmtId="168" fontId="27" fillId="0" borderId="0" xfId="19" applyNumberFormat="1" applyFont="1" applyAlignment="1">
      <alignment horizontal="center" wrapText="1"/>
    </xf>
    <xf numFmtId="165" fontId="27" fillId="0" borderId="1" xfId="19" applyNumberFormat="1" applyFont="1" applyBorder="1" applyAlignment="1">
      <alignment wrapText="1"/>
    </xf>
    <xf numFmtId="168" fontId="27" fillId="0" borderId="1" xfId="19" applyNumberFormat="1" applyFont="1" applyBorder="1" applyAlignment="1">
      <alignment horizontal="center" wrapText="1"/>
    </xf>
    <xf numFmtId="0" fontId="27" fillId="0" borderId="1" xfId="19" applyFont="1" applyBorder="1" applyAlignment="1">
      <alignment wrapText="1"/>
    </xf>
    <xf numFmtId="0" fontId="27" fillId="0" borderId="17" xfId="19" applyFont="1" applyBorder="1" applyAlignment="1">
      <alignment horizontal="center" wrapText="1"/>
    </xf>
    <xf numFmtId="0" fontId="27" fillId="0" borderId="5" xfId="19" applyFont="1" applyBorder="1" applyAlignment="1">
      <alignment horizontal="center" wrapText="1"/>
    </xf>
    <xf numFmtId="184" fontId="27" fillId="0" borderId="7" xfId="19" applyNumberFormat="1" applyFont="1" applyBorder="1" applyAlignment="1">
      <alignment wrapText="1"/>
    </xf>
    <xf numFmtId="165" fontId="27" fillId="0" borderId="2" xfId="19" applyNumberFormat="1" applyFont="1" applyBorder="1" applyAlignment="1">
      <alignment wrapText="1"/>
    </xf>
    <xf numFmtId="0" fontId="27" fillId="0" borderId="3" xfId="19" applyFont="1" applyBorder="1" applyAlignment="1">
      <alignment wrapText="1"/>
    </xf>
    <xf numFmtId="168" fontId="27" fillId="0" borderId="0" xfId="19" applyNumberFormat="1" applyFont="1" applyAlignment="1">
      <alignment wrapText="1"/>
    </xf>
    <xf numFmtId="0" fontId="27" fillId="0" borderId="19" xfId="19" applyFont="1" applyBorder="1" applyAlignment="1">
      <alignment horizontal="center" wrapText="1"/>
    </xf>
    <xf numFmtId="0" fontId="27" fillId="7" borderId="0" xfId="19" applyFont="1" applyFill="1" applyAlignment="1">
      <alignment wrapText="1"/>
    </xf>
    <xf numFmtId="0" fontId="38" fillId="0" borderId="0" xfId="19" applyFont="1" applyAlignment="1">
      <alignment wrapText="1"/>
    </xf>
    <xf numFmtId="0" fontId="27" fillId="7" borderId="1" xfId="19" applyFont="1" applyFill="1" applyBorder="1" applyAlignment="1">
      <alignment wrapText="1"/>
    </xf>
    <xf numFmtId="166" fontId="38" fillId="0" borderId="7" xfId="19" applyNumberFormat="1" applyFont="1" applyBorder="1" applyAlignment="1">
      <alignment wrapText="1"/>
    </xf>
    <xf numFmtId="0" fontId="27" fillId="7" borderId="4" xfId="19" applyFont="1" applyFill="1" applyBorder="1" applyAlignment="1">
      <alignment wrapText="1"/>
    </xf>
    <xf numFmtId="185" fontId="27" fillId="5" borderId="16" xfId="19" applyNumberFormat="1" applyFont="1" applyFill="1" applyBorder="1" applyAlignment="1">
      <alignment wrapText="1"/>
    </xf>
    <xf numFmtId="0" fontId="27" fillId="5" borderId="17" xfId="19" applyFont="1" applyFill="1" applyBorder="1" applyAlignment="1">
      <alignment wrapText="1"/>
    </xf>
    <xf numFmtId="166" fontId="27" fillId="0" borderId="3" xfId="19" applyNumberFormat="1" applyFont="1" applyBorder="1" applyAlignment="1">
      <alignment wrapText="1"/>
    </xf>
    <xf numFmtId="166" fontId="27" fillId="7" borderId="52" xfId="19" applyNumberFormat="1" applyFont="1" applyFill="1" applyBorder="1" applyAlignment="1">
      <alignment wrapText="1"/>
    </xf>
    <xf numFmtId="166" fontId="27" fillId="0" borderId="0" xfId="19" applyNumberFormat="1" applyFont="1" applyAlignment="1">
      <alignment wrapText="1"/>
    </xf>
    <xf numFmtId="166" fontId="27" fillId="7" borderId="19" xfId="19" applyNumberFormat="1" applyFont="1" applyFill="1" applyBorder="1" applyAlignment="1">
      <alignment wrapText="1"/>
    </xf>
    <xf numFmtId="173" fontId="27" fillId="0" borderId="0" xfId="19" applyNumberFormat="1" applyFont="1" applyAlignment="1">
      <alignment wrapText="1"/>
    </xf>
    <xf numFmtId="0" fontId="27" fillId="0" borderId="4" xfId="19" applyFont="1" applyBorder="1" applyAlignment="1">
      <alignment wrapText="1"/>
    </xf>
    <xf numFmtId="173" fontId="27" fillId="0" borderId="19" xfId="19" applyNumberFormat="1" applyFont="1" applyBorder="1" applyAlignment="1">
      <alignment wrapText="1"/>
    </xf>
    <xf numFmtId="0" fontId="27" fillId="5" borderId="55" xfId="19" applyFont="1" applyFill="1" applyBorder="1" applyAlignment="1">
      <alignment wrapText="1"/>
    </xf>
    <xf numFmtId="0" fontId="27" fillId="5" borderId="23" xfId="19" applyFont="1" applyFill="1" applyBorder="1" applyAlignment="1">
      <alignment wrapText="1"/>
    </xf>
    <xf numFmtId="0" fontId="27" fillId="0" borderId="2" xfId="19" applyFont="1" applyBorder="1" applyAlignment="1">
      <alignment wrapText="1"/>
    </xf>
    <xf numFmtId="168" fontId="27" fillId="5" borderId="16" xfId="19" applyNumberFormat="1" applyFont="1" applyFill="1" applyBorder="1" applyAlignment="1">
      <alignment wrapText="1"/>
    </xf>
    <xf numFmtId="14" fontId="27" fillId="0" borderId="4" xfId="19" applyNumberFormat="1" applyFont="1" applyBorder="1" applyAlignment="1">
      <alignment wrapText="1"/>
    </xf>
    <xf numFmtId="14" fontId="27" fillId="7" borderId="4" xfId="19" applyNumberFormat="1" applyFont="1" applyFill="1" applyBorder="1" applyAlignment="1">
      <alignment wrapText="1"/>
    </xf>
    <xf numFmtId="14" fontId="27" fillId="7" borderId="22" xfId="19" applyNumberFormat="1" applyFont="1" applyFill="1" applyBorder="1" applyAlignment="1">
      <alignment wrapText="1"/>
    </xf>
    <xf numFmtId="165" fontId="27" fillId="0" borderId="5" xfId="19" applyNumberFormat="1" applyFont="1" applyBorder="1" applyAlignment="1">
      <alignment wrapText="1"/>
    </xf>
    <xf numFmtId="0" fontId="27" fillId="0" borderId="5" xfId="19" applyFont="1" applyBorder="1" applyAlignment="1">
      <alignment wrapText="1"/>
    </xf>
    <xf numFmtId="168" fontId="27" fillId="0" borderId="5" xfId="19" applyNumberFormat="1" applyFont="1" applyBorder="1" applyAlignment="1">
      <alignment horizontal="left" wrapText="1"/>
    </xf>
    <xf numFmtId="0" fontId="27" fillId="0" borderId="0" xfId="19" applyFont="1" applyAlignment="1">
      <alignment horizontal="center" wrapText="1"/>
    </xf>
    <xf numFmtId="173" fontId="27" fillId="0" borderId="7" xfId="19" applyNumberFormat="1" applyFont="1" applyBorder="1" applyAlignment="1">
      <alignment wrapText="1"/>
    </xf>
    <xf numFmtId="173" fontId="27" fillId="0" borderId="2" xfId="19" applyNumberFormat="1" applyFont="1" applyBorder="1" applyAlignment="1">
      <alignment wrapText="1"/>
    </xf>
    <xf numFmtId="14" fontId="27" fillId="0" borderId="0" xfId="19" applyNumberFormat="1" applyFont="1" applyAlignment="1">
      <alignment wrapText="1"/>
    </xf>
    <xf numFmtId="168" fontId="38" fillId="0" borderId="0" xfId="19" applyNumberFormat="1" applyFont="1" applyAlignment="1">
      <alignment wrapText="1"/>
    </xf>
    <xf numFmtId="174" fontId="27" fillId="0" borderId="7" xfId="19" applyNumberFormat="1" applyFont="1" applyBorder="1" applyAlignment="1">
      <alignment wrapText="1"/>
    </xf>
    <xf numFmtId="164" fontId="27" fillId="0" borderId="7" xfId="19" applyNumberFormat="1" applyFont="1" applyBorder="1" applyAlignment="1">
      <alignment wrapText="1"/>
    </xf>
    <xf numFmtId="169" fontId="27" fillId="0" borderId="3" xfId="19" applyNumberFormat="1" applyFont="1" applyBorder="1" applyAlignment="1">
      <alignment wrapText="1"/>
    </xf>
    <xf numFmtId="169" fontId="27" fillId="0" borderId="0" xfId="19" applyNumberFormat="1" applyFont="1" applyAlignment="1">
      <alignment wrapText="1"/>
    </xf>
    <xf numFmtId="174" fontId="27" fillId="0" borderId="0" xfId="19" applyNumberFormat="1" applyFont="1" applyAlignment="1">
      <alignment wrapText="1"/>
    </xf>
    <xf numFmtId="186" fontId="27" fillId="0" borderId="0" xfId="19" applyNumberFormat="1" applyFont="1" applyAlignment="1">
      <alignment wrapText="1"/>
    </xf>
    <xf numFmtId="0" fontId="38" fillId="0" borderId="5" xfId="19" applyFont="1" applyBorder="1" applyAlignment="1">
      <alignment wrapText="1"/>
    </xf>
    <xf numFmtId="164" fontId="27" fillId="0" borderId="0" xfId="19" applyNumberFormat="1" applyFont="1" applyAlignment="1">
      <alignment wrapText="1"/>
    </xf>
    <xf numFmtId="174" fontId="27" fillId="0" borderId="3" xfId="19" applyNumberFormat="1" applyFont="1" applyBorder="1" applyAlignment="1">
      <alignment wrapText="1"/>
    </xf>
    <xf numFmtId="0" fontId="27" fillId="0" borderId="23" xfId="19" applyFont="1" applyBorder="1" applyAlignment="1">
      <alignment wrapText="1"/>
    </xf>
    <xf numFmtId="166" fontId="27" fillId="0" borderId="5" xfId="19" applyNumberFormat="1" applyFont="1" applyBorder="1" applyAlignment="1">
      <alignment wrapText="1"/>
    </xf>
    <xf numFmtId="0" fontId="38" fillId="0" borderId="5" xfId="19" applyFont="1" applyBorder="1" applyAlignment="1">
      <alignment horizontal="center" wrapText="1"/>
    </xf>
    <xf numFmtId="168" fontId="38" fillId="0" borderId="5" xfId="19" applyNumberFormat="1" applyFont="1" applyBorder="1" applyAlignment="1">
      <alignment horizontal="center" wrapText="1"/>
    </xf>
    <xf numFmtId="0" fontId="27" fillId="0" borderId="22" xfId="19" applyFont="1" applyBorder="1" applyAlignment="1">
      <alignment wrapText="1"/>
    </xf>
    <xf numFmtId="173" fontId="27" fillId="0" borderId="1" xfId="19" applyNumberFormat="1" applyFont="1" applyBorder="1" applyAlignment="1">
      <alignment wrapText="1"/>
    </xf>
    <xf numFmtId="0" fontId="27" fillId="0" borderId="20" xfId="19" applyFont="1" applyBorder="1" applyAlignment="1">
      <alignment wrapText="1"/>
    </xf>
    <xf numFmtId="187" fontId="27" fillId="0" borderId="5" xfId="19" applyNumberFormat="1" applyFont="1" applyBorder="1" applyAlignment="1">
      <alignment wrapText="1"/>
    </xf>
    <xf numFmtId="168" fontId="27" fillId="0" borderId="5" xfId="19" applyNumberFormat="1" applyFont="1" applyBorder="1" applyAlignment="1">
      <alignment wrapText="1"/>
    </xf>
    <xf numFmtId="166" fontId="27" fillId="7" borderId="0" xfId="19" applyNumberFormat="1" applyFont="1" applyFill="1" applyAlignment="1">
      <alignment wrapText="1"/>
    </xf>
    <xf numFmtId="0" fontId="27" fillId="7" borderId="6" xfId="19" applyFont="1" applyFill="1" applyBorder="1" applyAlignment="1">
      <alignment wrapText="1"/>
    </xf>
    <xf numFmtId="177" fontId="27" fillId="7" borderId="7" xfId="19" applyNumberFormat="1" applyFont="1" applyFill="1" applyBorder="1" applyAlignment="1">
      <alignment wrapText="1"/>
    </xf>
    <xf numFmtId="177" fontId="27" fillId="0" borderId="7" xfId="19" applyNumberFormat="1" applyFont="1" applyBorder="1" applyAlignment="1">
      <alignment wrapText="1"/>
    </xf>
    <xf numFmtId="177" fontId="27" fillId="7" borderId="3" xfId="19" applyNumberFormat="1" applyFont="1" applyFill="1" applyBorder="1" applyAlignment="1">
      <alignment wrapText="1"/>
    </xf>
    <xf numFmtId="188" fontId="27" fillId="0" borderId="0" xfId="19" applyNumberFormat="1" applyFont="1" applyAlignment="1">
      <alignment wrapText="1"/>
    </xf>
    <xf numFmtId="177" fontId="27" fillId="0" borderId="3" xfId="19" applyNumberFormat="1" applyFont="1" applyBorder="1" applyAlignment="1">
      <alignment wrapText="1"/>
    </xf>
    <xf numFmtId="177" fontId="27" fillId="7" borderId="0" xfId="19" applyNumberFormat="1" applyFont="1" applyFill="1" applyAlignment="1">
      <alignment wrapText="1"/>
    </xf>
    <xf numFmtId="177" fontId="27" fillId="0" borderId="0" xfId="19" applyNumberFormat="1" applyFont="1" applyAlignment="1">
      <alignment wrapText="1"/>
    </xf>
    <xf numFmtId="0" fontId="38" fillId="0" borderId="1" xfId="19" applyFont="1" applyBorder="1" applyAlignment="1">
      <alignment horizontal="center" wrapText="1"/>
    </xf>
    <xf numFmtId="0" fontId="38" fillId="0" borderId="0" xfId="19" applyFont="1" applyAlignment="1">
      <alignment horizontal="center" wrapText="1"/>
    </xf>
    <xf numFmtId="0" fontId="38" fillId="0" borderId="4" xfId="19" applyFont="1" applyBorder="1" applyAlignment="1">
      <alignment horizontal="center" wrapText="1"/>
    </xf>
    <xf numFmtId="0" fontId="38" fillId="0" borderId="8" xfId="19" applyFont="1" applyBorder="1" applyAlignment="1">
      <alignment horizontal="center" wrapText="1"/>
    </xf>
    <xf numFmtId="0" fontId="38" fillId="0" borderId="20" xfId="19" applyFont="1" applyBorder="1" applyAlignment="1">
      <alignment horizontal="center" wrapText="1"/>
    </xf>
    <xf numFmtId="0" fontId="27" fillId="0" borderId="0" xfId="0" applyFont="1" applyAlignment="1">
      <alignment vertical="top" wrapText="1"/>
    </xf>
    <xf numFmtId="0" fontId="0" fillId="10" borderId="0" xfId="0" applyFill="1"/>
    <xf numFmtId="0" fontId="0" fillId="0" borderId="0" xfId="0" applyFill="1"/>
    <xf numFmtId="0" fontId="39" fillId="0" borderId="0" xfId="21"/>
    <xf numFmtId="0" fontId="9" fillId="0" borderId="0" xfId="19" applyAlignment="1">
      <alignment wrapText="1"/>
    </xf>
    <xf numFmtId="171" fontId="40" fillId="0" borderId="0" xfId="22" applyNumberFormat="1" applyFont="1" applyFill="1" applyBorder="1"/>
    <xf numFmtId="171" fontId="40" fillId="13" borderId="45" xfId="22" applyNumberFormat="1" applyFont="1" applyFill="1" applyBorder="1"/>
    <xf numFmtId="171" fontId="40" fillId="13" borderId="13" xfId="22" applyNumberFormat="1" applyFont="1" applyFill="1" applyBorder="1"/>
    <xf numFmtId="0" fontId="40" fillId="13" borderId="44" xfId="21" applyFont="1" applyFill="1" applyBorder="1" applyAlignment="1">
      <alignment horizontal="left"/>
    </xf>
    <xf numFmtId="171" fontId="40" fillId="13" borderId="51" xfId="21" applyNumberFormat="1" applyFont="1" applyFill="1" applyBorder="1"/>
    <xf numFmtId="171" fontId="40" fillId="13" borderId="11" xfId="21" applyNumberFormat="1" applyFont="1" applyFill="1" applyBorder="1"/>
    <xf numFmtId="0" fontId="40" fillId="13" borderId="50" xfId="21" applyFont="1" applyFill="1" applyBorder="1" applyAlignment="1">
      <alignment horizontal="left"/>
    </xf>
    <xf numFmtId="171" fontId="0" fillId="0" borderId="0" xfId="22" applyNumberFormat="1" applyFont="1" applyFill="1" applyBorder="1"/>
    <xf numFmtId="171" fontId="0" fillId="0" borderId="49" xfId="22" applyNumberFormat="1" applyFont="1" applyBorder="1"/>
    <xf numFmtId="171" fontId="0" fillId="0" borderId="0" xfId="22" applyNumberFormat="1" applyFont="1" applyBorder="1"/>
    <xf numFmtId="0" fontId="39" fillId="0" borderId="48" xfId="21" applyBorder="1" applyAlignment="1">
      <alignment horizontal="left"/>
    </xf>
    <xf numFmtId="171" fontId="39" fillId="0" borderId="51" xfId="21" applyNumberFormat="1" applyBorder="1"/>
    <xf numFmtId="171" fontId="0" fillId="0" borderId="11" xfId="22" applyNumberFormat="1" applyFont="1" applyBorder="1"/>
    <xf numFmtId="0" fontId="39" fillId="0" borderId="50" xfId="21" applyBorder="1" applyAlignment="1">
      <alignment horizontal="left"/>
    </xf>
    <xf numFmtId="171" fontId="39" fillId="0" borderId="49" xfId="21" applyNumberFormat="1" applyBorder="1"/>
    <xf numFmtId="0" fontId="39" fillId="0" borderId="0" xfId="21" applyAlignment="1">
      <alignment horizontal="center" wrapText="1"/>
    </xf>
    <xf numFmtId="0" fontId="39" fillId="0" borderId="0" xfId="21" applyAlignment="1">
      <alignment horizontal="center"/>
    </xf>
    <xf numFmtId="171" fontId="40" fillId="13" borderId="51" xfId="22" applyNumberFormat="1" applyFont="1" applyFill="1" applyBorder="1"/>
    <xf numFmtId="171" fontId="40" fillId="13" borderId="50" xfId="22" applyNumberFormat="1" applyFont="1" applyFill="1" applyBorder="1"/>
    <xf numFmtId="171" fontId="0" fillId="0" borderId="51" xfId="22" applyNumberFormat="1" applyFont="1" applyBorder="1"/>
    <xf numFmtId="171" fontId="0" fillId="0" borderId="50" xfId="22" applyNumberFormat="1" applyFont="1" applyBorder="1"/>
    <xf numFmtId="0" fontId="39" fillId="0" borderId="11" xfId="21" applyBorder="1"/>
    <xf numFmtId="0" fontId="39" fillId="0" borderId="50" xfId="21" applyBorder="1"/>
    <xf numFmtId="171" fontId="0" fillId="0" borderId="48" xfId="22" applyNumberFormat="1" applyFont="1" applyBorder="1"/>
    <xf numFmtId="0" fontId="39" fillId="0" borderId="48" xfId="21" applyBorder="1"/>
    <xf numFmtId="171" fontId="0" fillId="0" borderId="47" xfId="22" applyNumberFormat="1" applyFont="1" applyBorder="1"/>
    <xf numFmtId="171" fontId="0" fillId="0" borderId="46" xfId="22" applyNumberFormat="1" applyFont="1" applyBorder="1"/>
    <xf numFmtId="0" fontId="39" fillId="0" borderId="25" xfId="21" applyBorder="1"/>
    <xf numFmtId="0" fontId="39" fillId="0" borderId="46" xfId="21" applyBorder="1"/>
    <xf numFmtId="0" fontId="39" fillId="14" borderId="35" xfId="21" applyFill="1" applyBorder="1" applyAlignment="1">
      <alignment horizontal="center" wrapText="1"/>
    </xf>
    <xf numFmtId="0" fontId="39" fillId="14" borderId="35" xfId="21" applyFill="1" applyBorder="1" applyAlignment="1">
      <alignment horizontal="center"/>
    </xf>
    <xf numFmtId="0" fontId="39" fillId="0" borderId="58" xfId="21" applyBorder="1" applyAlignment="1">
      <alignment horizontal="center"/>
    </xf>
    <xf numFmtId="0" fontId="39" fillId="0" borderId="38" xfId="21" applyBorder="1" applyAlignment="1">
      <alignment horizontal="center" wrapText="1"/>
    </xf>
    <xf numFmtId="0" fontId="41" fillId="0" borderId="0" xfId="21" applyFont="1" applyAlignment="1">
      <alignment horizontal="center"/>
    </xf>
    <xf numFmtId="0" fontId="9" fillId="0" borderId="0" xfId="19" applyAlignment="1">
      <alignment horizontal="left" wrapText="1"/>
    </xf>
    <xf numFmtId="0" fontId="8" fillId="0" borderId="0" xfId="19" applyFont="1"/>
    <xf numFmtId="0" fontId="23" fillId="0" borderId="0" xfId="21" applyFont="1"/>
    <xf numFmtId="0" fontId="31" fillId="0" borderId="0" xfId="21" applyFont="1"/>
    <xf numFmtId="171" fontId="31" fillId="0" borderId="14" xfId="22" applyNumberFormat="1" applyFont="1" applyFill="1" applyBorder="1"/>
    <xf numFmtId="171" fontId="31" fillId="0" borderId="14" xfId="22" applyNumberFormat="1" applyFont="1" applyBorder="1"/>
    <xf numFmtId="43" fontId="23" fillId="0" borderId="0" xfId="21" applyNumberFormat="1" applyFont="1"/>
    <xf numFmtId="171" fontId="23" fillId="0" borderId="11" xfId="21" applyNumberFormat="1" applyFont="1" applyBorder="1"/>
    <xf numFmtId="171" fontId="9" fillId="0" borderId="11" xfId="22" applyNumberFormat="1" applyFont="1" applyFill="1" applyBorder="1"/>
    <xf numFmtId="171" fontId="9" fillId="0" borderId="11" xfId="22" applyNumberFormat="1" applyFont="1" applyBorder="1"/>
    <xf numFmtId="171" fontId="23" fillId="0" borderId="0" xfId="21" applyNumberFormat="1" applyFont="1"/>
    <xf numFmtId="171" fontId="9" fillId="0" borderId="0" xfId="22" applyNumberFormat="1" applyFont="1" applyFill="1"/>
    <xf numFmtId="171" fontId="9" fillId="0" borderId="0" xfId="22" applyNumberFormat="1" applyFont="1"/>
    <xf numFmtId="0" fontId="23" fillId="0" borderId="35" xfId="21" applyFont="1" applyBorder="1" applyAlignment="1">
      <alignment horizontal="center" wrapText="1"/>
    </xf>
    <xf numFmtId="0" fontId="23" fillId="0" borderId="0" xfId="21" applyFont="1" applyAlignment="1">
      <alignment horizontal="center" wrapText="1"/>
    </xf>
    <xf numFmtId="49" fontId="23" fillId="0" borderId="35" xfId="21" applyNumberFormat="1" applyFont="1" applyBorder="1" applyAlignment="1">
      <alignment horizontal="center" wrapText="1"/>
    </xf>
    <xf numFmtId="0" fontId="23" fillId="0" borderId="35" xfId="21" applyFont="1" applyBorder="1"/>
    <xf numFmtId="189" fontId="23" fillId="0" borderId="58" xfId="21" applyNumberFormat="1" applyFont="1" applyBorder="1" applyAlignment="1">
      <alignment horizontal="center" wrapText="1"/>
    </xf>
    <xf numFmtId="0" fontId="23" fillId="0" borderId="38" xfId="21" applyFont="1" applyBorder="1" applyAlignment="1">
      <alignment horizontal="center" wrapText="1"/>
    </xf>
    <xf numFmtId="43" fontId="23" fillId="0" borderId="0" xfId="6" applyFont="1"/>
    <xf numFmtId="43" fontId="9" fillId="0" borderId="0" xfId="6" applyFont="1"/>
    <xf numFmtId="0" fontId="23" fillId="0" borderId="0" xfId="21" applyFont="1" applyAlignment="1">
      <alignment horizontal="right"/>
    </xf>
    <xf numFmtId="43" fontId="8" fillId="0" borderId="35" xfId="6" applyFont="1" applyBorder="1"/>
    <xf numFmtId="0" fontId="31" fillId="0" borderId="35" xfId="21" applyFont="1" applyBorder="1"/>
    <xf numFmtId="43" fontId="23" fillId="0" borderId="35" xfId="6" applyFont="1" applyBorder="1"/>
    <xf numFmtId="43" fontId="9" fillId="0" borderId="44" xfId="6" applyFont="1" applyBorder="1"/>
    <xf numFmtId="43" fontId="9" fillId="0" borderId="35" xfId="6" applyFont="1" applyBorder="1"/>
    <xf numFmtId="43" fontId="9" fillId="0" borderId="44" xfId="6" applyFont="1" applyFill="1" applyBorder="1"/>
    <xf numFmtId="43" fontId="9" fillId="0" borderId="35" xfId="6" applyFont="1" applyFill="1" applyBorder="1"/>
    <xf numFmtId="43" fontId="23" fillId="0" borderId="44" xfId="6" applyFont="1" applyFill="1" applyBorder="1"/>
    <xf numFmtId="43" fontId="23" fillId="0" borderId="35" xfId="6" applyFont="1" applyFill="1" applyBorder="1"/>
    <xf numFmtId="43" fontId="23" fillId="14" borderId="35" xfId="6" applyFont="1" applyFill="1" applyBorder="1"/>
    <xf numFmtId="43" fontId="9" fillId="14" borderId="44" xfId="6" applyFont="1" applyFill="1" applyBorder="1"/>
    <xf numFmtId="43" fontId="9" fillId="14" borderId="35" xfId="6" applyFont="1" applyFill="1" applyBorder="1"/>
    <xf numFmtId="0" fontId="31" fillId="14" borderId="35" xfId="21" applyFont="1" applyFill="1" applyBorder="1"/>
    <xf numFmtId="0" fontId="23" fillId="0" borderId="58" xfId="21" applyFont="1" applyBorder="1"/>
    <xf numFmtId="0" fontId="23" fillId="0" borderId="35" xfId="21" applyFont="1" applyBorder="1" applyAlignment="1">
      <alignment horizontal="left"/>
    </xf>
    <xf numFmtId="43" fontId="8" fillId="14" borderId="35" xfId="6" applyFont="1" applyFill="1" applyBorder="1"/>
    <xf numFmtId="43" fontId="8" fillId="14" borderId="44" xfId="6" applyFont="1" applyFill="1" applyBorder="1"/>
    <xf numFmtId="43" fontId="23" fillId="15" borderId="35" xfId="6" applyFont="1" applyFill="1" applyBorder="1"/>
    <xf numFmtId="43" fontId="23" fillId="15" borderId="35" xfId="6" quotePrefix="1" applyFont="1" applyFill="1" applyBorder="1"/>
    <xf numFmtId="0" fontId="23" fillId="15" borderId="35" xfId="21" applyFont="1" applyFill="1" applyBorder="1"/>
    <xf numFmtId="43" fontId="23" fillId="15" borderId="38" xfId="6" applyFont="1" applyFill="1" applyBorder="1"/>
    <xf numFmtId="0" fontId="23" fillId="15" borderId="38" xfId="21" applyFont="1" applyFill="1" applyBorder="1"/>
    <xf numFmtId="43" fontId="9" fillId="0" borderId="0" xfId="22" applyFont="1"/>
    <xf numFmtId="43" fontId="31" fillId="3" borderId="35" xfId="22" applyFont="1" applyFill="1" applyBorder="1"/>
    <xf numFmtId="0" fontId="31" fillId="3" borderId="35" xfId="21" applyFont="1" applyFill="1" applyBorder="1"/>
    <xf numFmtId="43" fontId="9" fillId="0" borderId="35" xfId="22" applyFont="1" applyBorder="1"/>
    <xf numFmtId="0" fontId="23" fillId="16" borderId="35" xfId="21" applyFont="1" applyFill="1" applyBorder="1"/>
    <xf numFmtId="0" fontId="31" fillId="16" borderId="35" xfId="21" applyFont="1" applyFill="1" applyBorder="1" applyAlignment="1">
      <alignment horizontal="left" wrapText="1"/>
    </xf>
    <xf numFmtId="43" fontId="8" fillId="16" borderId="35" xfId="22" applyFont="1" applyFill="1" applyBorder="1"/>
    <xf numFmtId="0" fontId="23" fillId="15" borderId="38" xfId="21" applyFont="1" applyFill="1" applyBorder="1" applyAlignment="1">
      <alignment wrapText="1"/>
    </xf>
    <xf numFmtId="171" fontId="39" fillId="0" borderId="0" xfId="21" applyNumberFormat="1"/>
    <xf numFmtId="0" fontId="23" fillId="0" borderId="0" xfId="23"/>
    <xf numFmtId="171" fontId="40" fillId="0" borderId="14" xfId="21" applyNumberFormat="1" applyFont="1" applyBorder="1"/>
    <xf numFmtId="0" fontId="40" fillId="0" borderId="0" xfId="21" applyFont="1"/>
    <xf numFmtId="171" fontId="39" fillId="0" borderId="11" xfId="21" applyNumberFormat="1" applyBorder="1"/>
    <xf numFmtId="189" fontId="39" fillId="0" borderId="58" xfId="21" applyNumberFormat="1" applyBorder="1" applyAlignment="1">
      <alignment horizontal="center" wrapText="1"/>
    </xf>
    <xf numFmtId="171" fontId="40" fillId="0" borderId="0" xfId="21" applyNumberFormat="1" applyFont="1"/>
    <xf numFmtId="171" fontId="39" fillId="0" borderId="0" xfId="21" applyNumberFormat="1" applyAlignment="1">
      <alignment horizontal="center"/>
    </xf>
    <xf numFmtId="171" fontId="40" fillId="0" borderId="58" xfId="22" applyNumberFormat="1" applyFont="1" applyBorder="1"/>
    <xf numFmtId="171" fontId="40" fillId="0" borderId="51" xfId="22" applyNumberFormat="1" applyFont="1" applyBorder="1"/>
    <xf numFmtId="171" fontId="40" fillId="0" borderId="11" xfId="22" applyNumberFormat="1" applyFont="1" applyBorder="1"/>
    <xf numFmtId="171" fontId="40" fillId="0" borderId="50" xfId="22" applyNumberFormat="1" applyFont="1" applyBorder="1"/>
    <xf numFmtId="0" fontId="40" fillId="0" borderId="58" xfId="21" applyFont="1" applyBorder="1"/>
    <xf numFmtId="171" fontId="39" fillId="0" borderId="58" xfId="21" applyNumberFormat="1" applyBorder="1"/>
    <xf numFmtId="171" fontId="0" fillId="0" borderId="58" xfId="22" applyNumberFormat="1" applyFont="1" applyBorder="1"/>
    <xf numFmtId="0" fontId="39" fillId="0" borderId="58" xfId="21" applyBorder="1"/>
    <xf numFmtId="171" fontId="39" fillId="0" borderId="59" xfId="21" applyNumberFormat="1" applyBorder="1"/>
    <xf numFmtId="171" fontId="0" fillId="0" borderId="59" xfId="22" applyNumberFormat="1" applyFont="1" applyBorder="1"/>
    <xf numFmtId="0" fontId="39" fillId="0" borderId="59" xfId="21" applyBorder="1"/>
    <xf numFmtId="0" fontId="39" fillId="0" borderId="51" xfId="21" applyBorder="1" applyAlignment="1">
      <alignment horizontal="center" wrapText="1"/>
    </xf>
    <xf numFmtId="0" fontId="39" fillId="0" borderId="11" xfId="21" applyBorder="1" applyAlignment="1">
      <alignment horizontal="center" wrapText="1"/>
    </xf>
    <xf numFmtId="0" fontId="39" fillId="0" borderId="50" xfId="21" applyBorder="1" applyAlignment="1">
      <alignment horizontal="center" wrapText="1"/>
    </xf>
    <xf numFmtId="0" fontId="39" fillId="0" borderId="58" xfId="21" applyBorder="1" applyAlignment="1">
      <alignment horizontal="center" wrapText="1"/>
    </xf>
    <xf numFmtId="0" fontId="39" fillId="0" borderId="58" xfId="21" applyBorder="1" applyAlignment="1">
      <alignment wrapText="1"/>
    </xf>
    <xf numFmtId="0" fontId="39" fillId="0" borderId="47" xfId="21" applyBorder="1" applyAlignment="1">
      <alignment horizontal="center" wrapText="1"/>
    </xf>
    <xf numFmtId="0" fontId="39" fillId="0" borderId="25" xfId="21" applyBorder="1" applyAlignment="1">
      <alignment horizontal="center" wrapText="1"/>
    </xf>
    <xf numFmtId="0" fontId="39" fillId="0" borderId="46" xfId="21" applyBorder="1" applyAlignment="1">
      <alignment horizontal="center" wrapText="1"/>
    </xf>
    <xf numFmtId="43" fontId="0" fillId="0" borderId="0" xfId="22" applyFont="1"/>
    <xf numFmtId="43" fontId="40" fillId="3" borderId="35" xfId="22" applyFont="1" applyFill="1" applyBorder="1"/>
    <xf numFmtId="0" fontId="40" fillId="3" borderId="35" xfId="21" applyFont="1" applyFill="1" applyBorder="1"/>
    <xf numFmtId="43" fontId="0" fillId="0" borderId="35" xfId="22" applyFont="1" applyBorder="1"/>
    <xf numFmtId="0" fontId="39" fillId="0" borderId="35" xfId="21" applyBorder="1"/>
    <xf numFmtId="0" fontId="39" fillId="0" borderId="35" xfId="21" quotePrefix="1" applyBorder="1"/>
    <xf numFmtId="43" fontId="0" fillId="3" borderId="35" xfId="22" applyFont="1" applyFill="1" applyBorder="1" applyAlignment="1">
      <alignment wrapText="1"/>
    </xf>
    <xf numFmtId="0" fontId="39" fillId="3" borderId="35" xfId="21" applyFill="1" applyBorder="1"/>
    <xf numFmtId="43" fontId="0" fillId="3" borderId="35" xfId="22" applyFont="1" applyFill="1" applyBorder="1"/>
    <xf numFmtId="14" fontId="23" fillId="0" borderId="0" xfId="21" applyNumberFormat="1" applyFont="1"/>
    <xf numFmtId="44" fontId="31" fillId="0" borderId="14" xfId="21" applyNumberFormat="1" applyFont="1" applyBorder="1"/>
    <xf numFmtId="44" fontId="31" fillId="0" borderId="14" xfId="24" applyFont="1" applyBorder="1"/>
    <xf numFmtId="44" fontId="31" fillId="0" borderId="60" xfId="24" applyFont="1" applyBorder="1"/>
    <xf numFmtId="43" fontId="9" fillId="3" borderId="35" xfId="22" applyFont="1" applyFill="1" applyBorder="1"/>
    <xf numFmtId="0" fontId="23" fillId="3" borderId="35" xfId="21" applyFont="1" applyFill="1" applyBorder="1"/>
    <xf numFmtId="190" fontId="9" fillId="0" borderId="0" xfId="25" applyNumberFormat="1" applyFont="1"/>
    <xf numFmtId="0" fontId="9" fillId="0" borderId="0" xfId="19" applyAlignment="1">
      <alignment horizontal="left" indent="1"/>
    </xf>
    <xf numFmtId="14" fontId="23" fillId="3" borderId="35" xfId="21" applyNumberFormat="1" applyFont="1" applyFill="1" applyBorder="1"/>
    <xf numFmtId="43" fontId="9" fillId="0" borderId="0" xfId="22" applyFont="1" applyFill="1"/>
    <xf numFmtId="43" fontId="9" fillId="0" borderId="0" xfId="22" applyFont="1" applyFill="1" applyBorder="1"/>
    <xf numFmtId="43" fontId="31" fillId="0" borderId="60" xfId="6" applyFont="1" applyBorder="1"/>
    <xf numFmtId="39" fontId="42" fillId="12" borderId="57" xfId="19" applyNumberFormat="1" applyFont="1" applyFill="1" applyBorder="1"/>
    <xf numFmtId="14" fontId="42" fillId="12" borderId="57" xfId="19" applyNumberFormat="1" applyFont="1" applyFill="1" applyBorder="1" applyAlignment="1">
      <alignment horizontal="left"/>
    </xf>
    <xf numFmtId="39" fontId="9" fillId="0" borderId="0" xfId="19" applyNumberFormat="1"/>
    <xf numFmtId="0" fontId="23" fillId="0" borderId="0" xfId="21" applyFont="1" applyAlignment="1">
      <alignment wrapText="1"/>
    </xf>
    <xf numFmtId="14" fontId="23" fillId="0" borderId="0" xfId="21" applyNumberFormat="1" applyFont="1" applyAlignment="1">
      <alignment wrapText="1"/>
    </xf>
    <xf numFmtId="171" fontId="31" fillId="0" borderId="14" xfId="21" applyNumberFormat="1" applyFont="1" applyBorder="1"/>
    <xf numFmtId="189" fontId="23" fillId="0" borderId="35" xfId="21" applyNumberFormat="1" applyFont="1" applyBorder="1" applyAlignment="1">
      <alignment horizontal="center" wrapText="1"/>
    </xf>
    <xf numFmtId="171" fontId="31" fillId="0" borderId="0" xfId="22" applyNumberFormat="1" applyFont="1"/>
    <xf numFmtId="171" fontId="31" fillId="0" borderId="35" xfId="21" applyNumberFormat="1" applyFont="1" applyBorder="1"/>
    <xf numFmtId="171" fontId="8" fillId="15" borderId="35" xfId="22" applyNumberFormat="1" applyFont="1" applyFill="1" applyBorder="1"/>
    <xf numFmtId="0" fontId="31" fillId="15" borderId="35" xfId="21" applyFont="1" applyFill="1" applyBorder="1"/>
    <xf numFmtId="43" fontId="23" fillId="0" borderId="58" xfId="21" applyNumberFormat="1" applyFont="1" applyBorder="1"/>
    <xf numFmtId="43" fontId="23" fillId="0" borderId="59" xfId="21" applyNumberFormat="1" applyFont="1" applyBorder="1"/>
    <xf numFmtId="43" fontId="23" fillId="0" borderId="38" xfId="21" applyNumberFormat="1" applyFont="1" applyBorder="1"/>
    <xf numFmtId="10" fontId="9" fillId="0" borderId="35" xfId="25" applyNumberFormat="1" applyFont="1" applyBorder="1"/>
    <xf numFmtId="0" fontId="23" fillId="0" borderId="35" xfId="21" applyFont="1" applyBorder="1" applyAlignment="1">
      <alignment wrapText="1"/>
    </xf>
    <xf numFmtId="43" fontId="9" fillId="15" borderId="35" xfId="22" applyFont="1" applyFill="1" applyBorder="1" applyAlignment="1">
      <alignment wrapText="1"/>
    </xf>
    <xf numFmtId="43" fontId="9" fillId="15" borderId="35" xfId="22" applyFont="1" applyFill="1" applyBorder="1"/>
    <xf numFmtId="0" fontId="9" fillId="0" borderId="0" xfId="26"/>
    <xf numFmtId="0" fontId="9" fillId="0" borderId="0" xfId="26" applyAlignment="1">
      <alignment horizontal="center"/>
    </xf>
    <xf numFmtId="0" fontId="39" fillId="0" borderId="0" xfId="21" applyAlignment="1">
      <alignment horizontal="right"/>
    </xf>
    <xf numFmtId="0" fontId="43" fillId="0" borderId="0" xfId="27" applyFont="1" applyAlignment="1">
      <alignment horizontal="center"/>
    </xf>
    <xf numFmtId="42" fontId="8" fillId="0" borderId="61" xfId="10" applyNumberFormat="1" applyFont="1" applyBorder="1" applyProtection="1"/>
    <xf numFmtId="0" fontId="9" fillId="0" borderId="0" xfId="27" applyFont="1"/>
    <xf numFmtId="0" fontId="7" fillId="0" borderId="0" xfId="27"/>
    <xf numFmtId="179" fontId="9" fillId="0" borderId="11" xfId="28" applyNumberFormat="1" applyFont="1" applyFill="1" applyBorder="1" applyProtection="1"/>
    <xf numFmtId="0" fontId="9" fillId="0" borderId="0" xfId="27" applyFont="1" applyAlignment="1">
      <alignment horizontal="right"/>
    </xf>
    <xf numFmtId="37" fontId="9" fillId="0" borderId="0" xfId="27" applyNumberFormat="1" applyFont="1"/>
    <xf numFmtId="42" fontId="9" fillId="0" borderId="0" xfId="26" applyNumberFormat="1"/>
    <xf numFmtId="42" fontId="9" fillId="0" borderId="0" xfId="27" applyNumberFormat="1" applyFont="1"/>
    <xf numFmtId="10" fontId="9" fillId="0" borderId="0" xfId="27" applyNumberFormat="1" applyFont="1"/>
    <xf numFmtId="42" fontId="9" fillId="0" borderId="0" xfId="10" applyNumberFormat="1" applyFont="1" applyFill="1" applyBorder="1" applyProtection="1"/>
    <xf numFmtId="0" fontId="43" fillId="0" borderId="0" xfId="26" applyFont="1" applyAlignment="1">
      <alignment horizontal="center"/>
    </xf>
    <xf numFmtId="41" fontId="9" fillId="0" borderId="0" xfId="27" applyNumberFormat="1" applyFont="1"/>
    <xf numFmtId="0" fontId="0" fillId="0" borderId="0" xfId="27" applyFont="1"/>
    <xf numFmtId="0" fontId="43" fillId="0" borderId="0" xfId="26" applyFont="1"/>
    <xf numFmtId="171" fontId="9" fillId="0" borderId="11" xfId="28" applyNumberFormat="1" applyFont="1" applyFill="1" applyBorder="1" applyProtection="1"/>
    <xf numFmtId="171" fontId="9" fillId="0" borderId="0" xfId="28" applyNumberFormat="1" applyFont="1" applyFill="1" applyBorder="1" applyProtection="1"/>
    <xf numFmtId="0" fontId="44" fillId="0" borderId="0" xfId="27" applyFont="1"/>
    <xf numFmtId="0" fontId="43" fillId="0" borderId="0" xfId="26" applyFont="1" applyAlignment="1">
      <alignment horizontal="center" wrapText="1"/>
    </xf>
    <xf numFmtId="49" fontId="9" fillId="0" borderId="0" xfId="27" applyNumberFormat="1" applyFont="1" applyAlignment="1">
      <alignment horizontal="center"/>
    </xf>
    <xf numFmtId="0" fontId="8" fillId="0" borderId="0" xfId="27" applyFont="1" applyAlignment="1">
      <alignment horizontal="center" wrapText="1"/>
    </xf>
    <xf numFmtId="0" fontId="7" fillId="0" borderId="0" xfId="27" applyAlignment="1">
      <alignment horizontal="center"/>
    </xf>
    <xf numFmtId="43" fontId="40" fillId="0" borderId="14" xfId="21" applyNumberFormat="1" applyFont="1" applyBorder="1"/>
    <xf numFmtId="43" fontId="0" fillId="0" borderId="0" xfId="6" applyFont="1"/>
    <xf numFmtId="43" fontId="0" fillId="0" borderId="11" xfId="6" applyFont="1" applyBorder="1"/>
    <xf numFmtId="49" fontId="9" fillId="0" borderId="0" xfId="26" applyNumberFormat="1"/>
    <xf numFmtId="0" fontId="45" fillId="0" borderId="0" xfId="26" applyFont="1"/>
    <xf numFmtId="43" fontId="45" fillId="0" borderId="0" xfId="26" applyNumberFormat="1" applyFont="1"/>
    <xf numFmtId="43" fontId="9" fillId="0" borderId="0" xfId="26" applyNumberFormat="1"/>
    <xf numFmtId="0" fontId="9" fillId="0" borderId="0" xfId="26" applyAlignment="1">
      <alignment horizontal="left"/>
    </xf>
    <xf numFmtId="43" fontId="1" fillId="0" borderId="11" xfId="21" applyNumberFormat="1" applyFont="1" applyBorder="1"/>
    <xf numFmtId="43" fontId="1" fillId="0" borderId="0" xfId="21" applyNumberFormat="1" applyFont="1"/>
    <xf numFmtId="0" fontId="9" fillId="0" borderId="0" xfId="26" pivotButton="1"/>
    <xf numFmtId="49" fontId="46" fillId="17" borderId="62" xfId="26" applyNumberFormat="1" applyFont="1" applyFill="1" applyBorder="1" applyAlignment="1">
      <alignment horizontal="center"/>
    </xf>
    <xf numFmtId="43" fontId="46" fillId="17" borderId="62" xfId="29" applyFont="1" applyFill="1" applyBorder="1" applyAlignment="1">
      <alignment horizontal="center" wrapText="1"/>
    </xf>
    <xf numFmtId="43" fontId="47" fillId="0" borderId="24" xfId="6" applyFont="1" applyFill="1" applyBorder="1"/>
    <xf numFmtId="0" fontId="47" fillId="0" borderId="0" xfId="26" applyFont="1"/>
    <xf numFmtId="43" fontId="47" fillId="0" borderId="0" xfId="6" applyFont="1" applyFill="1" applyBorder="1"/>
    <xf numFmtId="0" fontId="47" fillId="0" borderId="0" xfId="26" applyFont="1" applyAlignment="1">
      <alignment horizontal="left"/>
    </xf>
    <xf numFmtId="43" fontId="47" fillId="0" borderId="11" xfId="30" applyFont="1" applyFill="1" applyBorder="1"/>
    <xf numFmtId="43" fontId="47" fillId="0" borderId="11" xfId="6" applyFont="1" applyFill="1" applyBorder="1"/>
    <xf numFmtId="191" fontId="47" fillId="0" borderId="0" xfId="26" applyNumberFormat="1" applyFont="1" applyAlignment="1">
      <alignment horizontal="left"/>
    </xf>
    <xf numFmtId="0" fontId="9" fillId="0" borderId="0" xfId="31"/>
    <xf numFmtId="42" fontId="8" fillId="0" borderId="61" xfId="32" applyNumberFormat="1" applyFont="1" applyFill="1" applyBorder="1" applyProtection="1"/>
    <xf numFmtId="179" fontId="9" fillId="0" borderId="11" xfId="33" applyNumberFormat="1" applyFont="1" applyFill="1" applyBorder="1" applyProtection="1"/>
    <xf numFmtId="42" fontId="9" fillId="0" borderId="63" xfId="32" applyNumberFormat="1" applyFont="1" applyFill="1" applyBorder="1" applyProtection="1"/>
    <xf numFmtId="192" fontId="9" fillId="0" borderId="0" xfId="27" applyNumberFormat="1" applyFont="1"/>
    <xf numFmtId="42" fontId="9" fillId="0" borderId="0" xfId="32" applyNumberFormat="1" applyFont="1" applyFill="1" applyProtection="1"/>
    <xf numFmtId="170" fontId="9" fillId="0" borderId="0" xfId="32" applyNumberFormat="1" applyFont="1" applyFill="1" applyProtection="1"/>
    <xf numFmtId="42" fontId="9" fillId="0" borderId="0" xfId="32" applyNumberFormat="1" applyFont="1" applyFill="1" applyBorder="1" applyProtection="1"/>
    <xf numFmtId="170" fontId="7" fillId="0" borderId="0" xfId="32" applyNumberFormat="1" applyFont="1" applyFill="1"/>
    <xf numFmtId="171" fontId="9" fillId="0" borderId="11" xfId="33" applyNumberFormat="1" applyFont="1" applyFill="1" applyBorder="1" applyProtection="1"/>
    <xf numFmtId="42" fontId="9" fillId="0" borderId="11" xfId="32" applyNumberFormat="1" applyFont="1" applyFill="1" applyBorder="1" applyProtection="1"/>
    <xf numFmtId="42" fontId="9" fillId="0" borderId="25" xfId="32" applyNumberFormat="1" applyFont="1" applyFill="1" applyBorder="1" applyProtection="1"/>
    <xf numFmtId="10" fontId="9" fillId="0" borderId="11" xfId="27" applyNumberFormat="1" applyFont="1" applyBorder="1"/>
    <xf numFmtId="170" fontId="9" fillId="0" borderId="0" xfId="32" applyNumberFormat="1" applyFont="1" applyFill="1" applyBorder="1" applyProtection="1"/>
    <xf numFmtId="42" fontId="9" fillId="0" borderId="0" xfId="31" applyNumberFormat="1"/>
    <xf numFmtId="42" fontId="7" fillId="0" borderId="0" xfId="27" applyNumberFormat="1"/>
    <xf numFmtId="37" fontId="9" fillId="0" borderId="11" xfId="27" applyNumberFormat="1" applyFont="1" applyBorder="1"/>
    <xf numFmtId="41" fontId="9" fillId="0" borderId="11" xfId="27" applyNumberFormat="1" applyFont="1" applyBorder="1"/>
    <xf numFmtId="0" fontId="48" fillId="0" borderId="0" xfId="27" applyFont="1" applyAlignment="1">
      <alignment horizontal="center" wrapText="1"/>
    </xf>
    <xf numFmtId="0" fontId="48" fillId="0" borderId="0" xfId="27" applyFont="1" applyAlignment="1">
      <alignment horizontal="center"/>
    </xf>
    <xf numFmtId="0" fontId="8" fillId="0" borderId="0" xfId="27" applyFont="1"/>
    <xf numFmtId="0" fontId="9" fillId="0" borderId="0" xfId="31" applyAlignment="1">
      <alignment horizontal="right"/>
    </xf>
    <xf numFmtId="10" fontId="9" fillId="0" borderId="64" xfId="27" applyNumberFormat="1" applyFont="1" applyFill="1" applyBorder="1"/>
    <xf numFmtId="43" fontId="3" fillId="0" borderId="0" xfId="21" applyNumberFormat="1" applyFont="1" applyFill="1"/>
    <xf numFmtId="0" fontId="27" fillId="0" borderId="0" xfId="0" applyFont="1"/>
    <xf numFmtId="43" fontId="9" fillId="0" borderId="0" xfId="33" applyFont="1"/>
    <xf numFmtId="43" fontId="9" fillId="0" borderId="0" xfId="0" applyNumberFormat="1" applyFont="1"/>
    <xf numFmtId="43" fontId="9" fillId="0" borderId="0" xfId="33" applyFont="1" applyFill="1"/>
    <xf numFmtId="0" fontId="9" fillId="0" borderId="0" xfId="0" quotePrefix="1" applyFont="1"/>
    <xf numFmtId="0" fontId="27" fillId="0" borderId="0" xfId="0" quotePrefix="1" applyFont="1"/>
    <xf numFmtId="43" fontId="27" fillId="0" borderId="0" xfId="33" applyFont="1" applyFill="1"/>
    <xf numFmtId="43" fontId="9" fillId="0" borderId="11" xfId="33" applyFont="1" applyFill="1" applyBorder="1"/>
    <xf numFmtId="43" fontId="9" fillId="0" borderId="11" xfId="0" applyNumberFormat="1" applyFont="1" applyBorder="1"/>
    <xf numFmtId="39" fontId="27" fillId="0" borderId="0" xfId="0" applyNumberFormat="1" applyFont="1"/>
    <xf numFmtId="193" fontId="9" fillId="0" borderId="0" xfId="25" applyNumberFormat="1" applyFont="1"/>
    <xf numFmtId="39" fontId="9" fillId="0" borderId="0" xfId="0" applyNumberFormat="1" applyFont="1"/>
    <xf numFmtId="0" fontId="4" fillId="0" borderId="0" xfId="0" applyFont="1" applyAlignment="1">
      <alignment wrapText="1"/>
    </xf>
    <xf numFmtId="0" fontId="0" fillId="0" borderId="0" xfId="0"/>
    <xf numFmtId="0" fontId="4" fillId="0" borderId="0" xfId="2" applyFont="1" applyAlignment="1">
      <alignment horizontal="right" wrapText="1"/>
    </xf>
    <xf numFmtId="0" fontId="5" fillId="0" borderId="0" xfId="2"/>
    <xf numFmtId="0" fontId="6" fillId="0" borderId="0" xfId="2" applyFont="1" applyAlignment="1">
      <alignment horizontal="left" wrapText="1"/>
    </xf>
    <xf numFmtId="0" fontId="6" fillId="0" borderId="0" xfId="3">
      <alignment wrapText="1"/>
    </xf>
    <xf numFmtId="0" fontId="6" fillId="0" borderId="5" xfId="2" applyFont="1" applyBorder="1" applyAlignment="1">
      <alignment horizontal="center" vertical="center" wrapText="1"/>
    </xf>
    <xf numFmtId="0" fontId="6" fillId="0" borderId="9" xfId="2" applyFont="1" applyBorder="1" applyAlignment="1">
      <alignment horizontal="center" vertical="center" wrapText="1"/>
    </xf>
    <xf numFmtId="0" fontId="6" fillId="0" borderId="8" xfId="2" applyFont="1" applyBorder="1" applyAlignment="1">
      <alignment horizontal="center" vertical="center" wrapText="1"/>
    </xf>
    <xf numFmtId="0" fontId="8" fillId="2" borderId="0" xfId="4" applyFont="1" applyFill="1" applyAlignment="1">
      <alignment horizontal="left"/>
    </xf>
    <xf numFmtId="5" fontId="9" fillId="0" borderId="0" xfId="4" applyNumberFormat="1" applyFont="1" applyAlignment="1">
      <alignment horizontal="left" wrapText="1"/>
    </xf>
    <xf numFmtId="0" fontId="4" fillId="0" borderId="5" xfId="2" applyFont="1" applyBorder="1" applyAlignment="1">
      <alignment horizontal="center" wrapText="1"/>
    </xf>
    <xf numFmtId="0" fontId="6" fillId="0" borderId="5" xfId="2" applyFont="1" applyBorder="1" applyAlignment="1">
      <alignment horizontal="center" wrapText="1"/>
    </xf>
    <xf numFmtId="175" fontId="6" fillId="0" borderId="17" xfId="2" applyNumberFormat="1" applyFont="1" applyBorder="1" applyAlignment="1">
      <alignment horizontal="right" wrapText="1"/>
    </xf>
    <xf numFmtId="0" fontId="6" fillId="0" borderId="2" xfId="2" applyFont="1" applyBorder="1" applyAlignment="1">
      <alignment horizontal="right" wrapText="1"/>
    </xf>
    <xf numFmtId="0" fontId="6" fillId="0" borderId="16" xfId="2" applyFont="1" applyBorder="1" applyAlignment="1">
      <alignment horizontal="right" wrapText="1"/>
    </xf>
    <xf numFmtId="0" fontId="4" fillId="6" borderId="17" xfId="2" applyFont="1" applyFill="1" applyBorder="1" applyAlignment="1">
      <alignment wrapText="1"/>
    </xf>
    <xf numFmtId="0" fontId="4" fillId="6" borderId="2" xfId="2" applyFont="1" applyFill="1" applyBorder="1" applyAlignment="1">
      <alignment wrapText="1"/>
    </xf>
    <xf numFmtId="0" fontId="4" fillId="6" borderId="16" xfId="2" applyFont="1" applyFill="1" applyBorder="1" applyAlignment="1">
      <alignment wrapText="1"/>
    </xf>
    <xf numFmtId="0" fontId="6" fillId="5" borderId="17" xfId="2" applyFont="1" applyFill="1" applyBorder="1" applyAlignment="1">
      <alignment wrapText="1"/>
    </xf>
    <xf numFmtId="0" fontId="6" fillId="5" borderId="2" xfId="2" applyFont="1" applyFill="1" applyBorder="1" applyAlignment="1">
      <alignment wrapText="1"/>
    </xf>
    <xf numFmtId="0" fontId="6" fillId="5" borderId="16" xfId="2" applyFont="1" applyFill="1" applyBorder="1" applyAlignment="1">
      <alignment wrapText="1"/>
    </xf>
    <xf numFmtId="175" fontId="4" fillId="6" borderId="17" xfId="2" applyNumberFormat="1" applyFont="1" applyFill="1" applyBorder="1" applyAlignment="1">
      <alignment horizontal="right" wrapText="1"/>
    </xf>
    <xf numFmtId="0" fontId="4" fillId="6" borderId="2" xfId="2" applyFont="1" applyFill="1" applyBorder="1" applyAlignment="1">
      <alignment horizontal="right" wrapText="1"/>
    </xf>
    <xf numFmtId="0" fontId="4" fillId="6" borderId="16" xfId="2" applyFont="1" applyFill="1" applyBorder="1" applyAlignment="1">
      <alignment horizontal="right" wrapText="1"/>
    </xf>
    <xf numFmtId="175" fontId="6" fillId="0" borderId="2" xfId="2" applyNumberFormat="1" applyFont="1" applyBorder="1" applyAlignment="1">
      <alignment horizontal="right" wrapText="1"/>
    </xf>
    <xf numFmtId="175" fontId="6" fillId="0" borderId="16" xfId="2" applyNumberFormat="1" applyFont="1" applyBorder="1" applyAlignment="1">
      <alignment horizontal="right" wrapText="1"/>
    </xf>
    <xf numFmtId="0" fontId="4" fillId="0" borderId="0" xfId="2" applyFont="1" applyAlignment="1">
      <alignment wrapText="1"/>
    </xf>
    <xf numFmtId="0" fontId="6" fillId="0" borderId="0" xfId="2" applyFont="1" applyAlignment="1">
      <alignment horizontal="center" wrapText="1"/>
    </xf>
    <xf numFmtId="0" fontId="4" fillId="6" borderId="5" xfId="2" applyFont="1" applyFill="1" applyBorder="1" applyAlignment="1">
      <alignment horizontal="center" wrapText="1"/>
    </xf>
    <xf numFmtId="0" fontId="6" fillId="7" borderId="3" xfId="2" applyFont="1" applyFill="1" applyBorder="1" applyAlignment="1">
      <alignment horizontal="center" wrapText="1"/>
    </xf>
    <xf numFmtId="0" fontId="6" fillId="7" borderId="0" xfId="2" applyFont="1" applyFill="1" applyAlignment="1">
      <alignment horizontal="center" wrapText="1"/>
    </xf>
    <xf numFmtId="0" fontId="6" fillId="7" borderId="5" xfId="2" applyFont="1" applyFill="1" applyBorder="1" applyAlignment="1">
      <alignment vertical="top" wrapText="1"/>
    </xf>
    <xf numFmtId="0" fontId="4" fillId="7" borderId="5" xfId="2" applyFont="1" applyFill="1" applyBorder="1" applyAlignment="1">
      <alignment horizontal="center" wrapText="1"/>
    </xf>
    <xf numFmtId="0" fontId="4" fillId="0" borderId="5" xfId="2" applyFont="1" applyBorder="1" applyAlignment="1">
      <alignment wrapText="1"/>
    </xf>
    <xf numFmtId="0" fontId="6" fillId="0" borderId="5" xfId="2" applyFont="1" applyBorder="1" applyAlignment="1">
      <alignment wrapText="1"/>
    </xf>
    <xf numFmtId="0" fontId="6" fillId="0" borderId="0" xfId="2" applyFont="1" applyAlignment="1">
      <alignment horizontal="right" wrapText="1"/>
    </xf>
    <xf numFmtId="0" fontId="6" fillId="0" borderId="4" xfId="2" applyFont="1" applyBorder="1" applyAlignment="1">
      <alignment wrapText="1"/>
    </xf>
    <xf numFmtId="0" fontId="23" fillId="0" borderId="0" xfId="11" applyAlignment="1">
      <alignment horizontal="center"/>
    </xf>
    <xf numFmtId="171" fontId="0" fillId="0" borderId="0" xfId="12" applyNumberFormat="1" applyFont="1" applyFill="1" applyAlignment="1">
      <alignment horizontal="right"/>
    </xf>
    <xf numFmtId="0" fontId="23" fillId="0" borderId="0" xfId="11" applyAlignment="1">
      <alignment horizontal="left"/>
    </xf>
    <xf numFmtId="49" fontId="23" fillId="0" borderId="0" xfId="11" applyNumberFormat="1" applyAlignment="1">
      <alignment horizontal="center"/>
    </xf>
    <xf numFmtId="49" fontId="25" fillId="0" borderId="0" xfId="11" applyNumberFormat="1" applyFont="1" applyAlignment="1">
      <alignment horizontal="center" vertical="top"/>
    </xf>
    <xf numFmtId="0" fontId="29" fillId="9" borderId="26" xfId="11" applyFont="1" applyFill="1" applyBorder="1" applyAlignment="1">
      <alignment horizontal="center"/>
    </xf>
    <xf numFmtId="0" fontId="29" fillId="9" borderId="27" xfId="11" applyFont="1" applyFill="1" applyBorder="1" applyAlignment="1">
      <alignment horizontal="center"/>
    </xf>
    <xf numFmtId="0" fontId="29" fillId="9" borderId="28" xfId="11" applyFont="1" applyFill="1" applyBorder="1" applyAlignment="1">
      <alignment horizontal="center"/>
    </xf>
    <xf numFmtId="0" fontId="1" fillId="0" borderId="46" xfId="14" applyBorder="1" applyAlignment="1">
      <alignment horizontal="center" vertical="center"/>
    </xf>
    <xf numFmtId="0" fontId="1" fillId="0" borderId="25" xfId="14" applyBorder="1" applyAlignment="1">
      <alignment horizontal="center" vertical="center"/>
    </xf>
    <xf numFmtId="0" fontId="1" fillId="0" borderId="47" xfId="14" applyBorder="1" applyAlignment="1">
      <alignment horizontal="center" vertical="center"/>
    </xf>
    <xf numFmtId="0" fontId="1" fillId="0" borderId="50" xfId="14" applyBorder="1" applyAlignment="1">
      <alignment horizontal="center" vertical="center"/>
    </xf>
    <xf numFmtId="0" fontId="1" fillId="0" borderId="11" xfId="14" applyBorder="1" applyAlignment="1">
      <alignment horizontal="center" vertical="center"/>
    </xf>
    <xf numFmtId="0" fontId="1" fillId="0" borderId="51" xfId="14" applyBorder="1" applyAlignment="1">
      <alignment horizontal="center" vertical="center"/>
    </xf>
    <xf numFmtId="0" fontId="1" fillId="0" borderId="44" xfId="14" applyBorder="1" applyAlignment="1">
      <alignment horizontal="center"/>
    </xf>
    <xf numFmtId="0" fontId="1" fillId="0" borderId="13" xfId="14" applyBorder="1" applyAlignment="1">
      <alignment horizontal="center"/>
    </xf>
    <xf numFmtId="0" fontId="1" fillId="0" borderId="45" xfId="14" applyBorder="1" applyAlignment="1">
      <alignment horizontal="center"/>
    </xf>
    <xf numFmtId="0" fontId="1" fillId="0" borderId="48" xfId="14" applyBorder="1" applyAlignment="1">
      <alignment horizontal="center" vertical="center"/>
    </xf>
    <xf numFmtId="0" fontId="1" fillId="0" borderId="0" xfId="14" applyAlignment="1">
      <alignment horizontal="center" vertical="center"/>
    </xf>
    <xf numFmtId="0" fontId="1" fillId="0" borderId="49" xfId="14" applyBorder="1" applyAlignment="1">
      <alignment horizontal="center" vertical="center"/>
    </xf>
    <xf numFmtId="182" fontId="4" fillId="0" borderId="5" xfId="2" applyNumberFormat="1" applyFont="1" applyBorder="1" applyAlignment="1">
      <alignment horizontal="center" wrapText="1"/>
    </xf>
    <xf numFmtId="0" fontId="4" fillId="8" borderId="5" xfId="2" applyFont="1" applyFill="1" applyBorder="1" applyAlignment="1">
      <alignment horizontal="center" wrapText="1"/>
    </xf>
    <xf numFmtId="0" fontId="4" fillId="8" borderId="5" xfId="2" applyFont="1" applyFill="1" applyBorder="1" applyAlignment="1">
      <alignment wrapText="1"/>
    </xf>
    <xf numFmtId="0" fontId="4" fillId="8" borderId="17" xfId="2" applyFont="1" applyFill="1" applyBorder="1" applyAlignment="1">
      <alignment horizontal="center" wrapText="1"/>
    </xf>
    <xf numFmtId="0" fontId="4" fillId="8" borderId="2" xfId="2" applyFont="1" applyFill="1" applyBorder="1" applyAlignment="1">
      <alignment horizontal="center" wrapText="1"/>
    </xf>
    <xf numFmtId="0" fontId="4" fillId="8" borderId="16" xfId="2" applyFont="1" applyFill="1" applyBorder="1" applyAlignment="1">
      <alignment horizontal="center" wrapText="1"/>
    </xf>
    <xf numFmtId="0" fontId="6" fillId="0" borderId="17" xfId="2" applyFont="1" applyBorder="1" applyAlignment="1">
      <alignment horizontal="left" vertical="top" wrapText="1"/>
    </xf>
    <xf numFmtId="0" fontId="6" fillId="0" borderId="2" xfId="2" applyFont="1" applyBorder="1" applyAlignment="1">
      <alignment horizontal="left" vertical="top" wrapText="1"/>
    </xf>
    <xf numFmtId="0" fontId="6" fillId="0" borderId="16" xfId="2" applyFont="1" applyBorder="1" applyAlignment="1">
      <alignment horizontal="left" vertical="top" wrapText="1"/>
    </xf>
    <xf numFmtId="0" fontId="40" fillId="0" borderId="0" xfId="21" applyFont="1" applyAlignment="1">
      <alignment horizontal="left"/>
    </xf>
    <xf numFmtId="0" fontId="8" fillId="0" borderId="0" xfId="19" applyFont="1" applyAlignment="1">
      <alignment wrapText="1"/>
    </xf>
    <xf numFmtId="0" fontId="8" fillId="0" borderId="0" xfId="19" applyFont="1"/>
    <xf numFmtId="0" fontId="41" fillId="14" borderId="46" xfId="21" applyFont="1" applyFill="1" applyBorder="1" applyAlignment="1">
      <alignment horizontal="center"/>
    </xf>
    <xf numFmtId="0" fontId="41" fillId="14" borderId="25" xfId="21" applyFont="1" applyFill="1" applyBorder="1" applyAlignment="1">
      <alignment horizontal="center"/>
    </xf>
    <xf numFmtId="0" fontId="41" fillId="14" borderId="47" xfId="21" applyFont="1" applyFill="1" applyBorder="1" applyAlignment="1">
      <alignment horizontal="center"/>
    </xf>
    <xf numFmtId="0" fontId="39" fillId="0" borderId="38" xfId="21" applyBorder="1" applyAlignment="1">
      <alignment horizontal="center" wrapText="1"/>
    </xf>
    <xf numFmtId="0" fontId="39" fillId="0" borderId="58" xfId="21" applyBorder="1" applyAlignment="1">
      <alignment horizontal="center" wrapText="1"/>
    </xf>
    <xf numFmtId="0" fontId="40" fillId="13" borderId="44" xfId="21" applyFont="1" applyFill="1" applyBorder="1" applyAlignment="1">
      <alignment horizontal="left"/>
    </xf>
    <xf numFmtId="0" fontId="40" fillId="13" borderId="13" xfId="21" applyFont="1" applyFill="1" applyBorder="1" applyAlignment="1">
      <alignment horizontal="left"/>
    </xf>
    <xf numFmtId="0" fontId="23" fillId="0" borderId="38" xfId="21" applyFont="1" applyBorder="1" applyAlignment="1">
      <alignment horizontal="center" wrapText="1"/>
    </xf>
    <xf numFmtId="0" fontId="23" fillId="0" borderId="59" xfId="21" applyFont="1" applyBorder="1" applyAlignment="1">
      <alignment horizontal="center" wrapText="1"/>
    </xf>
    <xf numFmtId="0" fontId="23" fillId="0" borderId="58" xfId="21" applyFont="1" applyBorder="1" applyAlignment="1">
      <alignment horizontal="center" wrapText="1"/>
    </xf>
    <xf numFmtId="0" fontId="23" fillId="0" borderId="35" xfId="21" applyFont="1" applyBorder="1" applyAlignment="1">
      <alignment horizontal="center" wrapText="1"/>
    </xf>
    <xf numFmtId="0" fontId="23" fillId="0" borderId="35" xfId="21" applyFont="1" applyBorder="1" applyAlignment="1">
      <alignment horizontal="center"/>
    </xf>
    <xf numFmtId="0" fontId="23" fillId="0" borderId="38" xfId="21" applyFont="1" applyBorder="1" applyAlignment="1">
      <alignment horizontal="center"/>
    </xf>
    <xf numFmtId="0" fontId="23" fillId="0" borderId="46" xfId="21" applyFont="1" applyBorder="1" applyAlignment="1">
      <alignment horizontal="center" wrapText="1"/>
    </xf>
    <xf numFmtId="0" fontId="23" fillId="0" borderId="48" xfId="21" applyFont="1" applyBorder="1" applyAlignment="1">
      <alignment horizontal="center" wrapText="1"/>
    </xf>
    <xf numFmtId="0" fontId="39" fillId="0" borderId="35" xfId="21" applyBorder="1" applyAlignment="1">
      <alignment horizontal="center" wrapText="1"/>
    </xf>
    <xf numFmtId="0" fontId="39" fillId="0" borderId="49" xfId="21" applyBorder="1" applyAlignment="1">
      <alignment horizontal="center" wrapText="1"/>
    </xf>
    <xf numFmtId="0" fontId="39" fillId="0" borderId="35" xfId="21" applyBorder="1" applyAlignment="1">
      <alignment horizontal="center"/>
    </xf>
    <xf numFmtId="0" fontId="23" fillId="0" borderId="0" xfId="21" applyFont="1" applyAlignment="1">
      <alignment horizontal="left" wrapText="1"/>
    </xf>
    <xf numFmtId="14" fontId="23" fillId="0" borderId="0" xfId="21" applyNumberFormat="1" applyFont="1" applyAlignment="1">
      <alignment horizontal="left" wrapText="1"/>
    </xf>
    <xf numFmtId="0" fontId="9" fillId="0" borderId="0" xfId="26" applyAlignment="1">
      <alignment horizontal="right"/>
    </xf>
    <xf numFmtId="0" fontId="8" fillId="0" borderId="0" xfId="27" applyFont="1" applyAlignment="1">
      <alignment horizontal="center"/>
    </xf>
    <xf numFmtId="0" fontId="43" fillId="0" borderId="0" xfId="26" applyFont="1" applyAlignment="1">
      <alignment horizontal="center"/>
    </xf>
    <xf numFmtId="0" fontId="27" fillId="0" borderId="0" xfId="20">
      <alignment wrapText="1"/>
    </xf>
    <xf numFmtId="0" fontId="9" fillId="0" borderId="0" xfId="19"/>
    <xf numFmtId="0" fontId="27" fillId="0" borderId="0" xfId="19" applyFont="1" applyAlignment="1">
      <alignment horizontal="left" wrapText="1"/>
    </xf>
    <xf numFmtId="0" fontId="27" fillId="0" borderId="0" xfId="19" applyFont="1" applyAlignment="1">
      <alignment horizontal="right" wrapText="1"/>
    </xf>
    <xf numFmtId="0" fontId="27" fillId="0" borderId="0" xfId="19" applyFont="1" applyAlignment="1">
      <alignment horizontal="center" wrapText="1"/>
    </xf>
  </cellXfs>
  <cellStyles count="34">
    <cellStyle name="Comma" xfId="1" builtinId="3"/>
    <cellStyle name="Comma 10 9" xfId="33" xr:uid="{9A4B28C6-27BC-463B-84FC-85BF4CA0FFAB}"/>
    <cellStyle name="Comma 2" xfId="6" xr:uid="{20028EC2-CB7B-4576-97A1-74CF7710E3EF}"/>
    <cellStyle name="Comma 2 2" xfId="30" xr:uid="{9137A994-8B1E-4CE4-AA8D-02D03807D6BD}"/>
    <cellStyle name="Comma 2 3" xfId="29" xr:uid="{77D7ACD2-C8BF-492E-BABC-A1029C9E2237}"/>
    <cellStyle name="Comma 3" xfId="12" xr:uid="{C059648A-1A98-4C54-8052-BB9A4690FE4D}"/>
    <cellStyle name="Comma 3 2" xfId="22" xr:uid="{F51BF99D-F287-4959-856D-DF8CF666A35B}"/>
    <cellStyle name="Comma 3 2 2" xfId="28" xr:uid="{FA727E99-1A62-4306-8B8D-4D5BF5BC6427}"/>
    <cellStyle name="Comma 4" xfId="15" xr:uid="{4518EEAF-4D09-4E3A-A5A0-DD336D40125C}"/>
    <cellStyle name="Currency 10 2 2 5" xfId="32" xr:uid="{708D5AC3-7D53-4A53-9F43-F03A8F43A255}"/>
    <cellStyle name="Currency 2" xfId="5" xr:uid="{289080EC-A7E6-496B-91AB-DDAFC217F445}"/>
    <cellStyle name="Currency 2 2" xfId="10" xr:uid="{61EE1174-79B8-4A2F-8C44-3548BF0D657D}"/>
    <cellStyle name="Currency 2 3" xfId="24" xr:uid="{634CD83D-58BF-47D8-8AAF-2E06A967C32D}"/>
    <cellStyle name="Normal" xfId="0" builtinId="0"/>
    <cellStyle name="Normal 10 2 2 2" xfId="31" xr:uid="{BD019D15-9D42-411D-B03B-AF942E3519D0}"/>
    <cellStyle name="Normal 13" xfId="27" xr:uid="{553B06CA-9A64-4597-ABE2-031445C7345E}"/>
    <cellStyle name="Normal 135" xfId="23" xr:uid="{EDC361B6-95B2-4CD8-B8C2-84B5376D3087}"/>
    <cellStyle name="Normal 15" xfId="8" xr:uid="{671C7471-98C0-49ED-930D-D74CE0A1F602}"/>
    <cellStyle name="Normal 2" xfId="2" xr:uid="{2B0A1A43-A117-4424-858A-B6C411DB559E}"/>
    <cellStyle name="Normal 2 2 2" xfId="26" xr:uid="{76027687-465B-40D0-8FAD-79910B686354}"/>
    <cellStyle name="Normal 3" xfId="4" xr:uid="{0D155BD4-3F3A-434B-83C5-4CA62DB8009A}"/>
    <cellStyle name="Normal 3 2" xfId="21" xr:uid="{C2720B32-0D58-43E3-9DD4-F29247DCAAD8}"/>
    <cellStyle name="Normal 4" xfId="11" xr:uid="{52E6B8AC-9AA0-48DE-BF0C-3791C45DD0E6}"/>
    <cellStyle name="Normal 4 2" xfId="13" xr:uid="{F50E2229-5810-477F-A0FB-7DC10BD630D6}"/>
    <cellStyle name="Normal 5" xfId="14" xr:uid="{D71D913F-CA8F-40B6-9ED1-977514515019}"/>
    <cellStyle name="Normal 6" xfId="16" xr:uid="{14D47E08-6E4C-458A-9A2F-A7AC185D3865}"/>
    <cellStyle name="Normal 7" xfId="18" xr:uid="{7C927F15-9FAC-4A26-8F3B-95B935F7014C}"/>
    <cellStyle name="Normal 8" xfId="19" xr:uid="{8CBD9721-E07C-46BE-A160-CA8AF9884796}"/>
    <cellStyle name="Normal_Summary" xfId="9" xr:uid="{00590DCC-B4E4-4FF1-A0C1-B8A29A204ED9}"/>
    <cellStyle name="Percent 2" xfId="7" xr:uid="{CEB9A73D-B44F-4D12-8D67-DEA12D7D9C3A}"/>
    <cellStyle name="Percent 2 2" xfId="25" xr:uid="{F62DD580-C863-4A00-B901-DCCB2657F906}"/>
    <cellStyle name="Percent 3" xfId="17" xr:uid="{6B6DD421-5237-4E6B-A74D-94E4567326E8}"/>
    <cellStyle name="Table (Normal)" xfId="3" xr:uid="{F537DFAD-719D-49E1-964D-21B7028613EC}"/>
    <cellStyle name="Table (Normal) 2" xfId="20" xr:uid="{1BC7A405-1229-4318-8DE4-715A8E1EA4D6}"/>
  </cellStyles>
  <dxfs count="2">
    <dxf>
      <alignment wrapText="0"/>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pivotCacheDefinition" Target="pivotCache/pivotCacheDefinition1.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67866</xdr:colOff>
      <xdr:row>4</xdr:row>
      <xdr:rowOff>69453</xdr:rowOff>
    </xdr:from>
    <xdr:to>
      <xdr:col>7</xdr:col>
      <xdr:colOff>89208</xdr:colOff>
      <xdr:row>35</xdr:row>
      <xdr:rowOff>5953</xdr:rowOff>
    </xdr:to>
    <xdr:pic>
      <xdr:nvPicPr>
        <xdr:cNvPr id="2" name="Picture 1">
          <a:extLst>
            <a:ext uri="{FF2B5EF4-FFF2-40B4-BE49-F238E27FC236}">
              <a16:creationId xmlns:a16="http://schemas.microsoft.com/office/drawing/2014/main" id="{29B48ADB-8CB9-4D61-8EA5-0EDE623C3A47}"/>
            </a:ext>
          </a:extLst>
        </xdr:cNvPr>
        <xdr:cNvPicPr>
          <a:picLocks noChangeAspect="1"/>
        </xdr:cNvPicPr>
      </xdr:nvPicPr>
      <xdr:blipFill>
        <a:blip xmlns:r="http://schemas.openxmlformats.org/officeDocument/2006/relationships" r:embed="rId1"/>
        <a:stretch>
          <a:fillRect/>
        </a:stretch>
      </xdr:blipFill>
      <xdr:spPr>
        <a:xfrm>
          <a:off x="210741" y="707628"/>
          <a:ext cx="6126867" cy="4946650"/>
        </a:xfrm>
        <a:prstGeom prst="rect">
          <a:avLst/>
        </a:prstGeom>
      </xdr:spPr>
    </xdr:pic>
    <xdr:clientData/>
  </xdr:twoCellAnchor>
  <xdr:twoCellAnchor editAs="oneCell">
    <xdr:from>
      <xdr:col>1</xdr:col>
      <xdr:colOff>152400</xdr:colOff>
      <xdr:row>35</xdr:row>
      <xdr:rowOff>114299</xdr:rowOff>
    </xdr:from>
    <xdr:to>
      <xdr:col>6</xdr:col>
      <xdr:colOff>158257</xdr:colOff>
      <xdr:row>52</xdr:row>
      <xdr:rowOff>19049</xdr:rowOff>
    </xdr:to>
    <xdr:pic>
      <xdr:nvPicPr>
        <xdr:cNvPr id="3" name="Picture 2">
          <a:extLst>
            <a:ext uri="{FF2B5EF4-FFF2-40B4-BE49-F238E27FC236}">
              <a16:creationId xmlns:a16="http://schemas.microsoft.com/office/drawing/2014/main" id="{2CCD2592-1BB9-4C10-8B09-FE8B3D6BA6C7}"/>
            </a:ext>
          </a:extLst>
        </xdr:cNvPr>
        <xdr:cNvPicPr>
          <a:picLocks noChangeAspect="1"/>
        </xdr:cNvPicPr>
      </xdr:nvPicPr>
      <xdr:blipFill>
        <a:blip xmlns:r="http://schemas.openxmlformats.org/officeDocument/2006/relationships" r:embed="rId2"/>
        <a:stretch>
          <a:fillRect/>
        </a:stretch>
      </xdr:blipFill>
      <xdr:spPr>
        <a:xfrm>
          <a:off x="295275" y="5762624"/>
          <a:ext cx="5949457" cy="2657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epenergy-my.sharepoint.com/Internal/Regulatory%20Services/2014%20Compliance%20Plan/Workpapers/Mitchell%20Environmental%20Expenses,%201-1-14%20--%209-3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ternal\Regulatory%20Services\2014%20Compliance%20Plan\Workpapers\Mitchell%20Environmental%20Expenses,%201-1-14%20--%209-30-1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H:\Regulatory%20Accounting%20Services\Kentucky%20-%20Base%20Cases\2025%20KY%20Rate%20Case%20-%20May%2031%20Test%20Year\Adjustments\PPA%20Rider\0_PPA_Rider_Adjustment_2025%20Base%20Case.xlsx" TargetMode="External"/><Relationship Id="rId1" Type="http://schemas.openxmlformats.org/officeDocument/2006/relationships/externalLinkPath" Target="file:///H:\Regulatory%20Accounting%20Services\Kentucky%20-%20Base%20Cases\2025%20KY%20Rate%20Case%20-%20May%2031%20Test%20Year\Adjustments\PPA%20Rider\0_PPA_Rider_Adjustment_2025%20Base%20C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VY"/>
      <sheetName val="FGD"/>
      <sheetName val="Non-FGD"/>
      <sheetName val="Depreciation"/>
      <sheetName val="February"/>
      <sheetName val="March"/>
      <sheetName val="April"/>
      <sheetName val="May"/>
      <sheetName val="June"/>
      <sheetName val="July"/>
      <sheetName val="August"/>
      <sheetName val="September"/>
      <sheetName val="October"/>
      <sheetName val="ADFIT"/>
      <sheetName val="S2"/>
      <sheetName val="AN"/>
      <sheetName val="NOx"/>
      <sheetName val="Cash Working Capital"/>
      <sheetName val="Property Tax"/>
      <sheetName val="Summary"/>
      <sheetName val="Precipitator O &amp; 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2">
          <cell r="B2">
            <v>2.1464E-2</v>
          </cell>
        </row>
        <row r="4">
          <cell r="B4">
            <v>0.6</v>
          </cell>
        </row>
        <row r="6">
          <cell r="B6">
            <v>0.05</v>
          </cell>
        </row>
      </sheetData>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VY"/>
      <sheetName val="FGD"/>
      <sheetName val="Non-FGD"/>
      <sheetName val="Depreciation"/>
      <sheetName val="February"/>
      <sheetName val="March"/>
      <sheetName val="April"/>
      <sheetName val="May"/>
      <sheetName val="June"/>
      <sheetName val="July"/>
      <sheetName val="August"/>
      <sheetName val="September"/>
      <sheetName val="October"/>
      <sheetName val="ADFIT"/>
      <sheetName val="S2"/>
      <sheetName val="AN"/>
      <sheetName val="NOx"/>
      <sheetName val="Cash Working Capital"/>
      <sheetName val="Property Tax"/>
      <sheetName val="Summary"/>
      <sheetName val="Precipitator O &amp; 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2">
          <cell r="B2">
            <v>2.1464E-2</v>
          </cell>
        </row>
        <row r="4">
          <cell r="B4">
            <v>0.6</v>
          </cell>
        </row>
        <row r="6">
          <cell r="B6">
            <v>0.05</v>
          </cell>
        </row>
      </sheetData>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dures"/>
      <sheetName val="Leadsheet"/>
      <sheetName val="PPA_RIDER JE Detail"/>
      <sheetName val="PS Query Pivot (RKPTDEF JRN ID)"/>
      <sheetName val="Journal ID PPA_RIDER PS QUERY"/>
      <sheetName val="KYDEFINT Pivot"/>
      <sheetName val="Journal ID KYDEFINT Query"/>
      <sheetName val="Amortization Beg Dec 9 2022"/>
      <sheetName val="Deferral and CC to Dec 8 2022"/>
      <sheetName val="Case No. 2022-00283 Ex BKW-2"/>
    </sheetNames>
    <sheetDataSet>
      <sheetData sheetId="0"/>
      <sheetData sheetId="1"/>
      <sheetData sheetId="2">
        <row r="6">
          <cell r="P6">
            <v>16771447.262761442</v>
          </cell>
        </row>
        <row r="26">
          <cell r="P26">
            <v>0</v>
          </cell>
        </row>
        <row r="28">
          <cell r="P28">
            <v>0</v>
          </cell>
        </row>
        <row r="32">
          <cell r="P32">
            <v>11027802.960000005</v>
          </cell>
        </row>
        <row r="34">
          <cell r="P34">
            <v>2506318</v>
          </cell>
        </row>
        <row r="38">
          <cell r="P38">
            <v>3268780.34</v>
          </cell>
        </row>
        <row r="40">
          <cell r="P40">
            <v>-325449.60000000003</v>
          </cell>
        </row>
        <row r="49">
          <cell r="P49">
            <v>-3880378.59</v>
          </cell>
        </row>
        <row r="53">
          <cell r="P53">
            <v>-4174374.152761437</v>
          </cell>
        </row>
        <row r="59">
          <cell r="P59">
            <v>0</v>
          </cell>
        </row>
        <row r="60">
          <cell r="P60">
            <v>0</v>
          </cell>
        </row>
        <row r="61">
          <cell r="P61">
            <v>0</v>
          </cell>
        </row>
        <row r="62">
          <cell r="P62">
            <v>0</v>
          </cell>
        </row>
        <row r="63">
          <cell r="P63">
            <v>0</v>
          </cell>
        </row>
      </sheetData>
      <sheetData sheetId="3"/>
      <sheetData sheetId="4">
        <row r="76">
          <cell r="C76">
            <v>-837799.2</v>
          </cell>
        </row>
        <row r="82">
          <cell r="C82">
            <v>-508896.64</v>
          </cell>
        </row>
        <row r="84">
          <cell r="C84">
            <v>-226820.62</v>
          </cell>
        </row>
        <row r="85">
          <cell r="C85">
            <v>-722958.79</v>
          </cell>
        </row>
        <row r="86">
          <cell r="C86">
            <v>-365583.91</v>
          </cell>
        </row>
        <row r="87">
          <cell r="C87">
            <v>-422040.39</v>
          </cell>
        </row>
        <row r="88">
          <cell r="C88">
            <v>895817.42</v>
          </cell>
        </row>
      </sheetData>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287954\AppData\Local\Microsoft\Windows\INetCache\Content.Outlook\LW0RVJQY\As%20Filed%20Payroll%20Adjustments%20and%20Related%20Workpapers%20-%20For%20Supplement%20-%202025%20-%20HJK%2008262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287954" refreshedDate="45890.437445370371" createdVersion="8" refreshedVersion="8" minRefreshableVersion="3" recordCount="65" xr:uid="{C9690A12-C125-4C71-BF4C-181E9826A3EF}">
  <cacheSource type="worksheet">
    <worksheetSource ref="A6:F71" sheet="W34_PG_2_of_3" r:id="rId2"/>
  </cacheSource>
  <cacheFields count="6">
    <cacheField name="Company" numFmtId="0">
      <sharedItems/>
    </cacheField>
    <cacheField name="Year" numFmtId="0">
      <sharedItems containsSemiMixedTypes="0" containsString="0" containsNumber="1" containsInteger="1" minValue="2024" maxValue="2024"/>
    </cacheField>
    <cacheField name="Medicare wages and tips" numFmtId="43">
      <sharedItems containsSemiMixedTypes="0" containsString="0" containsNumber="1" minValue="168943.42" maxValue="504710.59"/>
    </cacheField>
    <cacheField name="2024 FICA Limit" numFmtId="43">
      <sharedItems containsSemiMixedTypes="0" containsString="0" containsNumber="1" containsInteger="1" minValue="168600" maxValue="168600"/>
    </cacheField>
    <cacheField name="Amount over FICA Limit" numFmtId="43">
      <sharedItems containsSemiMixedTypes="0" containsString="0" containsNumber="1" minValue="343.42000000001281" maxValue="336110.59"/>
    </cacheField>
    <cacheField name="Business Unit" numFmtId="0">
      <sharedItems count="3">
        <s v="110 Kentucky Power Co - Dist"/>
        <s v="413 Wheeling Power Co - Generation"/>
        <s v="117 Kentucky Power Co - Gen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s v="Kentucky Power Company"/>
    <n v="2024"/>
    <n v="168943.42"/>
    <n v="168600"/>
    <n v="343.42000000001281"/>
    <x v="0"/>
  </r>
  <r>
    <s v="Kentucky Power Company"/>
    <n v="2024"/>
    <n v="169126.77"/>
    <n v="168600"/>
    <n v="526.76999999998952"/>
    <x v="0"/>
  </r>
  <r>
    <s v="Kentucky Power Company"/>
    <n v="2024"/>
    <n v="169625.95"/>
    <n v="168600"/>
    <n v="1025.9500000000116"/>
    <x v="0"/>
  </r>
  <r>
    <s v="Kentucky Power Company"/>
    <n v="2024"/>
    <n v="169770.46"/>
    <n v="168600"/>
    <n v="1170.4599999999919"/>
    <x v="0"/>
  </r>
  <r>
    <s v="Kentucky Power Company"/>
    <n v="2024"/>
    <n v="169978.12"/>
    <n v="168600"/>
    <n v="1378.1199999999953"/>
    <x v="0"/>
  </r>
  <r>
    <s v="Kentucky Power Company"/>
    <n v="2024"/>
    <n v="170269.73"/>
    <n v="168600"/>
    <n v="1669.7300000000105"/>
    <x v="0"/>
  </r>
  <r>
    <s v="Kentucky Power Company"/>
    <n v="2024"/>
    <n v="170480.01"/>
    <n v="168600"/>
    <n v="1880.0100000000093"/>
    <x v="0"/>
  </r>
  <r>
    <s v="Kentucky Power Company"/>
    <n v="2024"/>
    <n v="170607.61"/>
    <n v="168600"/>
    <n v="2007.609999999986"/>
    <x v="0"/>
  </r>
  <r>
    <s v="Kentucky Power Company"/>
    <n v="2024"/>
    <n v="170727.71"/>
    <n v="168600"/>
    <n v="2127.7099999999919"/>
    <x v="0"/>
  </r>
  <r>
    <s v="Wheeling Power Company"/>
    <n v="2024"/>
    <n v="170939.83"/>
    <n v="168600"/>
    <n v="2339.8299999999872"/>
    <x v="1"/>
  </r>
  <r>
    <s v="Kentucky Power Company"/>
    <n v="2024"/>
    <n v="171095.23"/>
    <n v="168600"/>
    <n v="2495.2300000000105"/>
    <x v="0"/>
  </r>
  <r>
    <s v="Kentucky Power Company"/>
    <n v="2024"/>
    <n v="171921.02"/>
    <n v="168600"/>
    <n v="3321.0199999999895"/>
    <x v="0"/>
  </r>
  <r>
    <s v="Kentucky Power Company"/>
    <n v="2024"/>
    <n v="172520.9"/>
    <n v="168600"/>
    <n v="3920.8999999999942"/>
    <x v="0"/>
  </r>
  <r>
    <s v="Kentucky Power Company"/>
    <n v="2024"/>
    <n v="172536.1"/>
    <n v="168600"/>
    <n v="3936.1000000000058"/>
    <x v="0"/>
  </r>
  <r>
    <s v="Kentucky Power Company"/>
    <n v="2024"/>
    <n v="172976.13"/>
    <n v="168600"/>
    <n v="4376.1300000000047"/>
    <x v="0"/>
  </r>
  <r>
    <s v="Kentucky Power Company"/>
    <n v="2024"/>
    <n v="173170.34"/>
    <n v="168600"/>
    <n v="4570.3399999999965"/>
    <x v="0"/>
  </r>
  <r>
    <s v="Kentucky Power Company"/>
    <n v="2024"/>
    <n v="173618.94"/>
    <n v="168600"/>
    <n v="5018.9400000000023"/>
    <x v="0"/>
  </r>
  <r>
    <s v="Kentucky Power Company"/>
    <n v="2024"/>
    <n v="174776.57"/>
    <n v="168600"/>
    <n v="6176.570000000007"/>
    <x v="0"/>
  </r>
  <r>
    <s v="Kentucky Power Company"/>
    <n v="2024"/>
    <n v="175891.6"/>
    <n v="168600"/>
    <n v="7291.6000000000058"/>
    <x v="0"/>
  </r>
  <r>
    <s v="Kentucky Power Company"/>
    <n v="2024"/>
    <n v="176366.96"/>
    <n v="168600"/>
    <n v="7766.9599999999919"/>
    <x v="0"/>
  </r>
  <r>
    <s v="Kentucky Power Company"/>
    <n v="2024"/>
    <n v="176651.14"/>
    <n v="168600"/>
    <n v="8051.140000000014"/>
    <x v="0"/>
  </r>
  <r>
    <s v="Kentucky Power Company"/>
    <n v="2024"/>
    <n v="176694.39"/>
    <n v="168600"/>
    <n v="8094.390000000014"/>
    <x v="0"/>
  </r>
  <r>
    <s v="Kentucky Power Company"/>
    <n v="2024"/>
    <n v="177453.68"/>
    <n v="168600"/>
    <n v="8853.679999999993"/>
    <x v="0"/>
  </r>
  <r>
    <s v="Kentucky Power Company"/>
    <n v="2024"/>
    <n v="177743.23"/>
    <n v="168600"/>
    <n v="9143.2300000000105"/>
    <x v="0"/>
  </r>
  <r>
    <s v="Kentucky Power Company"/>
    <n v="2024"/>
    <n v="180637.25"/>
    <n v="168600"/>
    <n v="12037.25"/>
    <x v="0"/>
  </r>
  <r>
    <s v="Kentucky Power Company"/>
    <n v="2024"/>
    <n v="181239.41"/>
    <n v="168600"/>
    <n v="12639.410000000003"/>
    <x v="0"/>
  </r>
  <r>
    <s v="Kentucky Power Company"/>
    <n v="2024"/>
    <n v="182647.88"/>
    <n v="168600"/>
    <n v="14047.880000000005"/>
    <x v="0"/>
  </r>
  <r>
    <s v="Kentucky Power Company"/>
    <n v="2024"/>
    <n v="184659.01"/>
    <n v="168600"/>
    <n v="16059.010000000009"/>
    <x v="0"/>
  </r>
  <r>
    <s v="Kentucky Power Company"/>
    <n v="2024"/>
    <n v="184935.81"/>
    <n v="168600"/>
    <n v="16335.809999999998"/>
    <x v="0"/>
  </r>
  <r>
    <s v="Kentucky Power Company"/>
    <n v="2024"/>
    <n v="185009.1"/>
    <n v="168600"/>
    <n v="16409.100000000006"/>
    <x v="0"/>
  </r>
  <r>
    <s v="Kentucky Power Company"/>
    <n v="2024"/>
    <n v="185634.59"/>
    <n v="168600"/>
    <n v="17034.589999999997"/>
    <x v="0"/>
  </r>
  <r>
    <s v="Wheeling Power Company"/>
    <n v="2024"/>
    <n v="185773.81"/>
    <n v="168600"/>
    <n v="17173.809999999998"/>
    <x v="1"/>
  </r>
  <r>
    <s v="Kentucky Power Company"/>
    <n v="2024"/>
    <n v="186838.78"/>
    <n v="168600"/>
    <n v="18238.78"/>
    <x v="0"/>
  </r>
  <r>
    <s v="Kentucky Power Company"/>
    <n v="2024"/>
    <n v="187393.35"/>
    <n v="168600"/>
    <n v="18793.350000000006"/>
    <x v="0"/>
  </r>
  <r>
    <s v="Kentucky Power Company"/>
    <n v="2024"/>
    <n v="187574.21"/>
    <n v="168600"/>
    <n v="18974.209999999992"/>
    <x v="0"/>
  </r>
  <r>
    <s v="Kentucky Power Company"/>
    <n v="2024"/>
    <n v="187794.03"/>
    <n v="168600"/>
    <n v="19194.03"/>
    <x v="0"/>
  </r>
  <r>
    <s v="Kentucky Power Company"/>
    <n v="2024"/>
    <n v="188130.81"/>
    <n v="168600"/>
    <n v="19530.809999999998"/>
    <x v="0"/>
  </r>
  <r>
    <s v="Kentucky Power Company"/>
    <n v="2024"/>
    <n v="190364.33"/>
    <n v="168600"/>
    <n v="21764.329999999987"/>
    <x v="2"/>
  </r>
  <r>
    <s v="Kentucky Power Company"/>
    <n v="2024"/>
    <n v="194461.37"/>
    <n v="168600"/>
    <n v="25861.369999999995"/>
    <x v="0"/>
  </r>
  <r>
    <s v="Kentucky Power Company"/>
    <n v="2024"/>
    <n v="195265.53"/>
    <n v="168600"/>
    <n v="26665.53"/>
    <x v="0"/>
  </r>
  <r>
    <s v="Kentucky Power Company"/>
    <n v="2024"/>
    <n v="197946.77"/>
    <n v="168600"/>
    <n v="29346.76999999999"/>
    <x v="0"/>
  </r>
  <r>
    <s v="Kentucky Power Company"/>
    <n v="2024"/>
    <n v="198379.92"/>
    <n v="168600"/>
    <n v="29779.920000000013"/>
    <x v="0"/>
  </r>
  <r>
    <s v="Wheeling Power Company"/>
    <n v="2024"/>
    <n v="200456.86"/>
    <n v="168600"/>
    <n v="31856.859999999986"/>
    <x v="1"/>
  </r>
  <r>
    <s v="Kentucky Power Company"/>
    <n v="2024"/>
    <n v="202048.52"/>
    <n v="168600"/>
    <n v="33448.51999999999"/>
    <x v="0"/>
  </r>
  <r>
    <s v="Kentucky Power Company"/>
    <n v="2024"/>
    <n v="203487.54"/>
    <n v="168600"/>
    <n v="34887.540000000008"/>
    <x v="0"/>
  </r>
  <r>
    <s v="Kentucky Power Company"/>
    <n v="2024"/>
    <n v="206192.14"/>
    <n v="168600"/>
    <n v="37592.140000000014"/>
    <x v="0"/>
  </r>
  <r>
    <s v="Wheeling Power Company"/>
    <n v="2024"/>
    <n v="214361.85"/>
    <n v="168600"/>
    <n v="45761.850000000006"/>
    <x v="1"/>
  </r>
  <r>
    <s v="Kentucky Power Company"/>
    <n v="2024"/>
    <n v="217027.36"/>
    <n v="168600"/>
    <n v="48427.359999999986"/>
    <x v="0"/>
  </r>
  <r>
    <s v="Kentucky Power Company"/>
    <n v="2024"/>
    <n v="218706.49"/>
    <n v="168600"/>
    <n v="50106.489999999991"/>
    <x v="2"/>
  </r>
  <r>
    <s v="Kentucky Power Company"/>
    <n v="2024"/>
    <n v="221573.36"/>
    <n v="168600"/>
    <n v="52973.359999999986"/>
    <x v="0"/>
  </r>
  <r>
    <s v="Wheeling Power Company"/>
    <n v="2024"/>
    <n v="227000.36"/>
    <n v="168600"/>
    <n v="58400.359999999986"/>
    <x v="1"/>
  </r>
  <r>
    <s v="Wheeling Power Company"/>
    <n v="2024"/>
    <n v="229143.18"/>
    <n v="168600"/>
    <n v="60543.179999999993"/>
    <x v="1"/>
  </r>
  <r>
    <s v="Kentucky Power Company"/>
    <n v="2024"/>
    <n v="233667.17"/>
    <n v="168600"/>
    <n v="65067.170000000013"/>
    <x v="0"/>
  </r>
  <r>
    <s v="Kentucky Power Company"/>
    <n v="2024"/>
    <n v="237880.44"/>
    <n v="168600"/>
    <n v="69280.44"/>
    <x v="2"/>
  </r>
  <r>
    <s v="Wheeling Power Company"/>
    <n v="2024"/>
    <n v="242486.54"/>
    <n v="168600"/>
    <n v="73886.540000000008"/>
    <x v="1"/>
  </r>
  <r>
    <s v="Wheeling Power Company"/>
    <n v="2024"/>
    <n v="243423.34"/>
    <n v="168600"/>
    <n v="74823.34"/>
    <x v="1"/>
  </r>
  <r>
    <s v="Kentucky Power Company"/>
    <n v="2024"/>
    <n v="246888.56"/>
    <n v="168600"/>
    <n v="78288.56"/>
    <x v="0"/>
  </r>
  <r>
    <s v="Kentucky Power Company"/>
    <n v="2024"/>
    <n v="250561.85"/>
    <n v="168600"/>
    <n v="81961.850000000006"/>
    <x v="0"/>
  </r>
  <r>
    <s v="Kentucky Power Company"/>
    <n v="2024"/>
    <n v="261572.91"/>
    <n v="168600"/>
    <n v="92972.91"/>
    <x v="0"/>
  </r>
  <r>
    <s v="Wheeling Power Company"/>
    <n v="2024"/>
    <n v="269865.49"/>
    <n v="168600"/>
    <n v="101265.48999999999"/>
    <x v="1"/>
  </r>
  <r>
    <s v="Kentucky Power Company"/>
    <n v="2024"/>
    <n v="275118.51"/>
    <n v="168600"/>
    <n v="106518.51000000001"/>
    <x v="0"/>
  </r>
  <r>
    <s v="Kentucky Power Company"/>
    <n v="2024"/>
    <n v="280991.96999999997"/>
    <n v="168600"/>
    <n v="112391.96999999997"/>
    <x v="0"/>
  </r>
  <r>
    <s v="Kentucky Power Company"/>
    <n v="2024"/>
    <n v="416114.79"/>
    <n v="168600"/>
    <n v="247514.78999999998"/>
    <x v="0"/>
  </r>
  <r>
    <s v="Kentucky Power Company"/>
    <n v="2024"/>
    <n v="458694.57"/>
    <n v="168600"/>
    <n v="290094.57"/>
    <x v="0"/>
  </r>
  <r>
    <s v="Kentucky Power Company"/>
    <n v="2024"/>
    <n v="504710.59"/>
    <n v="168600"/>
    <n v="336110.59"/>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6289C5-DFAE-4A71-B32D-4F26C0DDBEB6}" name="PivotTable1" cacheId="1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H7:J11" firstHeaderRow="0" firstDataRow="1" firstDataCol="1"/>
  <pivotFields count="6">
    <pivotField showAll="0"/>
    <pivotField showAll="0"/>
    <pivotField numFmtId="43" showAll="0"/>
    <pivotField numFmtId="43" showAll="0"/>
    <pivotField dataField="1" numFmtId="43" showAll="0"/>
    <pivotField axis="axisRow" showAll="0">
      <items count="4">
        <item x="0"/>
        <item x="2"/>
        <item x="1"/>
        <item t="default"/>
      </items>
    </pivotField>
  </pivotFields>
  <rowFields count="1">
    <field x="5"/>
  </rowFields>
  <rowItems count="4">
    <i>
      <x/>
    </i>
    <i>
      <x v="1"/>
    </i>
    <i>
      <x v="2"/>
    </i>
    <i t="grand">
      <x/>
    </i>
  </rowItems>
  <colFields count="1">
    <field x="-2"/>
  </colFields>
  <colItems count="2">
    <i>
      <x/>
    </i>
    <i i="1">
      <x v="1"/>
    </i>
  </colItems>
  <dataFields count="2">
    <dataField name="Count of Amount over FICA Limit" fld="4" subtotal="count" baseField="0" baseItem="1"/>
    <dataField name="Sum of Amount over FICA Limit2" fld="4" baseField="0" baseItem="0" numFmtId="43"/>
  </dataFields>
  <formats count="2">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ivotTable" Target="../pivotTables/pivotTable1.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62C7-7AC6-45C4-A873-8E73B249E89B}">
  <dimension ref="A2:C36"/>
  <sheetViews>
    <sheetView tabSelected="1" workbookViewId="0">
      <selection activeCell="A35" sqref="A35"/>
    </sheetView>
  </sheetViews>
  <sheetFormatPr defaultRowHeight="14.5"/>
  <cols>
    <col min="1" max="1" width="29" bestFit="1" customWidth="1"/>
    <col min="2" max="2" width="94.26953125" bestFit="1" customWidth="1"/>
    <col min="3" max="3" width="24.7265625" bestFit="1" customWidth="1"/>
  </cols>
  <sheetData>
    <row r="2" spans="1:3">
      <c r="A2" s="667" t="s">
        <v>51</v>
      </c>
      <c r="B2" s="668"/>
      <c r="C2" s="668"/>
    </row>
    <row r="3" spans="1:3">
      <c r="A3" s="667" t="s">
        <v>52</v>
      </c>
      <c r="B3" s="668"/>
      <c r="C3" s="668"/>
    </row>
    <row r="4" spans="1:3">
      <c r="A4" s="1" t="s">
        <v>53</v>
      </c>
      <c r="B4" s="1" t="s">
        <v>54</v>
      </c>
    </row>
    <row r="5" spans="1:3">
      <c r="A5" s="1"/>
      <c r="B5" s="1"/>
    </row>
    <row r="6" spans="1:3">
      <c r="A6" t="s">
        <v>48</v>
      </c>
      <c r="B6" t="s">
        <v>49</v>
      </c>
      <c r="C6" t="s">
        <v>50</v>
      </c>
    </row>
    <row r="7" spans="1:3">
      <c r="A7" s="431" t="s">
        <v>0</v>
      </c>
      <c r="B7" t="s">
        <v>28</v>
      </c>
      <c r="C7" t="s">
        <v>816</v>
      </c>
    </row>
    <row r="8" spans="1:3">
      <c r="A8" s="431" t="s">
        <v>1</v>
      </c>
      <c r="B8" t="s">
        <v>840</v>
      </c>
      <c r="C8" t="s">
        <v>817</v>
      </c>
    </row>
    <row r="9" spans="1:3">
      <c r="A9" s="431" t="s">
        <v>2</v>
      </c>
      <c r="B9" t="s">
        <v>841</v>
      </c>
      <c r="C9" t="s">
        <v>818</v>
      </c>
    </row>
    <row r="10" spans="1:3">
      <c r="A10" s="431" t="s">
        <v>3</v>
      </c>
      <c r="B10" t="s">
        <v>30</v>
      </c>
      <c r="C10" t="s">
        <v>819</v>
      </c>
    </row>
    <row r="11" spans="1:3">
      <c r="A11" s="431" t="s">
        <v>4</v>
      </c>
      <c r="B11" t="s">
        <v>31</v>
      </c>
      <c r="C11" t="s">
        <v>820</v>
      </c>
    </row>
    <row r="12" spans="1:3">
      <c r="A12" s="431" t="s">
        <v>21</v>
      </c>
      <c r="B12" t="s">
        <v>842</v>
      </c>
      <c r="C12" t="s">
        <v>821</v>
      </c>
    </row>
    <row r="13" spans="1:3">
      <c r="A13" s="431" t="s">
        <v>5</v>
      </c>
      <c r="B13" t="s">
        <v>32</v>
      </c>
      <c r="C13" t="s">
        <v>822</v>
      </c>
    </row>
    <row r="14" spans="1:3">
      <c r="A14" s="431" t="s">
        <v>6</v>
      </c>
      <c r="B14" t="s">
        <v>33</v>
      </c>
      <c r="C14" t="s">
        <v>823</v>
      </c>
    </row>
    <row r="15" spans="1:3">
      <c r="A15" s="431" t="s">
        <v>7</v>
      </c>
      <c r="B15" t="s">
        <v>34</v>
      </c>
      <c r="C15" t="s">
        <v>824</v>
      </c>
    </row>
    <row r="16" spans="1:3">
      <c r="A16" s="431" t="s">
        <v>8</v>
      </c>
      <c r="B16" t="s">
        <v>35</v>
      </c>
      <c r="C16" t="s">
        <v>825</v>
      </c>
    </row>
    <row r="17" spans="1:3">
      <c r="A17" s="431" t="s">
        <v>9</v>
      </c>
      <c r="B17" t="s">
        <v>36</v>
      </c>
      <c r="C17" t="s">
        <v>826</v>
      </c>
    </row>
    <row r="18" spans="1:3">
      <c r="A18" s="431" t="s">
        <v>10</v>
      </c>
      <c r="B18" t="s">
        <v>843</v>
      </c>
      <c r="C18" t="s">
        <v>827</v>
      </c>
    </row>
    <row r="19" spans="1:3">
      <c r="A19" s="431" t="s">
        <v>850</v>
      </c>
      <c r="B19" t="s">
        <v>851</v>
      </c>
      <c r="C19" s="429" t="s">
        <v>852</v>
      </c>
    </row>
    <row r="20" spans="1:3">
      <c r="A20" s="430" t="s">
        <v>11</v>
      </c>
      <c r="B20" t="s">
        <v>37</v>
      </c>
      <c r="C20" t="s">
        <v>828</v>
      </c>
    </row>
    <row r="21" spans="1:3">
      <c r="A21" s="430" t="s">
        <v>12</v>
      </c>
      <c r="B21" t="s">
        <v>38</v>
      </c>
      <c r="C21" t="s">
        <v>829</v>
      </c>
    </row>
    <row r="22" spans="1:3">
      <c r="A22" s="430" t="s">
        <v>13</v>
      </c>
      <c r="B22" t="s">
        <v>39</v>
      </c>
      <c r="C22" t="s">
        <v>830</v>
      </c>
    </row>
    <row r="23" spans="1:3">
      <c r="A23" s="430" t="s">
        <v>14</v>
      </c>
      <c r="B23" t="s">
        <v>40</v>
      </c>
      <c r="C23" t="s">
        <v>839</v>
      </c>
    </row>
    <row r="24" spans="1:3">
      <c r="A24" s="430" t="s">
        <v>15</v>
      </c>
      <c r="B24" t="s">
        <v>41</v>
      </c>
      <c r="C24" t="s">
        <v>831</v>
      </c>
    </row>
    <row r="25" spans="1:3">
      <c r="A25" s="430" t="s">
        <v>16</v>
      </c>
      <c r="B25" t="s">
        <v>42</v>
      </c>
      <c r="C25" t="s">
        <v>832</v>
      </c>
    </row>
    <row r="26" spans="1:3">
      <c r="A26" s="431" t="s">
        <v>17</v>
      </c>
      <c r="B26" t="s">
        <v>844</v>
      </c>
      <c r="C26" t="s">
        <v>833</v>
      </c>
    </row>
    <row r="27" spans="1:3">
      <c r="A27" s="431" t="s">
        <v>18</v>
      </c>
      <c r="B27" t="s">
        <v>43</v>
      </c>
      <c r="C27" t="s">
        <v>834</v>
      </c>
    </row>
    <row r="28" spans="1:3">
      <c r="A28" s="431" t="s">
        <v>19</v>
      </c>
      <c r="B28" t="s">
        <v>44</v>
      </c>
      <c r="C28" t="s">
        <v>835</v>
      </c>
    </row>
    <row r="29" spans="1:3">
      <c r="A29" s="431" t="s">
        <v>20</v>
      </c>
      <c r="B29" t="s">
        <v>45</v>
      </c>
      <c r="C29" t="s">
        <v>839</v>
      </c>
    </row>
    <row r="30" spans="1:3">
      <c r="A30" s="431" t="s">
        <v>24</v>
      </c>
      <c r="B30" t="s">
        <v>845</v>
      </c>
      <c r="C30" t="s">
        <v>836</v>
      </c>
    </row>
    <row r="31" spans="1:3">
      <c r="A31" t="s">
        <v>25</v>
      </c>
      <c r="B31" t="s">
        <v>846</v>
      </c>
      <c r="C31" t="s">
        <v>839</v>
      </c>
    </row>
    <row r="32" spans="1:3">
      <c r="A32" t="s">
        <v>22</v>
      </c>
      <c r="B32" t="s">
        <v>847</v>
      </c>
      <c r="C32" t="s">
        <v>839</v>
      </c>
    </row>
    <row r="33" spans="1:3">
      <c r="A33" t="s">
        <v>23</v>
      </c>
      <c r="B33" t="s">
        <v>848</v>
      </c>
      <c r="C33" t="s">
        <v>839</v>
      </c>
    </row>
    <row r="34" spans="1:3">
      <c r="A34" t="s">
        <v>26</v>
      </c>
      <c r="B34" t="s">
        <v>849</v>
      </c>
      <c r="C34" t="s">
        <v>837</v>
      </c>
    </row>
    <row r="35" spans="1:3">
      <c r="A35" t="s">
        <v>27</v>
      </c>
      <c r="B35" t="s">
        <v>46</v>
      </c>
      <c r="C35" t="s">
        <v>838</v>
      </c>
    </row>
    <row r="36" spans="1:3">
      <c r="A36" t="s">
        <v>27</v>
      </c>
      <c r="B36" t="s">
        <v>47</v>
      </c>
      <c r="C36" s="429" t="s">
        <v>839</v>
      </c>
    </row>
  </sheetData>
  <sortState xmlns:xlrd2="http://schemas.microsoft.com/office/spreadsheetml/2017/richdata2" ref="A7:B36">
    <sortCondition ref="A7:A36"/>
  </sortState>
  <mergeCells count="2">
    <mergeCell ref="A2:C2"/>
    <mergeCell ref="A3:C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6D22-6847-4C32-AB35-04FA02FACCBA}">
  <dimension ref="A1:E29"/>
  <sheetViews>
    <sheetView showRuler="0" workbookViewId="0">
      <selection sqref="A1:C1"/>
    </sheetView>
  </sheetViews>
  <sheetFormatPr defaultColWidth="13.7265625" defaultRowHeight="12.5"/>
  <cols>
    <col min="1" max="1" width="44" style="2" customWidth="1"/>
    <col min="2" max="2" width="20.453125" style="2" customWidth="1"/>
    <col min="3" max="3" width="16" style="2" customWidth="1"/>
    <col min="4" max="4" width="17" style="2" customWidth="1"/>
    <col min="5" max="16384" width="13.7265625" style="2"/>
  </cols>
  <sheetData>
    <row r="1" spans="1:5" ht="15" customHeight="1">
      <c r="A1" s="671" t="s">
        <v>51</v>
      </c>
      <c r="B1" s="670"/>
      <c r="C1" s="670"/>
    </row>
    <row r="2" spans="1:5" ht="15" customHeight="1">
      <c r="A2" s="672" t="s">
        <v>266</v>
      </c>
      <c r="B2" s="670"/>
      <c r="C2" s="670"/>
      <c r="D2" s="670"/>
    </row>
    <row r="3" spans="1:5" ht="15" customHeight="1">
      <c r="A3" s="3" t="s">
        <v>265</v>
      </c>
    </row>
    <row r="4" spans="1:5" ht="15" customHeight="1">
      <c r="A4" s="671" t="s">
        <v>83</v>
      </c>
      <c r="B4" s="670"/>
      <c r="C4" s="670"/>
      <c r="D4" s="670"/>
    </row>
    <row r="5" spans="1:5" ht="16.75" customHeight="1"/>
    <row r="6" spans="1:5" ht="27.65" customHeight="1">
      <c r="A6" s="673" t="s">
        <v>264</v>
      </c>
      <c r="B6" s="674" t="s">
        <v>82</v>
      </c>
      <c r="C6" s="28" t="s">
        <v>263</v>
      </c>
      <c r="D6" s="28" t="s">
        <v>262</v>
      </c>
      <c r="E6" s="18"/>
    </row>
    <row r="7" spans="1:5" ht="15" customHeight="1">
      <c r="A7" s="673"/>
      <c r="B7" s="675"/>
      <c r="C7" s="126" t="s">
        <v>261</v>
      </c>
      <c r="D7" s="126" t="s">
        <v>260</v>
      </c>
      <c r="E7" s="18"/>
    </row>
    <row r="8" spans="1:5" ht="15" customHeight="1">
      <c r="A8" s="17" t="s">
        <v>259</v>
      </c>
      <c r="B8" s="17" t="s">
        <v>70</v>
      </c>
      <c r="C8" s="14">
        <v>104567.72</v>
      </c>
      <c r="D8" s="14">
        <v>52283.86</v>
      </c>
    </row>
    <row r="9" spans="1:5" ht="15" customHeight="1">
      <c r="B9" s="13" t="s">
        <v>69</v>
      </c>
      <c r="C9" s="10">
        <v>104693.6</v>
      </c>
      <c r="D9" s="10">
        <v>52346.8</v>
      </c>
    </row>
    <row r="10" spans="1:5" ht="15" customHeight="1">
      <c r="B10" s="13" t="s">
        <v>68</v>
      </c>
      <c r="C10" s="10">
        <v>104617.1</v>
      </c>
      <c r="D10" s="10">
        <v>52308.55</v>
      </c>
    </row>
    <row r="11" spans="1:5" ht="15" customHeight="1">
      <c r="B11" s="13" t="s">
        <v>67</v>
      </c>
      <c r="C11" s="10">
        <v>104707.1</v>
      </c>
      <c r="D11" s="10">
        <v>52353.55</v>
      </c>
    </row>
    <row r="12" spans="1:5" ht="15" customHeight="1">
      <c r="B12" s="13" t="s">
        <v>66</v>
      </c>
      <c r="C12" s="10">
        <v>104694.32</v>
      </c>
      <c r="D12" s="10">
        <v>52347.16</v>
      </c>
    </row>
    <row r="13" spans="1:5" ht="15" customHeight="1">
      <c r="B13" s="13" t="s">
        <v>65</v>
      </c>
      <c r="C13" s="10">
        <v>104676.82</v>
      </c>
      <c r="D13" s="10">
        <v>52338.41</v>
      </c>
    </row>
    <row r="14" spans="1:5" ht="15" customHeight="1">
      <c r="B14" s="13" t="s">
        <v>64</v>
      </c>
      <c r="C14" s="10">
        <v>104872.04</v>
      </c>
      <c r="D14" s="10">
        <v>52436.02</v>
      </c>
    </row>
    <row r="15" spans="1:5" ht="15" customHeight="1">
      <c r="B15" s="13" t="s">
        <v>63</v>
      </c>
      <c r="C15" s="10">
        <v>104847.38</v>
      </c>
      <c r="D15" s="10">
        <v>52423.69</v>
      </c>
    </row>
    <row r="16" spans="1:5" ht="15" customHeight="1">
      <c r="B16" s="13" t="s">
        <v>62</v>
      </c>
      <c r="C16" s="10">
        <v>104857.94</v>
      </c>
      <c r="D16" s="10">
        <v>52428.97</v>
      </c>
    </row>
    <row r="17" spans="1:4" ht="15" customHeight="1">
      <c r="B17" s="13" t="s">
        <v>61</v>
      </c>
      <c r="C17" s="10">
        <v>104702.06</v>
      </c>
      <c r="D17" s="10">
        <v>52351.03</v>
      </c>
    </row>
    <row r="18" spans="1:4" ht="15" customHeight="1">
      <c r="B18" s="13" t="s">
        <v>60</v>
      </c>
      <c r="C18" s="10">
        <v>104529.42</v>
      </c>
      <c r="D18" s="10">
        <v>52264.71</v>
      </c>
    </row>
    <row r="19" spans="1:4" ht="15" customHeight="1">
      <c r="B19" s="24" t="s">
        <v>59</v>
      </c>
      <c r="C19" s="9">
        <v>104392.7</v>
      </c>
      <c r="D19" s="9">
        <v>52196.35</v>
      </c>
    </row>
    <row r="20" spans="1:4" ht="15" customHeight="1" thickBot="1">
      <c r="A20" s="13" t="s">
        <v>88</v>
      </c>
      <c r="B20" s="17"/>
      <c r="C20" s="125">
        <f>SUM(C8:C19)</f>
        <v>1256158.2</v>
      </c>
      <c r="D20" s="125">
        <f>SUM(D8:D19)</f>
        <v>628079.1</v>
      </c>
    </row>
    <row r="21" spans="1:4" ht="15" customHeight="1" thickTop="1">
      <c r="C21" s="22"/>
      <c r="D21" s="22"/>
    </row>
    <row r="22" spans="1:4" ht="15" customHeight="1"/>
    <row r="23" spans="1:4" ht="27.65" customHeight="1">
      <c r="A23" s="678" t="s">
        <v>258</v>
      </c>
      <c r="B23" s="678"/>
      <c r="C23" s="18"/>
    </row>
    <row r="24" spans="1:4" ht="27.65" customHeight="1">
      <c r="A24" s="124" t="s">
        <v>257</v>
      </c>
      <c r="B24" s="123">
        <f>-D20</f>
        <v>-628079.1</v>
      </c>
      <c r="C24" s="18"/>
    </row>
    <row r="25" spans="1:4" ht="27.65" customHeight="1">
      <c r="A25" s="124" t="s">
        <v>256</v>
      </c>
      <c r="B25" s="123">
        <f>-D20</f>
        <v>-628079.1</v>
      </c>
      <c r="C25" s="18"/>
    </row>
    <row r="26" spans="1:4" ht="15" customHeight="1">
      <c r="A26" s="17"/>
      <c r="B26" s="17"/>
    </row>
    <row r="27" spans="1:4" ht="15" customHeight="1"/>
    <row r="28" spans="1:4" ht="15" customHeight="1">
      <c r="A28" s="111" t="s">
        <v>53</v>
      </c>
      <c r="B28" s="3" t="s">
        <v>54</v>
      </c>
    </row>
    <row r="29" spans="1:4" ht="15" customHeight="1"/>
  </sheetData>
  <mergeCells count="6">
    <mergeCell ref="A23:B23"/>
    <mergeCell ref="A2:D2"/>
    <mergeCell ref="A1:C1"/>
    <mergeCell ref="A4:D4"/>
    <mergeCell ref="B6:B7"/>
    <mergeCell ref="A6: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9AEC9-DD90-4108-BD23-C543FDD16C6E}">
  <dimension ref="A1:F29"/>
  <sheetViews>
    <sheetView showRuler="0" workbookViewId="0">
      <selection sqref="A1:C1"/>
    </sheetView>
  </sheetViews>
  <sheetFormatPr defaultColWidth="13.7265625" defaultRowHeight="12.5"/>
  <cols>
    <col min="1" max="1" width="36.81640625" style="2" customWidth="1"/>
    <col min="2" max="4" width="14.453125" style="2" customWidth="1"/>
    <col min="5" max="16384" width="13.7265625" style="2"/>
  </cols>
  <sheetData>
    <row r="1" spans="1:6" ht="15" customHeight="1">
      <c r="A1" s="671" t="s">
        <v>51</v>
      </c>
      <c r="B1" s="670"/>
      <c r="C1" s="670"/>
    </row>
    <row r="2" spans="1:6" ht="15" customHeight="1">
      <c r="A2" s="672" t="s">
        <v>271</v>
      </c>
      <c r="B2" s="670"/>
      <c r="C2" s="670"/>
      <c r="D2" s="670"/>
    </row>
    <row r="3" spans="1:6" ht="15" customHeight="1">
      <c r="A3" s="672" t="s">
        <v>270</v>
      </c>
      <c r="B3" s="670"/>
      <c r="C3" s="670"/>
      <c r="D3" s="670"/>
    </row>
    <row r="4" spans="1:6" ht="15" customHeight="1">
      <c r="A4" s="671" t="s">
        <v>83</v>
      </c>
      <c r="B4" s="670"/>
      <c r="C4" s="670"/>
      <c r="D4" s="670"/>
      <c r="E4" s="670"/>
    </row>
    <row r="5" spans="1:6" ht="15" customHeight="1"/>
    <row r="6" spans="1:6" ht="15" customHeight="1">
      <c r="C6" s="679" t="s">
        <v>95</v>
      </c>
      <c r="D6" s="679"/>
      <c r="E6" s="679"/>
      <c r="F6" s="18"/>
    </row>
    <row r="7" spans="1:6" ht="15" customHeight="1">
      <c r="A7" s="19" t="s">
        <v>264</v>
      </c>
      <c r="B7" s="19" t="s">
        <v>82</v>
      </c>
      <c r="C7" s="133">
        <v>4261000</v>
      </c>
      <c r="D7" s="133">
        <v>9080000</v>
      </c>
      <c r="E7" s="133">
        <v>2420088</v>
      </c>
      <c r="F7" s="18"/>
    </row>
    <row r="8" spans="1:6" ht="15" customHeight="1">
      <c r="A8" s="17" t="s">
        <v>269</v>
      </c>
      <c r="B8" s="17" t="s">
        <v>70</v>
      </c>
      <c r="C8" s="14">
        <v>31149.5</v>
      </c>
      <c r="D8" s="14">
        <v>31149.5</v>
      </c>
      <c r="E8" s="14">
        <v>-62299</v>
      </c>
    </row>
    <row r="9" spans="1:6" ht="15" customHeight="1">
      <c r="B9" s="13" t="s">
        <v>69</v>
      </c>
      <c r="C9" s="10">
        <v>31197.14</v>
      </c>
      <c r="D9" s="10">
        <v>31197.14</v>
      </c>
      <c r="E9" s="10">
        <v>-62394.28</v>
      </c>
    </row>
    <row r="10" spans="1:6" ht="15" customHeight="1">
      <c r="B10" s="13" t="s">
        <v>68</v>
      </c>
      <c r="C10" s="10">
        <v>31154.46</v>
      </c>
      <c r="D10" s="10">
        <v>31154.46</v>
      </c>
      <c r="E10" s="10">
        <v>-62308.92</v>
      </c>
    </row>
    <row r="11" spans="1:6" ht="15" customHeight="1">
      <c r="B11" s="13" t="s">
        <v>67</v>
      </c>
      <c r="C11" s="10">
        <v>31210.49</v>
      </c>
      <c r="D11" s="10">
        <v>31210.49</v>
      </c>
      <c r="E11" s="10">
        <v>-62420.98</v>
      </c>
    </row>
    <row r="12" spans="1:6" ht="15" customHeight="1">
      <c r="B12" s="13" t="s">
        <v>66</v>
      </c>
      <c r="C12" s="10">
        <v>31194.53</v>
      </c>
      <c r="D12" s="10">
        <v>31194.53</v>
      </c>
      <c r="E12" s="10">
        <v>-62389.06</v>
      </c>
    </row>
    <row r="13" spans="1:6" ht="15" customHeight="1">
      <c r="B13" s="13" t="s">
        <v>65</v>
      </c>
      <c r="C13" s="10">
        <v>31203.89</v>
      </c>
      <c r="D13" s="10">
        <v>31203.89</v>
      </c>
      <c r="E13" s="10">
        <v>-62407.78</v>
      </c>
    </row>
    <row r="14" spans="1:6" ht="15" customHeight="1">
      <c r="B14" s="13" t="s">
        <v>64</v>
      </c>
      <c r="C14" s="10">
        <v>31170.84</v>
      </c>
      <c r="D14" s="10">
        <v>31170.84</v>
      </c>
      <c r="E14" s="10">
        <v>-62341.68</v>
      </c>
    </row>
    <row r="15" spans="1:6" ht="15" customHeight="1">
      <c r="B15" s="13" t="s">
        <v>63</v>
      </c>
      <c r="C15" s="10">
        <v>5859.66</v>
      </c>
      <c r="D15" s="10">
        <v>5859.66</v>
      </c>
      <c r="E15" s="10">
        <v>-11719.32</v>
      </c>
    </row>
    <row r="16" spans="1:6" ht="15" customHeight="1">
      <c r="B16" s="13" t="s">
        <v>62</v>
      </c>
      <c r="C16" s="10">
        <v>56454.57</v>
      </c>
      <c r="D16" s="10">
        <v>56454.57</v>
      </c>
      <c r="E16" s="10">
        <v>-112909.14</v>
      </c>
    </row>
    <row r="17" spans="1:5" ht="15" customHeight="1">
      <c r="B17" s="13" t="s">
        <v>61</v>
      </c>
      <c r="C17" s="10">
        <v>31108.17</v>
      </c>
      <c r="D17" s="10">
        <v>31108.17</v>
      </c>
      <c r="E17" s="10">
        <v>-62216.34</v>
      </c>
    </row>
    <row r="18" spans="1:5" ht="15" customHeight="1">
      <c r="B18" s="13" t="s">
        <v>60</v>
      </c>
      <c r="C18" s="10">
        <v>31095.56</v>
      </c>
      <c r="D18" s="10">
        <v>31095.56</v>
      </c>
      <c r="E18" s="10">
        <v>-62191.12</v>
      </c>
    </row>
    <row r="19" spans="1:5" ht="15" customHeight="1">
      <c r="B19" s="24" t="s">
        <v>59</v>
      </c>
      <c r="C19" s="9">
        <v>31094.98</v>
      </c>
      <c r="D19" s="9">
        <v>31094.98</v>
      </c>
      <c r="E19" s="9">
        <v>-62189.96</v>
      </c>
    </row>
    <row r="20" spans="1:5" ht="15" customHeight="1" thickBot="1">
      <c r="A20" s="132" t="s">
        <v>88</v>
      </c>
      <c r="B20" s="132"/>
      <c r="C20" s="23">
        <f>SUM(C8:C19)</f>
        <v>373893.79</v>
      </c>
      <c r="D20" s="23">
        <f>SUM(D8:D19)</f>
        <v>373893.79</v>
      </c>
      <c r="E20" s="23">
        <f>SUM(E8:E19)</f>
        <v>-747787.58</v>
      </c>
    </row>
    <row r="21" spans="1:5" ht="15" customHeight="1" thickTop="1">
      <c r="A21" s="131"/>
      <c r="B21" s="131"/>
      <c r="C21" s="22"/>
      <c r="D21" s="22"/>
      <c r="E21" s="22"/>
    </row>
    <row r="22" spans="1:5" ht="15" customHeight="1">
      <c r="A22" s="679" t="s">
        <v>258</v>
      </c>
      <c r="B22" s="679"/>
      <c r="C22" s="130"/>
    </row>
    <row r="23" spans="1:5" ht="42.65" customHeight="1">
      <c r="A23" s="129" t="s">
        <v>268</v>
      </c>
      <c r="B23" s="128">
        <f>-D20</f>
        <v>-373893.79</v>
      </c>
      <c r="C23" s="127"/>
    </row>
    <row r="24" spans="1:5" ht="44.15" customHeight="1">
      <c r="A24" s="129" t="s">
        <v>267</v>
      </c>
      <c r="B24" s="128">
        <f>-D20</f>
        <v>-373893.79</v>
      </c>
      <c r="C24" s="127"/>
    </row>
    <row r="25" spans="1:5" ht="15" customHeight="1">
      <c r="A25" s="17"/>
      <c r="B25" s="17"/>
    </row>
    <row r="26" spans="1:5" ht="15" customHeight="1"/>
    <row r="27" spans="1:5" ht="15" customHeight="1">
      <c r="A27" s="3" t="s">
        <v>53</v>
      </c>
      <c r="B27" s="3" t="s">
        <v>54</v>
      </c>
    </row>
    <row r="28" spans="1:5" ht="15" customHeight="1"/>
    <row r="29" spans="1:5" ht="15" customHeight="1"/>
  </sheetData>
  <mergeCells count="6">
    <mergeCell ref="A22:B22"/>
    <mergeCell ref="A2:D2"/>
    <mergeCell ref="A1:C1"/>
    <mergeCell ref="A4:E4"/>
    <mergeCell ref="A3:D3"/>
    <mergeCell ref="C6:E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6690-6321-41AC-8CC4-35F2DC0D4522}">
  <dimension ref="A1:H21"/>
  <sheetViews>
    <sheetView showRuler="0" workbookViewId="0">
      <selection activeCell="B15" sqref="B15:G15"/>
    </sheetView>
  </sheetViews>
  <sheetFormatPr defaultColWidth="13.7265625" defaultRowHeight="12.5"/>
  <cols>
    <col min="1" max="16384" width="13.7265625" style="2"/>
  </cols>
  <sheetData>
    <row r="1" spans="1:8" ht="15" customHeight="1">
      <c r="A1" s="671" t="s">
        <v>51</v>
      </c>
      <c r="B1" s="670"/>
      <c r="C1" s="670"/>
    </row>
    <row r="2" spans="1:8" ht="15" customHeight="1">
      <c r="A2" s="672" t="s">
        <v>279</v>
      </c>
      <c r="B2" s="670"/>
      <c r="C2" s="670"/>
      <c r="D2" s="670"/>
      <c r="E2" s="670"/>
      <c r="F2" s="670"/>
    </row>
    <row r="3" spans="1:8" ht="15" customHeight="1">
      <c r="A3" s="672" t="s">
        <v>278</v>
      </c>
      <c r="B3" s="670"/>
      <c r="C3" s="670"/>
    </row>
    <row r="4" spans="1:8" ht="15" customHeight="1">
      <c r="A4" s="672" t="s">
        <v>83</v>
      </c>
      <c r="B4" s="670"/>
      <c r="C4" s="670"/>
      <c r="D4" s="670"/>
    </row>
    <row r="5" spans="1:8" ht="15" customHeight="1"/>
    <row r="6" spans="1:8" ht="15" customHeight="1"/>
    <row r="7" spans="1:8" ht="15" customHeight="1"/>
    <row r="8" spans="1:8" ht="15" customHeight="1">
      <c r="A8" s="136" t="s">
        <v>264</v>
      </c>
      <c r="B8" s="686" t="s">
        <v>277</v>
      </c>
      <c r="C8" s="687"/>
      <c r="D8" s="687"/>
      <c r="E8" s="687"/>
      <c r="F8" s="687"/>
      <c r="G8" s="688"/>
      <c r="H8" s="18"/>
    </row>
    <row r="9" spans="1:8" ht="27.65" customHeight="1">
      <c r="A9" s="136" t="s">
        <v>276</v>
      </c>
      <c r="B9" s="686" t="s">
        <v>275</v>
      </c>
      <c r="C9" s="687"/>
      <c r="D9" s="687"/>
      <c r="E9" s="687"/>
      <c r="F9" s="687"/>
      <c r="G9" s="688"/>
      <c r="H9" s="18"/>
    </row>
    <row r="10" spans="1:8" ht="15" customHeight="1">
      <c r="A10" s="136" t="s">
        <v>274</v>
      </c>
      <c r="B10" s="686" t="s">
        <v>273</v>
      </c>
      <c r="C10" s="687"/>
      <c r="D10" s="687"/>
      <c r="E10" s="687"/>
      <c r="F10" s="687"/>
      <c r="G10" s="688"/>
      <c r="H10" s="18"/>
    </row>
    <row r="11" spans="1:8" ht="15" customHeight="1">
      <c r="A11" s="134" t="s">
        <v>95</v>
      </c>
      <c r="B11" s="683" t="s">
        <v>272</v>
      </c>
      <c r="C11" s="684"/>
      <c r="D11" s="684"/>
      <c r="E11" s="684"/>
      <c r="F11" s="684"/>
      <c r="G11" s="685"/>
      <c r="H11" s="18"/>
    </row>
    <row r="12" spans="1:8" ht="15" customHeight="1">
      <c r="A12" s="135">
        <v>1720000</v>
      </c>
      <c r="B12" s="680">
        <f>-B13-B14</f>
        <v>292542.07</v>
      </c>
      <c r="C12" s="681"/>
      <c r="D12" s="681"/>
      <c r="E12" s="681"/>
      <c r="F12" s="681"/>
      <c r="G12" s="682"/>
      <c r="H12" s="18"/>
    </row>
    <row r="13" spans="1:8" ht="15" customHeight="1">
      <c r="A13" s="135">
        <v>4540005</v>
      </c>
      <c r="B13" s="680">
        <v>-271393.99</v>
      </c>
      <c r="C13" s="692"/>
      <c r="D13" s="692"/>
      <c r="E13" s="692"/>
      <c r="F13" s="692"/>
      <c r="G13" s="693"/>
      <c r="H13" s="18"/>
    </row>
    <row r="14" spans="1:8" ht="15" customHeight="1">
      <c r="A14" s="135">
        <v>5890001</v>
      </c>
      <c r="B14" s="680">
        <v>-21148.080000000002</v>
      </c>
      <c r="C14" s="692"/>
      <c r="D14" s="692"/>
      <c r="E14" s="692"/>
      <c r="F14" s="692"/>
      <c r="G14" s="693"/>
      <c r="H14" s="18"/>
    </row>
    <row r="15" spans="1:8" ht="15" customHeight="1">
      <c r="A15" s="134" t="s">
        <v>244</v>
      </c>
      <c r="B15" s="689">
        <v>0</v>
      </c>
      <c r="C15" s="690"/>
      <c r="D15" s="690"/>
      <c r="E15" s="690"/>
      <c r="F15" s="690"/>
      <c r="G15" s="691"/>
      <c r="H15" s="18"/>
    </row>
    <row r="16" spans="1:8" ht="15" customHeight="1">
      <c r="A16" s="17"/>
      <c r="B16" s="17"/>
      <c r="C16" s="17"/>
      <c r="D16" s="17"/>
      <c r="E16" s="17"/>
      <c r="F16" s="17"/>
      <c r="G16" s="17"/>
    </row>
    <row r="17" spans="1:2" ht="15" customHeight="1"/>
    <row r="18" spans="1:2" ht="15" customHeight="1"/>
    <row r="19" spans="1:2" ht="15" customHeight="1"/>
    <row r="20" spans="1:2" ht="15" customHeight="1">
      <c r="A20" s="13" t="s">
        <v>53</v>
      </c>
      <c r="B20" s="13" t="s">
        <v>54</v>
      </c>
    </row>
    <row r="21" spans="1:2" ht="15" customHeight="1"/>
  </sheetData>
  <mergeCells count="12">
    <mergeCell ref="A1:C1"/>
    <mergeCell ref="A2:F2"/>
    <mergeCell ref="A4:D4"/>
    <mergeCell ref="A3:C3"/>
    <mergeCell ref="B8:G8"/>
    <mergeCell ref="B12:G12"/>
    <mergeCell ref="B11:G11"/>
    <mergeCell ref="B10:G10"/>
    <mergeCell ref="B9:G9"/>
    <mergeCell ref="B15:G15"/>
    <mergeCell ref="B13:G13"/>
    <mergeCell ref="B14: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29056-F6EB-414E-B2E3-B7345A68C9CD}">
  <dimension ref="A1:C14"/>
  <sheetViews>
    <sheetView showRuler="0" workbookViewId="0">
      <selection sqref="A1:C1"/>
    </sheetView>
  </sheetViews>
  <sheetFormatPr defaultColWidth="13.7265625" defaultRowHeight="12.5"/>
  <cols>
    <col min="1" max="1" width="33" style="2" customWidth="1"/>
    <col min="2" max="3" width="24.453125" style="2" customWidth="1"/>
    <col min="4" max="16384" width="13.7265625" style="2"/>
  </cols>
  <sheetData>
    <row r="1" spans="1:3" ht="16.75" customHeight="1">
      <c r="A1" s="671" t="s">
        <v>51</v>
      </c>
      <c r="B1" s="670"/>
      <c r="C1" s="670"/>
    </row>
    <row r="2" spans="1:3" ht="16.75" customHeight="1">
      <c r="A2" s="672" t="s">
        <v>284</v>
      </c>
      <c r="B2" s="670"/>
      <c r="C2" s="670"/>
    </row>
    <row r="3" spans="1:3" ht="16.75" customHeight="1">
      <c r="A3" s="671" t="s">
        <v>83</v>
      </c>
      <c r="B3" s="670"/>
      <c r="C3" s="670"/>
    </row>
    <row r="4" spans="1:3" ht="15" customHeight="1"/>
    <row r="5" spans="1:3" ht="15" customHeight="1"/>
    <row r="6" spans="1:3" ht="15" customHeight="1">
      <c r="A6" s="672" t="s">
        <v>283</v>
      </c>
      <c r="B6" s="670"/>
      <c r="C6" s="670"/>
    </row>
    <row r="7" spans="1:3" ht="15" customHeight="1"/>
    <row r="8" spans="1:3" ht="15" customHeight="1">
      <c r="B8" s="138"/>
    </row>
    <row r="9" spans="1:3" ht="15" customHeight="1">
      <c r="A9" s="124" t="s">
        <v>282</v>
      </c>
      <c r="B9" s="28" t="s">
        <v>281</v>
      </c>
      <c r="C9" s="18"/>
    </row>
    <row r="10" spans="1:3" ht="15" customHeight="1">
      <c r="A10" s="137" t="s">
        <v>280</v>
      </c>
      <c r="B10" s="15">
        <v>38090279.75</v>
      </c>
    </row>
    <row r="11" spans="1:3" ht="15" customHeight="1"/>
    <row r="12" spans="1:3" ht="15" customHeight="1"/>
    <row r="13" spans="1:3" ht="15" customHeight="1">
      <c r="A13" s="3" t="s">
        <v>53</v>
      </c>
      <c r="B13" s="3" t="s">
        <v>54</v>
      </c>
    </row>
    <row r="14" spans="1:3" ht="15" customHeight="1"/>
  </sheetData>
  <mergeCells count="4">
    <mergeCell ref="A2:C2"/>
    <mergeCell ref="A1:C1"/>
    <mergeCell ref="A3:C3"/>
    <mergeCell ref="A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B9C1-EFF6-4FB8-8C4A-B7A37CF4AD34}">
  <dimension ref="A1:F31"/>
  <sheetViews>
    <sheetView showRuler="0" workbookViewId="0">
      <selection sqref="A1:C1"/>
    </sheetView>
  </sheetViews>
  <sheetFormatPr defaultColWidth="13.7265625" defaultRowHeight="12.5"/>
  <cols>
    <col min="1" max="1" width="14.81640625" style="2" customWidth="1"/>
    <col min="2" max="2" width="23.7265625" style="2" customWidth="1"/>
    <col min="3" max="16384" width="13.7265625" style="2"/>
  </cols>
  <sheetData>
    <row r="1" spans="1:6" ht="15" customHeight="1">
      <c r="A1" s="671" t="s">
        <v>51</v>
      </c>
      <c r="B1" s="670"/>
      <c r="C1" s="670"/>
    </row>
    <row r="2" spans="1:6" ht="15" customHeight="1">
      <c r="A2" s="672" t="s">
        <v>284</v>
      </c>
      <c r="B2" s="670"/>
      <c r="C2" s="670"/>
      <c r="D2" s="670"/>
    </row>
    <row r="3" spans="1:6" ht="15" customHeight="1">
      <c r="A3" s="671" t="s">
        <v>83</v>
      </c>
      <c r="B3" s="670"/>
      <c r="C3" s="670"/>
      <c r="D3" s="670"/>
      <c r="E3" s="670"/>
    </row>
    <row r="4" spans="1:6" ht="15" customHeight="1"/>
    <row r="5" spans="1:6" ht="15" customHeight="1"/>
    <row r="6" spans="1:6" ht="15" customHeight="1">
      <c r="A6" s="694" t="s">
        <v>309</v>
      </c>
      <c r="B6" s="670"/>
      <c r="C6" s="670"/>
      <c r="D6" s="670"/>
      <c r="E6" s="670"/>
    </row>
    <row r="7" spans="1:6" ht="15" customHeight="1">
      <c r="B7" s="143"/>
    </row>
    <row r="8" spans="1:6" ht="16.75" customHeight="1">
      <c r="A8" s="3" t="s">
        <v>308</v>
      </c>
      <c r="B8" s="142">
        <v>2370007</v>
      </c>
    </row>
    <row r="9" spans="1:6" ht="15" customHeight="1">
      <c r="A9" s="3" t="s">
        <v>82</v>
      </c>
      <c r="B9" s="13" t="s">
        <v>307</v>
      </c>
      <c r="C9" s="13" t="s">
        <v>306</v>
      </c>
    </row>
    <row r="10" spans="1:6" ht="15" customHeight="1">
      <c r="A10" s="141" t="s">
        <v>305</v>
      </c>
      <c r="B10" s="11">
        <v>166082.65</v>
      </c>
      <c r="C10" s="10">
        <v>0</v>
      </c>
      <c r="D10" s="13"/>
      <c r="E10" s="672" t="s">
        <v>304</v>
      </c>
      <c r="F10" s="670"/>
    </row>
    <row r="11" spans="1:6" ht="15" customHeight="1">
      <c r="A11" s="141" t="s">
        <v>303</v>
      </c>
      <c r="B11" s="11">
        <v>-1847.54</v>
      </c>
      <c r="C11" s="10">
        <v>0</v>
      </c>
      <c r="D11" s="13" t="s">
        <v>289</v>
      </c>
    </row>
    <row r="12" spans="1:6" ht="15" customHeight="1">
      <c r="A12" s="141" t="s">
        <v>302</v>
      </c>
      <c r="B12" s="11">
        <v>171683.62</v>
      </c>
      <c r="C12" s="10">
        <v>0</v>
      </c>
      <c r="D12" s="13"/>
    </row>
    <row r="13" spans="1:6" ht="15" customHeight="1">
      <c r="A13" s="3" t="s">
        <v>301</v>
      </c>
      <c r="B13" s="11">
        <v>171058.12</v>
      </c>
      <c r="C13" s="10">
        <v>0</v>
      </c>
      <c r="D13" s="13"/>
    </row>
    <row r="14" spans="1:6" ht="15" customHeight="1">
      <c r="A14" s="141" t="s">
        <v>300</v>
      </c>
      <c r="B14" s="11">
        <v>165585.68</v>
      </c>
      <c r="C14" s="10">
        <v>0</v>
      </c>
      <c r="D14" s="13"/>
    </row>
    <row r="15" spans="1:6" ht="15" customHeight="1">
      <c r="A15" s="141" t="s">
        <v>299</v>
      </c>
      <c r="B15" s="11">
        <v>207.8</v>
      </c>
      <c r="C15" s="10">
        <v>0</v>
      </c>
      <c r="D15" s="13" t="s">
        <v>289</v>
      </c>
    </row>
    <row r="16" spans="1:6" ht="15" customHeight="1">
      <c r="A16" s="141" t="s">
        <v>298</v>
      </c>
      <c r="B16" s="11">
        <v>172014.09</v>
      </c>
      <c r="C16" s="10">
        <v>0</v>
      </c>
      <c r="D16" s="13"/>
    </row>
    <row r="17" spans="1:6" ht="15" customHeight="1">
      <c r="A17" s="3" t="s">
        <v>297</v>
      </c>
      <c r="B17" s="11">
        <v>165894.79</v>
      </c>
      <c r="C17" s="10">
        <v>0</v>
      </c>
      <c r="D17" s="13"/>
    </row>
    <row r="18" spans="1:6" ht="15" customHeight="1">
      <c r="A18" s="141" t="s">
        <v>296</v>
      </c>
      <c r="B18" s="11">
        <v>172226.98</v>
      </c>
      <c r="C18" s="10">
        <v>0</v>
      </c>
      <c r="D18" s="13"/>
    </row>
    <row r="19" spans="1:6" ht="15" customHeight="1">
      <c r="A19" s="141" t="s">
        <v>295</v>
      </c>
      <c r="B19" s="11">
        <v>-846.42</v>
      </c>
      <c r="C19" s="140">
        <v>0</v>
      </c>
      <c r="D19" s="13" t="s">
        <v>289</v>
      </c>
    </row>
    <row r="20" spans="1:6" ht="15" customHeight="1">
      <c r="A20" s="141" t="s">
        <v>294</v>
      </c>
      <c r="B20" s="11">
        <v>134615.57999999999</v>
      </c>
      <c r="C20" s="10">
        <v>0</v>
      </c>
      <c r="D20" s="13"/>
    </row>
    <row r="21" spans="1:6" ht="15" customHeight="1">
      <c r="A21" s="3" t="s">
        <v>293</v>
      </c>
      <c r="B21" s="11">
        <v>121648.79</v>
      </c>
      <c r="C21" s="10">
        <v>0</v>
      </c>
      <c r="D21" s="13"/>
    </row>
    <row r="22" spans="1:6" ht="15" customHeight="1">
      <c r="A22" s="141" t="s">
        <v>292</v>
      </c>
      <c r="B22" s="11">
        <v>134972.25</v>
      </c>
      <c r="C22" s="10">
        <v>0</v>
      </c>
      <c r="D22" s="13"/>
      <c r="E22" s="672" t="s">
        <v>291</v>
      </c>
      <c r="F22" s="672"/>
    </row>
    <row r="23" spans="1:6" ht="15" customHeight="1">
      <c r="A23" s="141" t="s">
        <v>290</v>
      </c>
      <c r="B23" s="11">
        <v>446.03</v>
      </c>
      <c r="C23" s="140">
        <v>0</v>
      </c>
      <c r="D23" s="13" t="s">
        <v>289</v>
      </c>
    </row>
    <row r="24" spans="1:6" ht="15" customHeight="1">
      <c r="A24" s="141" t="s">
        <v>288</v>
      </c>
      <c r="B24" s="11">
        <v>130851.32</v>
      </c>
      <c r="C24" s="140">
        <v>0</v>
      </c>
      <c r="D24" s="13"/>
    </row>
    <row r="25" spans="1:6" ht="15" customHeight="1">
      <c r="A25" s="3" t="s">
        <v>287</v>
      </c>
      <c r="B25" s="11">
        <v>135267.87</v>
      </c>
      <c r="C25" s="20">
        <v>0</v>
      </c>
      <c r="D25" s="13"/>
    </row>
    <row r="26" spans="1:6" ht="15" customHeight="1">
      <c r="C26" s="13" t="s">
        <v>286</v>
      </c>
    </row>
    <row r="27" spans="1:6" ht="15" customHeight="1" thickBot="1">
      <c r="A27" s="3" t="s">
        <v>285</v>
      </c>
      <c r="B27" s="139">
        <f>SUM(B10:B25)</f>
        <v>1839861.6100000003</v>
      </c>
      <c r="C27" s="20">
        <v>0</v>
      </c>
    </row>
    <row r="28" spans="1:6" ht="15" customHeight="1" thickTop="1">
      <c r="B28" s="22"/>
    </row>
    <row r="29" spans="1:6" ht="15" customHeight="1"/>
    <row r="30" spans="1:6" ht="15" customHeight="1">
      <c r="A30" s="3" t="s">
        <v>53</v>
      </c>
      <c r="B30" s="3" t="s">
        <v>54</v>
      </c>
    </row>
    <row r="31" spans="1:6" ht="15" customHeight="1"/>
  </sheetData>
  <mergeCells count="6">
    <mergeCell ref="E22:F22"/>
    <mergeCell ref="A2:D2"/>
    <mergeCell ref="A1:C1"/>
    <mergeCell ref="A3:E3"/>
    <mergeCell ref="A6:E6"/>
    <mergeCell ref="E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2CE88-E1A0-46E6-AAC4-28FA38ABA533}">
  <dimension ref="A1:E52"/>
  <sheetViews>
    <sheetView showRuler="0" topLeftCell="A28" workbookViewId="0">
      <selection activeCell="C7" sqref="C7"/>
    </sheetView>
  </sheetViews>
  <sheetFormatPr defaultColWidth="13.7265625" defaultRowHeight="12.5"/>
  <cols>
    <col min="1" max="1" width="18.54296875" style="2" customWidth="1"/>
    <col min="2" max="16384" width="13.7265625" style="2"/>
  </cols>
  <sheetData>
    <row r="1" spans="1:5" ht="15" customHeight="1">
      <c r="A1" s="671" t="s">
        <v>51</v>
      </c>
      <c r="B1" s="670"/>
      <c r="C1" s="670"/>
      <c r="D1" s="670"/>
      <c r="E1" s="670"/>
    </row>
    <row r="2" spans="1:5" ht="15" customHeight="1">
      <c r="A2" s="671" t="s">
        <v>317</v>
      </c>
      <c r="B2" s="670"/>
      <c r="C2" s="670"/>
      <c r="D2" s="670"/>
      <c r="E2" s="670"/>
    </row>
    <row r="3" spans="1:5" ht="15" customHeight="1">
      <c r="A3" s="671" t="s">
        <v>316</v>
      </c>
      <c r="B3" s="670"/>
      <c r="C3" s="670"/>
      <c r="D3" s="670"/>
      <c r="E3" s="670"/>
    </row>
    <row r="4" spans="1:5" ht="15" customHeight="1">
      <c r="A4" s="671" t="s">
        <v>83</v>
      </c>
      <c r="B4" s="670"/>
      <c r="C4" s="670"/>
      <c r="D4" s="670"/>
      <c r="E4" s="670"/>
    </row>
    <row r="5" spans="1:5" ht="15" customHeight="1"/>
    <row r="6" spans="1:5" ht="27.65" customHeight="1">
      <c r="A6" s="27" t="s">
        <v>56</v>
      </c>
      <c r="B6" s="27" t="s">
        <v>315</v>
      </c>
      <c r="C6" s="27" t="s">
        <v>314</v>
      </c>
      <c r="D6" s="151"/>
    </row>
    <row r="7" spans="1:5" ht="15" customHeight="1">
      <c r="A7" s="149">
        <v>500</v>
      </c>
      <c r="B7" s="128">
        <f>SUMIF(W25_PG_2_of_3!$P$7:$P$11,A7,W25_PG_2_of_3!$N$7:$N$11)+SUMIF(W25_PG_3_of_3!$A$13:$A$64,A7,W25_PG_3_of_3!$N$13:$N$64)</f>
        <v>1983.7799999999997</v>
      </c>
      <c r="C7" s="128">
        <f>SUMIF(W25_PG_2_of_3!$P$7:$P$11,A7,W25_PG_2_of_3!$M$7:$M$11)+SUMIF(W25_PG_3_of_3!$A$13:$A$64,A7,W25_PG_3_of_3!$M$13:$M$64)</f>
        <v>408.9</v>
      </c>
      <c r="D7" s="127"/>
    </row>
    <row r="8" spans="1:5" ht="15" customHeight="1">
      <c r="A8" s="149">
        <v>501</v>
      </c>
      <c r="B8" s="128">
        <f>SUMIF(W25_PG_2_of_3!$P$7:$P$11,A8,W25_PG_2_of_3!$N$7:$N$11)+SUMIF(W25_PG_3_of_3!$A$13:$A$64,A8,W25_PG_3_of_3!$N$13:$N$64)</f>
        <v>0</v>
      </c>
      <c r="C8" s="128">
        <f>SUMIF(W25_PG_2_of_3!$P$7:$P$11,A8,W25_PG_2_of_3!$M$7:$M$11)+SUMIF(W25_PG_3_of_3!$A$13:$A$64,A8,W25_PG_3_of_3!$M$13:$M$64)</f>
        <v>0</v>
      </c>
      <c r="D8" s="127"/>
    </row>
    <row r="9" spans="1:5" ht="15" customHeight="1">
      <c r="A9" s="149">
        <v>502</v>
      </c>
      <c r="B9" s="128">
        <f>SUMIF(W25_PG_2_of_3!$P$7:$P$11,A9,W25_PG_2_of_3!$N$7:$N$11)+SUMIF(W25_PG_3_of_3!$A$13:$A$64,A9,W25_PG_3_of_3!$N$13:$N$64)</f>
        <v>0.19</v>
      </c>
      <c r="C9" s="128">
        <f>SUMIF(W25_PG_2_of_3!$P$7:$P$11,A9,W25_PG_2_of_3!$M$7:$M$11)+SUMIF(W25_PG_3_of_3!$A$13:$A$64,A9,W25_PG_3_of_3!$M$13:$M$64)</f>
        <v>0</v>
      </c>
      <c r="D9" s="127"/>
    </row>
    <row r="10" spans="1:5" ht="15" customHeight="1">
      <c r="A10" s="149">
        <v>505</v>
      </c>
      <c r="B10" s="128">
        <f>SUMIF(W25_PG_2_of_3!$P$7:$P$11,A10,W25_PG_2_of_3!$N$7:$N$11)+SUMIF(W25_PG_3_of_3!$A$13:$A$64,A10,W25_PG_3_of_3!$N$13:$N$64)</f>
        <v>0</v>
      </c>
      <c r="C10" s="128">
        <f>SUMIF(W25_PG_2_of_3!$P$7:$P$11,A10,W25_PG_2_of_3!$M$7:$M$11)+SUMIF(W25_PG_3_of_3!$A$13:$A$64,A10,W25_PG_3_of_3!$M$13:$M$64)</f>
        <v>0</v>
      </c>
      <c r="D10" s="127"/>
    </row>
    <row r="11" spans="1:5" ht="15" customHeight="1">
      <c r="A11" s="149">
        <v>506</v>
      </c>
      <c r="B11" s="128">
        <f>SUMIF(W25_PG_2_of_3!$P$7:$P$11,A11,W25_PG_2_of_3!$N$7:$N$11)+SUMIF(W25_PG_3_of_3!$A$13:$A$64,A11,W25_PG_3_of_3!$N$13:$N$64)</f>
        <v>2007.2099999999998</v>
      </c>
      <c r="C11" s="128">
        <f>SUMIF(W25_PG_2_of_3!$P$7:$P$11,A11,W25_PG_2_of_3!$M$7:$M$11)+SUMIF(W25_PG_3_of_3!$A$13:$A$64,A11,W25_PG_3_of_3!$M$13:$M$64)</f>
        <v>531.51</v>
      </c>
      <c r="D11" s="127"/>
    </row>
    <row r="12" spans="1:5" ht="15" customHeight="1">
      <c r="A12" s="149">
        <v>510</v>
      </c>
      <c r="B12" s="128">
        <f>SUMIF(W25_PG_2_of_3!$P$7:$P$11,A12,W25_PG_2_of_3!$N$7:$N$11)+SUMIF(W25_PG_3_of_3!$A$13:$A$64,A12,W25_PG_3_of_3!$N$13:$N$64)</f>
        <v>535.16</v>
      </c>
      <c r="C12" s="128">
        <f>SUMIF(W25_PG_2_of_3!$P$7:$P$11,A12,W25_PG_2_of_3!$M$7:$M$11)+SUMIF(W25_PG_3_of_3!$A$13:$A$64,A12,W25_PG_3_of_3!$M$13:$M$64)</f>
        <v>158.21</v>
      </c>
      <c r="D12" s="127"/>
    </row>
    <row r="13" spans="1:5" ht="15" customHeight="1">
      <c r="A13" s="149">
        <v>511</v>
      </c>
      <c r="B13" s="128">
        <f>SUMIF(W25_PG_2_of_3!$P$7:$P$11,A13,W25_PG_2_of_3!$N$7:$N$11)+SUMIF(W25_PG_3_of_3!$A$13:$A$64,A13,W25_PG_3_of_3!$N$13:$N$64)</f>
        <v>96.23</v>
      </c>
      <c r="C13" s="128">
        <f>SUMIF(W25_PG_2_of_3!$P$7:$P$11,A13,W25_PG_2_of_3!$M$7:$M$11)+SUMIF(W25_PG_3_of_3!$A$13:$A$64,A13,W25_PG_3_of_3!$M$13:$M$64)</f>
        <v>11.67</v>
      </c>
      <c r="D13" s="127"/>
    </row>
    <row r="14" spans="1:5" ht="15" customHeight="1">
      <c r="A14" s="149">
        <v>512</v>
      </c>
      <c r="B14" s="128">
        <f>SUMIF(W25_PG_2_of_3!$P$7:$P$11,A14,W25_PG_2_of_3!$N$7:$N$11)+SUMIF(W25_PG_3_of_3!$A$13:$A$64,A14,W25_PG_3_of_3!$N$13:$N$64)</f>
        <v>151.16</v>
      </c>
      <c r="C14" s="128">
        <f>SUMIF(W25_PG_2_of_3!$P$7:$P$11,A14,W25_PG_2_of_3!$M$7:$M$11)+SUMIF(W25_PG_3_of_3!$A$13:$A$64,A14,W25_PG_3_of_3!$M$13:$M$64)</f>
        <v>8.4700000000000006</v>
      </c>
      <c r="D14" s="127"/>
    </row>
    <row r="15" spans="1:5" ht="15" customHeight="1">
      <c r="A15" s="149">
        <v>513</v>
      </c>
      <c r="B15" s="128">
        <f>SUMIF(W25_PG_2_of_3!$P$7:$P$11,A15,W25_PG_2_of_3!$N$7:$N$11)+SUMIF(W25_PG_3_of_3!$A$13:$A$64,A15,W25_PG_3_of_3!$N$13:$N$64)</f>
        <v>99.840000000000018</v>
      </c>
      <c r="C15" s="128">
        <f>SUMIF(W25_PG_2_of_3!$P$7:$P$11,A15,W25_PG_2_of_3!$M$7:$M$11)+SUMIF(W25_PG_3_of_3!$A$13:$A$64,A15,W25_PG_3_of_3!$M$13:$M$64)</f>
        <v>7.95</v>
      </c>
      <c r="D15" s="127"/>
    </row>
    <row r="16" spans="1:5" ht="15" customHeight="1">
      <c r="A16" s="149">
        <v>514</v>
      </c>
      <c r="B16" s="128">
        <f>SUMIF(W25_PG_2_of_3!$P$7:$P$11,A16,W25_PG_2_of_3!$N$7:$N$11)+SUMIF(W25_PG_3_of_3!$A$13:$A$64,A16,W25_PG_3_of_3!$N$13:$N$64)</f>
        <v>11.280000000000001</v>
      </c>
      <c r="C16" s="128">
        <f>SUMIF(W25_PG_2_of_3!$P$7:$P$11,A16,W25_PG_2_of_3!$M$7:$M$11)+SUMIF(W25_PG_3_of_3!$A$13:$A$64,A16,W25_PG_3_of_3!$M$13:$M$64)</f>
        <v>5.43</v>
      </c>
      <c r="D16" s="127"/>
    </row>
    <row r="17" spans="1:4" ht="15" customHeight="1">
      <c r="A17" s="149">
        <v>539</v>
      </c>
      <c r="B17" s="128">
        <f>SUMIF(W25_PG_2_of_3!$P$7:$P$11,A17,W25_PG_2_of_3!$N$7:$N$11)+SUMIF(W25_PG_3_of_3!$A$13:$A$64,A17,W25_PG_3_of_3!$N$13:$N$64)</f>
        <v>0.23</v>
      </c>
      <c r="C17" s="128">
        <f>SUMIF(W25_PG_2_of_3!$P$7:$P$11,A17,W25_PG_2_of_3!$M$7:$M$11)+SUMIF(W25_PG_3_of_3!$A$13:$A$64,A17,W25_PG_3_of_3!$M$13:$M$64)</f>
        <v>0</v>
      </c>
      <c r="D17" s="127"/>
    </row>
    <row r="18" spans="1:4" ht="15" customHeight="1">
      <c r="A18" s="149">
        <v>566</v>
      </c>
      <c r="B18" s="128">
        <f>SUMIF(W25_PG_2_of_3!$P$7:$P$11,A18,W25_PG_2_of_3!$N$7:$N$11)+SUMIF(W25_PG_3_of_3!$A$13:$A$64,A18,W25_PG_3_of_3!$N$13:$N$64)</f>
        <v>0</v>
      </c>
      <c r="C18" s="128">
        <f>SUMIF(W25_PG_2_of_3!$P$7:$P$11,A18,W25_PG_2_of_3!$M$7:$M$11)+SUMIF(W25_PG_3_of_3!$A$13:$A$64,A18,W25_PG_3_of_3!$M$13:$M$64)</f>
        <v>0</v>
      </c>
      <c r="D18" s="127"/>
    </row>
    <row r="19" spans="1:4" ht="15" customHeight="1">
      <c r="A19" s="149">
        <v>571</v>
      </c>
      <c r="B19" s="128">
        <f>SUMIF(W25_PG_2_of_3!$P$7:$P$11,A19,W25_PG_2_of_3!$N$7:$N$11)+SUMIF(W25_PG_3_of_3!$A$13:$A$64,A19,W25_PG_3_of_3!$N$13:$N$64)</f>
        <v>87.77</v>
      </c>
      <c r="C19" s="128">
        <f>SUMIF(W25_PG_2_of_3!$P$7:$P$11,A19,W25_PG_2_of_3!$M$7:$M$11)+SUMIF(W25_PG_3_of_3!$A$13:$A$64,A19,W25_PG_3_of_3!$M$13:$M$64)</f>
        <v>0</v>
      </c>
      <c r="D19" s="127"/>
    </row>
    <row r="20" spans="1:4" ht="15" customHeight="1">
      <c r="A20" s="149">
        <v>580</v>
      </c>
      <c r="B20" s="128">
        <f>SUMIF(W25_PG_2_of_3!$P$7:$P$11,A20,W25_PG_2_of_3!$N$7:$N$11)+SUMIF(W25_PG_3_of_3!$A$13:$A$64,A20,W25_PG_3_of_3!$N$13:$N$64)</f>
        <v>556.52</v>
      </c>
      <c r="C20" s="128">
        <f>SUMIF(W25_PG_2_of_3!$P$7:$P$11,A20,W25_PG_2_of_3!$M$7:$M$11)+SUMIF(W25_PG_3_of_3!$A$13:$A$64,A20,W25_PG_3_of_3!$M$13:$M$64)</f>
        <v>59.16</v>
      </c>
      <c r="D20" s="127"/>
    </row>
    <row r="21" spans="1:4" ht="15" customHeight="1">
      <c r="A21" s="149">
        <v>583</v>
      </c>
      <c r="B21" s="128">
        <f>SUMIF(W25_PG_2_of_3!$P$7:$P$11,A21,W25_PG_2_of_3!$N$7:$N$11)+SUMIF(W25_PG_3_of_3!$A$13:$A$64,A21,W25_PG_3_of_3!$N$13:$N$64)</f>
        <v>5579.3700000000008</v>
      </c>
      <c r="C21" s="128">
        <f>SUMIF(W25_PG_2_of_3!$P$7:$P$11,A21,W25_PG_2_of_3!$M$7:$M$11)+SUMIF(W25_PG_3_of_3!$A$13:$A$64,A21,W25_PG_3_of_3!$M$13:$M$64)</f>
        <v>850.5</v>
      </c>
      <c r="D21" s="127"/>
    </row>
    <row r="22" spans="1:4" ht="15" customHeight="1">
      <c r="A22" s="149">
        <v>584</v>
      </c>
      <c r="B22" s="128">
        <f>SUMIF(W25_PG_2_of_3!$P$7:$P$11,A22,W25_PG_2_of_3!$N$7:$N$11)+SUMIF(W25_PG_3_of_3!$A$13:$A$64,A22,W25_PG_3_of_3!$N$13:$N$64)</f>
        <v>3.35</v>
      </c>
      <c r="C22" s="128">
        <f>SUMIF(W25_PG_2_of_3!$P$7:$P$11,A22,W25_PG_2_of_3!$M$7:$M$11)+SUMIF(W25_PG_3_of_3!$A$13:$A$64,A22,W25_PG_3_of_3!$M$13:$M$64)</f>
        <v>0</v>
      </c>
      <c r="D22" s="127"/>
    </row>
    <row r="23" spans="1:4" ht="15" customHeight="1">
      <c r="A23" s="149">
        <v>585</v>
      </c>
      <c r="B23" s="128">
        <f>SUMIF(W25_PG_2_of_3!$P$7:$P$11,A23,W25_PG_2_of_3!$N$7:$N$11)+SUMIF(W25_PG_3_of_3!$A$13:$A$64,A23,W25_PG_3_of_3!$N$13:$N$64)</f>
        <v>33.540000000000006</v>
      </c>
      <c r="C23" s="128">
        <f>SUMIF(W25_PG_2_of_3!$P$7:$P$11,A23,W25_PG_2_of_3!$M$7:$M$11)+SUMIF(W25_PG_3_of_3!$A$13:$A$64,A23,W25_PG_3_of_3!$M$13:$M$64)</f>
        <v>7.5</v>
      </c>
      <c r="D23" s="127"/>
    </row>
    <row r="24" spans="1:4" ht="15" customHeight="1">
      <c r="A24" s="149">
        <v>586</v>
      </c>
      <c r="B24" s="128">
        <f>SUMIF(W25_PG_2_of_3!$P$7:$P$11,A24,W25_PG_2_of_3!$N$7:$N$11)+SUMIF(W25_PG_3_of_3!$A$13:$A$64,A24,W25_PG_3_of_3!$N$13:$N$64)</f>
        <v>11980.5</v>
      </c>
      <c r="C24" s="128">
        <f>SUMIF(W25_PG_2_of_3!$P$7:$P$11,A24,W25_PG_2_of_3!$M$7:$M$11)+SUMIF(W25_PG_3_of_3!$A$13:$A$64,A24,W25_PG_3_of_3!$M$13:$M$64)</f>
        <v>1610.84</v>
      </c>
      <c r="D24" s="127"/>
    </row>
    <row r="25" spans="1:4" ht="15" customHeight="1">
      <c r="A25" s="149">
        <v>587</v>
      </c>
      <c r="B25" s="128">
        <f>SUMIF(W25_PG_2_of_3!$P$7:$P$11,A25,W25_PG_2_of_3!$N$7:$N$11)+SUMIF(W25_PG_3_of_3!$A$13:$A$64,A25,W25_PG_3_of_3!$N$13:$N$64)</f>
        <v>706.12</v>
      </c>
      <c r="C25" s="128">
        <f>SUMIF(W25_PG_2_of_3!$P$7:$P$11,A25,W25_PG_2_of_3!$M$7:$M$11)+SUMIF(W25_PG_3_of_3!$A$13:$A$64,A25,W25_PG_3_of_3!$M$13:$M$64)</f>
        <v>67.33</v>
      </c>
      <c r="D25" s="127"/>
    </row>
    <row r="26" spans="1:4" ht="15" customHeight="1">
      <c r="A26" s="149">
        <v>588</v>
      </c>
      <c r="B26" s="128">
        <f>SUMIF(W25_PG_2_of_3!$P$7:$P$11,A26,W25_PG_2_of_3!$N$7:$N$11)+SUMIF(W25_PG_3_of_3!$A$13:$A$64,A26,W25_PG_3_of_3!$N$13:$N$64)</f>
        <v>9764.94</v>
      </c>
      <c r="C26" s="128">
        <f>SUMIF(W25_PG_2_of_3!$P$7:$P$11,A26,W25_PG_2_of_3!$M$7:$M$11)+SUMIF(W25_PG_3_of_3!$A$13:$A$64,A26,W25_PG_3_of_3!$M$13:$M$64)</f>
        <v>1862.31</v>
      </c>
      <c r="D26" s="127"/>
    </row>
    <row r="27" spans="1:4" ht="15" customHeight="1">
      <c r="A27" s="149">
        <v>590</v>
      </c>
      <c r="B27" s="128">
        <f>SUMIF(W25_PG_2_of_3!$P$7:$P$11,A27,W25_PG_2_of_3!$N$7:$N$11)+SUMIF(W25_PG_3_of_3!$A$13:$A$64,A27,W25_PG_3_of_3!$N$13:$N$64)</f>
        <v>82.009999999999991</v>
      </c>
      <c r="C27" s="128">
        <f>SUMIF(W25_PG_2_of_3!$P$7:$P$11,A27,W25_PG_2_of_3!$M$7:$M$11)+SUMIF(W25_PG_3_of_3!$A$13:$A$64,A27,W25_PG_3_of_3!$M$13:$M$64)</f>
        <v>10.91</v>
      </c>
      <c r="D27" s="127"/>
    </row>
    <row r="28" spans="1:4" ht="15" customHeight="1">
      <c r="A28" s="149">
        <v>593</v>
      </c>
      <c r="B28" s="128">
        <f>SUMIF(W25_PG_2_of_3!$P$7:$P$11,A28,W25_PG_2_of_3!$N$7:$N$11)+SUMIF(W25_PG_3_of_3!$A$13:$A$64,A28,W25_PG_3_of_3!$N$13:$N$64)</f>
        <v>100432.59</v>
      </c>
      <c r="C28" s="128">
        <f>SUMIF(W25_PG_2_of_3!$P$7:$P$11,A28,W25_PG_2_of_3!$M$7:$M$11)+SUMIF(W25_PG_3_of_3!$A$13:$A$64,A28,W25_PG_3_of_3!$M$13:$M$64)</f>
        <v>14266.960000000001</v>
      </c>
      <c r="D28" s="127"/>
    </row>
    <row r="29" spans="1:4" ht="15" customHeight="1">
      <c r="A29" s="149">
        <v>594</v>
      </c>
      <c r="B29" s="128">
        <f>SUMIF(W25_PG_2_of_3!$P$7:$P$11,A29,W25_PG_2_of_3!$N$7:$N$11)+SUMIF(W25_PG_3_of_3!$A$13:$A$64,A29,W25_PG_3_of_3!$N$13:$N$64)</f>
        <v>109.36000000000001</v>
      </c>
      <c r="C29" s="128">
        <f>SUMIF(W25_PG_2_of_3!$P$7:$P$11,A29,W25_PG_2_of_3!$M$7:$M$11)+SUMIF(W25_PG_3_of_3!$A$13:$A$64,A29,W25_PG_3_of_3!$M$13:$M$64)</f>
        <v>2.34</v>
      </c>
      <c r="D29" s="127"/>
    </row>
    <row r="30" spans="1:4" ht="15" customHeight="1">
      <c r="A30" s="149">
        <v>595</v>
      </c>
      <c r="B30" s="128">
        <f>SUMIF(W25_PG_2_of_3!$P$7:$P$11,A30,W25_PG_2_of_3!$N$7:$N$11)+SUMIF(W25_PG_3_of_3!$A$13:$A$64,A30,W25_PG_3_of_3!$N$13:$N$64)</f>
        <v>25.47</v>
      </c>
      <c r="C30" s="128">
        <f>SUMIF(W25_PG_2_of_3!$P$7:$P$11,A30,W25_PG_2_of_3!$M$7:$M$11)+SUMIF(W25_PG_3_of_3!$A$13:$A$64,A30,W25_PG_3_of_3!$M$13:$M$64)</f>
        <v>0</v>
      </c>
      <c r="D30" s="127"/>
    </row>
    <row r="31" spans="1:4" ht="15" customHeight="1">
      <c r="A31" s="149">
        <v>596</v>
      </c>
      <c r="B31" s="128">
        <f>SUMIF(W25_PG_2_of_3!$P$7:$P$11,A31,W25_PG_2_of_3!$N$7:$N$11)+SUMIF(W25_PG_3_of_3!$A$13:$A$64,A31,W25_PG_3_of_3!$N$13:$N$64)</f>
        <v>13.55</v>
      </c>
      <c r="C31" s="128">
        <f>SUMIF(W25_PG_2_of_3!$P$7:$P$11,A31,W25_PG_2_of_3!$M$7:$M$11)+SUMIF(W25_PG_3_of_3!$A$13:$A$64,A31,W25_PG_3_of_3!$M$13:$M$64)</f>
        <v>0</v>
      </c>
      <c r="D31" s="127"/>
    </row>
    <row r="32" spans="1:4" ht="15" customHeight="1">
      <c r="A32" s="149">
        <v>597</v>
      </c>
      <c r="B32" s="128">
        <f>SUMIF(W25_PG_2_of_3!$P$7:$P$11,A32,W25_PG_2_of_3!$N$7:$N$11)+SUMIF(W25_PG_3_of_3!$A$13:$A$64,A32,W25_PG_3_of_3!$N$13:$N$64)</f>
        <v>380.49000000000007</v>
      </c>
      <c r="C32" s="128">
        <f>SUMIF(W25_PG_2_of_3!$P$7:$P$11,A32,W25_PG_2_of_3!$M$7:$M$11)+SUMIF(W25_PG_3_of_3!$A$13:$A$64,A32,W25_PG_3_of_3!$M$13:$M$64)</f>
        <v>62.93</v>
      </c>
      <c r="D32" s="127"/>
    </row>
    <row r="33" spans="1:4" ht="15" customHeight="1">
      <c r="A33" s="149">
        <v>598</v>
      </c>
      <c r="B33" s="128">
        <f>SUMIF(W25_PG_2_of_3!$P$7:$P$11,A33,W25_PG_2_of_3!$N$7:$N$11)+SUMIF(W25_PG_3_of_3!$A$13:$A$64,A33,W25_PG_3_of_3!$N$13:$N$64)</f>
        <v>2.4900000000000002</v>
      </c>
      <c r="C33" s="128">
        <f>SUMIF(W25_PG_2_of_3!$P$7:$P$11,A33,W25_PG_2_of_3!$M$7:$M$11)+SUMIF(W25_PG_3_of_3!$A$13:$A$64,A33,W25_PG_3_of_3!$M$13:$M$64)</f>
        <v>0</v>
      </c>
      <c r="D33" s="127"/>
    </row>
    <row r="34" spans="1:4" ht="15" customHeight="1">
      <c r="A34" s="149">
        <v>902</v>
      </c>
      <c r="B34" s="128">
        <f>SUMIF(W25_PG_2_of_3!$P$7:$P$11,A34,W25_PG_2_of_3!$N$7:$N$11)+SUMIF(W25_PG_3_of_3!$A$13:$A$64,A34,W25_PG_3_of_3!$N$13:$N$64)</f>
        <v>2016.5</v>
      </c>
      <c r="C34" s="128">
        <f>SUMIF(W25_PG_2_of_3!$P$7:$P$11,A34,W25_PG_2_of_3!$M$7:$M$11)+SUMIF(W25_PG_3_of_3!$A$13:$A$64,A34,W25_PG_3_of_3!$M$13:$M$64)</f>
        <v>611.53000000000009</v>
      </c>
      <c r="D34" s="127"/>
    </row>
    <row r="35" spans="1:4" ht="15" customHeight="1">
      <c r="A35" s="149">
        <v>903</v>
      </c>
      <c r="B35" s="128">
        <f>SUMIF(W25_PG_2_of_3!$P$7:$P$11,A35,W25_PG_2_of_3!$N$7:$N$11)+SUMIF(W25_PG_3_of_3!$A$13:$A$64,A35,W25_PG_3_of_3!$N$13:$N$64)</f>
        <v>3927.6400000000003</v>
      </c>
      <c r="C35" s="128">
        <f>SUMIF(W25_PG_2_of_3!$P$7:$P$11,A35,W25_PG_2_of_3!$M$7:$M$11)+SUMIF(W25_PG_3_of_3!$A$13:$A$64,A35,W25_PG_3_of_3!$M$13:$M$64)</f>
        <v>566.30000000000007</v>
      </c>
      <c r="D35" s="127"/>
    </row>
    <row r="36" spans="1:4" ht="15" customHeight="1">
      <c r="A36" s="149">
        <v>907</v>
      </c>
      <c r="B36" s="128">
        <f>SUMIF(W25_PG_2_of_3!$P$7:$P$11,A36,W25_PG_2_of_3!$N$7:$N$11)+SUMIF(W25_PG_3_of_3!$A$13:$A$64,A36,W25_PG_3_of_3!$N$13:$N$64)</f>
        <v>21.41</v>
      </c>
      <c r="C36" s="128">
        <f>SUMIF(W25_PG_2_of_3!$P$7:$P$11,A36,W25_PG_2_of_3!$M$7:$M$11)+SUMIF(W25_PG_3_of_3!$A$13:$A$64,A36,W25_PG_3_of_3!$M$13:$M$64)</f>
        <v>0</v>
      </c>
      <c r="D36" s="127"/>
    </row>
    <row r="37" spans="1:4" ht="15" customHeight="1">
      <c r="A37" s="149">
        <v>908</v>
      </c>
      <c r="B37" s="128">
        <f>SUMIF(W25_PG_2_of_3!$P$7:$P$11,A37,W25_PG_2_of_3!$N$7:$N$11)+SUMIF(W25_PG_3_of_3!$A$13:$A$64,A37,W25_PG_3_of_3!$N$13:$N$64)</f>
        <v>409.59000000000003</v>
      </c>
      <c r="C37" s="128">
        <f>SUMIF(W25_PG_2_of_3!$P$7:$P$11,A37,W25_PG_2_of_3!$M$7:$M$11)+SUMIF(W25_PG_3_of_3!$A$13:$A$64,A37,W25_PG_3_of_3!$M$13:$M$64)</f>
        <v>40.61</v>
      </c>
      <c r="D37" s="127"/>
    </row>
    <row r="38" spans="1:4" ht="15" customHeight="1">
      <c r="A38" s="149">
        <v>920</v>
      </c>
      <c r="B38" s="128">
        <f>SUMIF(W25_PG_2_of_3!$P$7:$P$11,A38,W25_PG_2_of_3!$N$7:$N$11)+SUMIF(W25_PG_3_of_3!$A$13:$A$64,A38,W25_PG_3_of_3!$N$13:$N$64)</f>
        <v>156.49</v>
      </c>
      <c r="C38" s="128">
        <f>SUMIF(W25_PG_2_of_3!$P$7:$P$11,A38,W25_PG_2_of_3!$M$7:$M$11)+SUMIF(W25_PG_3_of_3!$A$13:$A$64,A38,W25_PG_3_of_3!$M$13:$M$64)</f>
        <v>75.39</v>
      </c>
      <c r="D38" s="127"/>
    </row>
    <row r="39" spans="1:4" ht="15" customHeight="1">
      <c r="A39" s="149">
        <v>921</v>
      </c>
      <c r="B39" s="128">
        <f>SUMIF(W25_PG_2_of_3!$P$7:$P$11,A39,W25_PG_2_of_3!$N$7:$N$11)+SUMIF(W25_PG_3_of_3!$A$13:$A$64,A39,W25_PG_3_of_3!$N$13:$N$64)</f>
        <v>1805.91</v>
      </c>
      <c r="C39" s="128">
        <f>SUMIF(W25_PG_2_of_3!$P$7:$P$11,A39,W25_PG_2_of_3!$M$7:$M$11)+SUMIF(W25_PG_3_of_3!$A$13:$A$64,A39,W25_PG_3_of_3!$M$13:$M$64)</f>
        <v>321.17</v>
      </c>
      <c r="D39" s="127"/>
    </row>
    <row r="40" spans="1:4" ht="15" customHeight="1">
      <c r="A40" s="149">
        <v>928</v>
      </c>
      <c r="B40" s="128">
        <f>SUMIF(W25_PG_2_of_3!$P$7:$P$11,A40,W25_PG_2_of_3!$N$7:$N$11)+SUMIF(W25_PG_3_of_3!$A$13:$A$64,A40,W25_PG_3_of_3!$N$13:$N$64)</f>
        <v>43.93</v>
      </c>
      <c r="C40" s="128">
        <f>SUMIF(W25_PG_2_of_3!$P$7:$P$11,A40,W25_PG_2_of_3!$M$7:$M$11)+SUMIF(W25_PG_3_of_3!$A$13:$A$64,A40,W25_PG_3_of_3!$M$13:$M$64)</f>
        <v>8.81</v>
      </c>
      <c r="D40" s="127"/>
    </row>
    <row r="41" spans="1:4" ht="15" customHeight="1">
      <c r="A41" s="149">
        <v>930</v>
      </c>
      <c r="B41" s="128">
        <f>SUMIF(W25_PG_2_of_3!$P$7:$P$11,A41,W25_PG_2_of_3!$N$7:$N$11)+SUMIF(W25_PG_3_of_3!$A$13:$A$64,A41,W25_PG_3_of_3!$N$13:$N$64)</f>
        <v>210.95000000000002</v>
      </c>
      <c r="C41" s="128">
        <f>SUMIF(W25_PG_2_of_3!$P$7:$P$11,A41,W25_PG_2_of_3!$M$7:$M$11)+SUMIF(W25_PG_3_of_3!$A$13:$A$64,A41,W25_PG_3_of_3!$M$13:$M$64)</f>
        <v>69.849999999999994</v>
      </c>
      <c r="D41" s="127"/>
    </row>
    <row r="42" spans="1:4" ht="15" customHeight="1">
      <c r="A42" s="149">
        <v>931</v>
      </c>
      <c r="B42" s="128">
        <f>SUMIF(W25_PG_2_of_3!$P$7:$P$11,A42,W25_PG_2_of_3!$N$7:$N$11)+SUMIF(W25_PG_3_of_3!$A$13:$A$64,A42,W25_PG_3_of_3!$N$13:$N$64)</f>
        <v>1531.59</v>
      </c>
      <c r="C42" s="128">
        <f>SUMIF(W25_PG_2_of_3!$P$7:$P$11,A42,W25_PG_2_of_3!$M$7:$M$11)+SUMIF(W25_PG_3_of_3!$A$13:$A$64,A42,W25_PG_3_of_3!$M$13:$M$64)</f>
        <v>31.9</v>
      </c>
      <c r="D42" s="150"/>
    </row>
    <row r="43" spans="1:4" ht="15" customHeight="1">
      <c r="A43" s="149">
        <v>935</v>
      </c>
      <c r="B43" s="128">
        <f>SUMIF(W25_PG_2_of_3!$P$7:$P$11,A43,W25_PG_2_of_3!$N$7:$N$11)+SUMIF(W25_PG_3_of_3!$A$13:$A$64,A43,W25_PG_3_of_3!$N$13:$N$64)</f>
        <v>42443.549999999996</v>
      </c>
      <c r="C43" s="128">
        <f>SUMIF(W25_PG_2_of_3!$P$7:$P$11,A43,W25_PG_2_of_3!$M$7:$M$11)+SUMIF(W25_PG_3_of_3!$A$13:$A$64,A43,W25_PG_3_of_3!$M$13:$M$64)</f>
        <v>3687.65</v>
      </c>
      <c r="D43" s="127"/>
    </row>
    <row r="44" spans="1:4" ht="15" customHeight="1">
      <c r="A44" s="17"/>
      <c r="B44" s="7"/>
      <c r="C44" s="7"/>
    </row>
    <row r="45" spans="1:4" ht="15" customHeight="1" thickBot="1">
      <c r="B45" s="145">
        <f>SUM(B7:B44)</f>
        <v>187210.70999999996</v>
      </c>
      <c r="C45" s="145">
        <f>SUM(C7:C44)</f>
        <v>25346.13</v>
      </c>
    </row>
    <row r="46" spans="1:4" ht="15" customHeight="1" thickTop="1">
      <c r="B46" s="22"/>
      <c r="C46" s="22"/>
    </row>
    <row r="47" spans="1:4" ht="15" customHeight="1">
      <c r="B47" s="113" t="s">
        <v>313</v>
      </c>
    </row>
    <row r="48" spans="1:4" ht="15" customHeight="1">
      <c r="A48" s="3" t="s">
        <v>312</v>
      </c>
      <c r="B48" s="148">
        <f>W25_PG_2_of_3!N12</f>
        <v>35428.94999999999</v>
      </c>
    </row>
    <row r="49" spans="1:4" ht="15" customHeight="1">
      <c r="A49" s="3" t="s">
        <v>311</v>
      </c>
      <c r="B49" s="147">
        <f>W25_PG_3_of_3!N69</f>
        <v>151781.75999999995</v>
      </c>
    </row>
    <row r="50" spans="1:4" ht="15" customHeight="1" thickBot="1">
      <c r="A50" s="146" t="s">
        <v>310</v>
      </c>
      <c r="B50" s="145">
        <f>B48+B49</f>
        <v>187210.70999999993</v>
      </c>
      <c r="D50" s="144">
        <f>B45-B50</f>
        <v>0</v>
      </c>
    </row>
    <row r="51" spans="1:4" ht="15" customHeight="1" thickTop="1">
      <c r="B51" s="22"/>
    </row>
    <row r="52" spans="1:4" ht="15" customHeight="1">
      <c r="A52" s="3" t="s">
        <v>53</v>
      </c>
      <c r="B52" s="671" t="s">
        <v>54</v>
      </c>
      <c r="C52" s="670"/>
      <c r="D52" s="670"/>
    </row>
  </sheetData>
  <mergeCells count="5">
    <mergeCell ref="A1:E1"/>
    <mergeCell ref="A2:E2"/>
    <mergeCell ref="A3:E3"/>
    <mergeCell ref="A4:E4"/>
    <mergeCell ref="B52:D5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1B899-A9FC-46E8-B904-4088BB106B37}">
  <dimension ref="A1:P17"/>
  <sheetViews>
    <sheetView showRuler="0" workbookViewId="0">
      <selection sqref="A1:E1"/>
    </sheetView>
  </sheetViews>
  <sheetFormatPr defaultColWidth="13.7265625" defaultRowHeight="12.5"/>
  <cols>
    <col min="1" max="1" width="15.1796875" style="2" customWidth="1"/>
    <col min="2" max="14" width="12" style="2" customWidth="1"/>
    <col min="15" max="15" width="3.1796875" style="2" customWidth="1"/>
    <col min="16" max="16" width="14.1796875" style="2" customWidth="1"/>
    <col min="17" max="16384" width="13.7265625" style="2"/>
  </cols>
  <sheetData>
    <row r="1" spans="1:16" ht="15" customHeight="1">
      <c r="A1" s="671" t="s">
        <v>51</v>
      </c>
      <c r="B1" s="670"/>
      <c r="C1" s="670"/>
      <c r="D1" s="670"/>
      <c r="E1" s="670"/>
    </row>
    <row r="2" spans="1:16" ht="15" customHeight="1">
      <c r="A2" s="671" t="s">
        <v>317</v>
      </c>
      <c r="B2" s="670"/>
      <c r="C2" s="670"/>
      <c r="D2" s="670"/>
      <c r="E2" s="670"/>
    </row>
    <row r="3" spans="1:16" ht="15" customHeight="1">
      <c r="A3" s="671" t="s">
        <v>318</v>
      </c>
      <c r="B3" s="670"/>
      <c r="C3" s="670"/>
      <c r="D3" s="670"/>
      <c r="E3" s="670"/>
    </row>
    <row r="4" spans="1:16" ht="15" customHeight="1">
      <c r="A4" s="671" t="s">
        <v>83</v>
      </c>
      <c r="B4" s="670"/>
      <c r="C4" s="670"/>
      <c r="D4" s="670"/>
      <c r="E4" s="670"/>
    </row>
    <row r="5" spans="1:16" ht="15" customHeight="1"/>
    <row r="6" spans="1:16" ht="15" customHeight="1">
      <c r="A6" s="154" t="s">
        <v>95</v>
      </c>
      <c r="B6" s="155">
        <v>45444</v>
      </c>
      <c r="C6" s="155">
        <v>45474</v>
      </c>
      <c r="D6" s="155">
        <v>45505</v>
      </c>
      <c r="E6" s="155">
        <v>45536</v>
      </c>
      <c r="F6" s="155">
        <v>45566</v>
      </c>
      <c r="G6" s="155">
        <v>45597</v>
      </c>
      <c r="H6" s="155">
        <v>45627</v>
      </c>
      <c r="I6" s="155">
        <v>45658</v>
      </c>
      <c r="J6" s="155">
        <v>45689</v>
      </c>
      <c r="K6" s="155">
        <v>45717</v>
      </c>
      <c r="L6" s="155">
        <v>45748</v>
      </c>
      <c r="M6" s="155">
        <v>45778</v>
      </c>
      <c r="N6" s="154" t="s">
        <v>244</v>
      </c>
      <c r="O6" s="18"/>
      <c r="P6" s="13" t="s">
        <v>56</v>
      </c>
    </row>
    <row r="7" spans="1:16" ht="15" customHeight="1">
      <c r="A7" s="153">
        <v>5060000</v>
      </c>
      <c r="B7" s="17"/>
      <c r="C7" s="17"/>
      <c r="D7" s="17"/>
      <c r="E7" s="17"/>
      <c r="F7" s="17"/>
      <c r="G7" s="17"/>
      <c r="H7" s="17"/>
      <c r="I7" s="17"/>
      <c r="J7" s="17"/>
      <c r="K7" s="17"/>
      <c r="L7" s="17"/>
      <c r="M7" s="17"/>
      <c r="N7" s="15">
        <f>SUM(B7:M7)</f>
        <v>0</v>
      </c>
      <c r="P7" s="108" t="str">
        <f>LEFT(A7,3)</f>
        <v>506</v>
      </c>
    </row>
    <row r="8" spans="1:16" ht="15" customHeight="1">
      <c r="A8" s="20">
        <v>5660000</v>
      </c>
      <c r="B8" s="13"/>
      <c r="C8" s="13"/>
      <c r="D8" s="13"/>
      <c r="N8" s="11">
        <f>SUM(B8:M8)</f>
        <v>0</v>
      </c>
      <c r="P8" s="108" t="str">
        <f>LEFT(A8,3)</f>
        <v>566</v>
      </c>
    </row>
    <row r="9" spans="1:16" ht="15" customHeight="1">
      <c r="A9" s="20">
        <v>5880000</v>
      </c>
      <c r="B9" s="13"/>
      <c r="C9" s="13"/>
      <c r="D9" s="13"/>
      <c r="N9" s="11">
        <f>SUM(B9:M9)</f>
        <v>0</v>
      </c>
      <c r="P9" s="108" t="str">
        <f>LEFT(A9,3)</f>
        <v>588</v>
      </c>
    </row>
    <row r="10" spans="1:16" ht="15" customHeight="1">
      <c r="A10" s="20">
        <v>9310002</v>
      </c>
      <c r="B10" s="13"/>
      <c r="C10" s="13"/>
      <c r="D10" s="13"/>
      <c r="E10" s="13"/>
      <c r="F10" s="13"/>
      <c r="G10" s="13"/>
      <c r="K10" s="11">
        <v>1491.34</v>
      </c>
      <c r="L10" s="11">
        <v>8.35</v>
      </c>
      <c r="M10" s="11">
        <v>31.9</v>
      </c>
      <c r="N10" s="11">
        <f>SUM(B10:M10)</f>
        <v>1531.59</v>
      </c>
      <c r="P10" s="108" t="str">
        <f>LEFT(A10,3)</f>
        <v>931</v>
      </c>
    </row>
    <row r="11" spans="1:16" ht="15" customHeight="1">
      <c r="A11" s="20">
        <v>9350013</v>
      </c>
      <c r="B11" s="115">
        <v>2824.78</v>
      </c>
      <c r="C11" s="115">
        <v>2824.78</v>
      </c>
      <c r="D11" s="115">
        <v>2824.78</v>
      </c>
      <c r="E11" s="115">
        <v>2824.78</v>
      </c>
      <c r="F11" s="115">
        <v>2824.78</v>
      </c>
      <c r="G11" s="115">
        <v>2824.78</v>
      </c>
      <c r="H11" s="115">
        <v>2824.78</v>
      </c>
      <c r="I11" s="115">
        <v>2824.78</v>
      </c>
      <c r="J11" s="115">
        <v>2824.78</v>
      </c>
      <c r="K11" s="115">
        <v>2824.78</v>
      </c>
      <c r="L11" s="115">
        <v>2824.78</v>
      </c>
      <c r="M11" s="115">
        <v>2824.78</v>
      </c>
      <c r="N11" s="115">
        <f>SUM(B11:M11)</f>
        <v>33897.359999999993</v>
      </c>
      <c r="P11" s="108" t="str">
        <f>LEFT(A11,3)</f>
        <v>935</v>
      </c>
    </row>
    <row r="12" spans="1:16" ht="15" customHeight="1" thickBot="1">
      <c r="A12" s="107" t="s">
        <v>244</v>
      </c>
      <c r="B12" s="152">
        <f t="shared" ref="B12:N12" si="0">SUM(B7:B11)</f>
        <v>2824.78</v>
      </c>
      <c r="C12" s="152">
        <f t="shared" si="0"/>
        <v>2824.78</v>
      </c>
      <c r="D12" s="152">
        <f t="shared" si="0"/>
        <v>2824.78</v>
      </c>
      <c r="E12" s="152">
        <f t="shared" si="0"/>
        <v>2824.78</v>
      </c>
      <c r="F12" s="152">
        <f t="shared" si="0"/>
        <v>2824.78</v>
      </c>
      <c r="G12" s="152">
        <f t="shared" si="0"/>
        <v>2824.78</v>
      </c>
      <c r="H12" s="152">
        <f t="shared" si="0"/>
        <v>2824.78</v>
      </c>
      <c r="I12" s="152">
        <f t="shared" si="0"/>
        <v>2824.78</v>
      </c>
      <c r="J12" s="152">
        <f t="shared" si="0"/>
        <v>2824.78</v>
      </c>
      <c r="K12" s="152">
        <f t="shared" si="0"/>
        <v>4316.12</v>
      </c>
      <c r="L12" s="152">
        <f t="shared" si="0"/>
        <v>2833.13</v>
      </c>
      <c r="M12" s="152">
        <f t="shared" si="0"/>
        <v>2856.6800000000003</v>
      </c>
      <c r="N12" s="152">
        <f t="shared" si="0"/>
        <v>35428.94999999999</v>
      </c>
    </row>
    <row r="13" spans="1:16" ht="15" customHeight="1" thickTop="1">
      <c r="B13" s="22"/>
      <c r="C13" s="22"/>
      <c r="D13" s="22"/>
      <c r="E13" s="22"/>
      <c r="F13" s="22"/>
      <c r="G13" s="22"/>
      <c r="H13" s="22"/>
      <c r="I13" s="22"/>
      <c r="J13" s="22"/>
      <c r="K13" s="22"/>
      <c r="L13" s="22"/>
      <c r="M13" s="22"/>
      <c r="N13" s="22"/>
    </row>
    <row r="14" spans="1:16" ht="15" customHeight="1"/>
    <row r="15" spans="1:16" ht="15" customHeight="1"/>
    <row r="16" spans="1:16" ht="15" customHeight="1">
      <c r="A16" s="3" t="s">
        <v>53</v>
      </c>
      <c r="B16" s="671" t="s">
        <v>54</v>
      </c>
      <c r="C16" s="670"/>
      <c r="D16" s="670"/>
    </row>
    <row r="17" s="2" customFormat="1" ht="15" customHeight="1"/>
  </sheetData>
  <mergeCells count="5">
    <mergeCell ref="A1:E1"/>
    <mergeCell ref="A2:E2"/>
    <mergeCell ref="A3:E3"/>
    <mergeCell ref="A4:E4"/>
    <mergeCell ref="B16:D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17F9D-6A0E-44F5-8D76-B9EB9287D66F}">
  <dimension ref="A1:O73"/>
  <sheetViews>
    <sheetView showRuler="0" workbookViewId="0">
      <selection activeCell="M69" sqref="M69"/>
    </sheetView>
  </sheetViews>
  <sheetFormatPr defaultColWidth="13.7265625" defaultRowHeight="12.5"/>
  <cols>
    <col min="1" max="1" width="19.81640625" style="2" customWidth="1"/>
    <col min="2" max="2" width="15.453125" style="2" customWidth="1"/>
    <col min="3" max="3" width="13.7265625" style="2"/>
    <col min="4" max="5" width="13.7265625" style="2" customWidth="1"/>
    <col min="6" max="7" width="13.7265625" style="2"/>
    <col min="8" max="9" width="13.7265625" style="2" customWidth="1"/>
    <col min="10" max="10" width="14.81640625" style="2" customWidth="1"/>
    <col min="11" max="13" width="13.7265625" style="2" customWidth="1"/>
    <col min="14" max="14" width="16" style="2" customWidth="1"/>
    <col min="15" max="16384" width="13.7265625" style="2"/>
  </cols>
  <sheetData>
    <row r="1" spans="1:15" ht="15" customHeight="1">
      <c r="A1" s="695" t="s">
        <v>51</v>
      </c>
      <c r="B1" s="670"/>
      <c r="C1" s="670"/>
      <c r="D1" s="670"/>
      <c r="E1" s="670"/>
    </row>
    <row r="2" spans="1:15" ht="15" customHeight="1">
      <c r="A2" s="695" t="s">
        <v>317</v>
      </c>
      <c r="B2" s="670"/>
      <c r="C2" s="670"/>
      <c r="D2" s="670"/>
      <c r="E2" s="670"/>
    </row>
    <row r="3" spans="1:15" ht="15" customHeight="1">
      <c r="A3" s="695" t="s">
        <v>323</v>
      </c>
      <c r="B3" s="670"/>
      <c r="C3" s="670"/>
      <c r="D3" s="670"/>
      <c r="E3" s="670"/>
    </row>
    <row r="4" spans="1:15" ht="15" customHeight="1">
      <c r="A4" s="695" t="s">
        <v>83</v>
      </c>
      <c r="B4" s="670"/>
      <c r="C4" s="670"/>
      <c r="D4" s="670"/>
      <c r="E4" s="670"/>
    </row>
    <row r="5" spans="1:15" ht="15" customHeight="1"/>
    <row r="6" spans="1:15" ht="15" customHeight="1">
      <c r="B6" s="160">
        <v>45444</v>
      </c>
      <c r="C6" s="160">
        <v>45474</v>
      </c>
      <c r="D6" s="160">
        <v>45505</v>
      </c>
      <c r="E6" s="160">
        <v>45536</v>
      </c>
      <c r="F6" s="160">
        <v>45566</v>
      </c>
      <c r="G6" s="160">
        <v>45597</v>
      </c>
      <c r="H6" s="160">
        <v>45627</v>
      </c>
      <c r="I6" s="160">
        <v>45658</v>
      </c>
      <c r="J6" s="160">
        <v>45689</v>
      </c>
      <c r="K6" s="160">
        <v>45717</v>
      </c>
      <c r="L6" s="160">
        <v>45748</v>
      </c>
      <c r="M6" s="160">
        <v>45778</v>
      </c>
      <c r="N6" s="27" t="s">
        <v>88</v>
      </c>
      <c r="O6" s="18"/>
    </row>
    <row r="7" spans="1:15" ht="15" customHeight="1">
      <c r="A7" s="159" t="s">
        <v>322</v>
      </c>
      <c r="B7" s="123">
        <v>-19999.2</v>
      </c>
      <c r="C7" s="123">
        <v>-20352.86</v>
      </c>
      <c r="D7" s="123">
        <v>-20415.669999999998</v>
      </c>
      <c r="E7" s="123">
        <v>-22972.31</v>
      </c>
      <c r="F7" s="123">
        <v>-23613.45</v>
      </c>
      <c r="G7" s="123">
        <v>-23723.48</v>
      </c>
      <c r="H7" s="123">
        <v>-25887.47</v>
      </c>
      <c r="I7" s="123">
        <v>-25815.62</v>
      </c>
      <c r="J7" s="123">
        <v>-31264.18</v>
      </c>
      <c r="K7" s="123">
        <v>-39097.620000000003</v>
      </c>
      <c r="L7" s="123">
        <v>-40687.93</v>
      </c>
      <c r="M7" s="123">
        <v>-44953.81</v>
      </c>
      <c r="N7" s="123">
        <v>-559327.67000000004</v>
      </c>
      <c r="O7" s="18"/>
    </row>
    <row r="8" spans="1:15" ht="15" customHeight="1">
      <c r="A8" s="158"/>
      <c r="B8" s="4"/>
      <c r="C8" s="158"/>
      <c r="D8" s="158"/>
      <c r="E8" s="158"/>
      <c r="F8" s="158"/>
      <c r="G8" s="158"/>
      <c r="H8" s="158"/>
      <c r="I8" s="158"/>
      <c r="J8" s="158"/>
      <c r="K8" s="158"/>
      <c r="L8" s="158"/>
      <c r="M8" s="158"/>
      <c r="N8" s="158"/>
    </row>
    <row r="9" spans="1:15" ht="15" customHeight="1"/>
    <row r="10" spans="1:15" ht="15" customHeight="1">
      <c r="B10" s="696" t="s">
        <v>321</v>
      </c>
      <c r="C10" s="696"/>
      <c r="D10" s="696"/>
      <c r="E10" s="696"/>
      <c r="F10" s="696"/>
      <c r="G10" s="696"/>
      <c r="H10" s="696"/>
      <c r="I10" s="696"/>
      <c r="J10" s="696"/>
      <c r="K10" s="696"/>
      <c r="L10" s="696"/>
      <c r="M10" s="696"/>
      <c r="N10" s="696"/>
      <c r="O10" s="18"/>
    </row>
    <row r="11" spans="1:15" ht="15" customHeight="1">
      <c r="B11" s="7"/>
      <c r="C11" s="7"/>
      <c r="D11" s="7"/>
      <c r="E11" s="7"/>
      <c r="F11" s="7"/>
      <c r="G11" s="7"/>
      <c r="H11" s="7"/>
      <c r="I11" s="7"/>
      <c r="J11" s="7"/>
      <c r="K11" s="7"/>
      <c r="L11" s="7"/>
      <c r="M11" s="7"/>
      <c r="N11" s="7"/>
    </row>
    <row r="12" spans="1:15" ht="15" customHeight="1">
      <c r="A12" s="27" t="s">
        <v>56</v>
      </c>
      <c r="B12" s="157">
        <v>45444</v>
      </c>
      <c r="C12" s="157">
        <v>45474</v>
      </c>
      <c r="D12" s="157">
        <v>45505</v>
      </c>
      <c r="E12" s="157">
        <v>45536</v>
      </c>
      <c r="F12" s="157">
        <v>45566</v>
      </c>
      <c r="G12" s="157">
        <v>45597</v>
      </c>
      <c r="H12" s="157">
        <v>45627</v>
      </c>
      <c r="I12" s="157">
        <v>45658</v>
      </c>
      <c r="J12" s="157">
        <v>45689</v>
      </c>
      <c r="K12" s="157">
        <v>45717</v>
      </c>
      <c r="L12" s="157">
        <v>45748</v>
      </c>
      <c r="M12" s="157">
        <v>45778</v>
      </c>
      <c r="N12" s="27" t="s">
        <v>88</v>
      </c>
      <c r="O12" s="18"/>
    </row>
    <row r="13" spans="1:15" ht="15" customHeight="1">
      <c r="A13" s="156">
        <v>107</v>
      </c>
      <c r="B13" s="14">
        <v>490.94</v>
      </c>
      <c r="C13" s="14">
        <v>87.73</v>
      </c>
      <c r="D13" s="14">
        <v>70.09</v>
      </c>
      <c r="E13" s="14">
        <v>371.09</v>
      </c>
      <c r="F13" s="14">
        <v>152.34</v>
      </c>
      <c r="G13" s="14">
        <v>568.54999999999995</v>
      </c>
      <c r="H13" s="14">
        <v>772.99</v>
      </c>
      <c r="I13" s="14">
        <v>214.19</v>
      </c>
      <c r="J13" s="14">
        <v>251.19</v>
      </c>
      <c r="K13" s="14">
        <v>314.06</v>
      </c>
      <c r="L13" s="14">
        <v>330.5</v>
      </c>
      <c r="M13" s="14">
        <v>977.19</v>
      </c>
      <c r="N13" s="14">
        <f t="shared" ref="N13:N44" si="0">SUM(B13:M13)</f>
        <v>4600.8599999999997</v>
      </c>
    </row>
    <row r="14" spans="1:15" ht="15" customHeight="1">
      <c r="A14" s="108">
        <v>107</v>
      </c>
      <c r="B14" s="10">
        <v>7443.98</v>
      </c>
      <c r="C14" s="10">
        <v>7950.16</v>
      </c>
      <c r="D14" s="10">
        <v>8320.98</v>
      </c>
      <c r="E14" s="10">
        <v>8927.89</v>
      </c>
      <c r="F14" s="10">
        <v>7073.95</v>
      </c>
      <c r="G14" s="10">
        <v>10858.21</v>
      </c>
      <c r="H14" s="10">
        <v>12116.81</v>
      </c>
      <c r="I14" s="10">
        <v>9087.91</v>
      </c>
      <c r="J14" s="10">
        <v>16488.66</v>
      </c>
      <c r="K14" s="10">
        <v>14467.37</v>
      </c>
      <c r="L14" s="10">
        <v>17057.060000000001</v>
      </c>
      <c r="M14" s="10">
        <v>17594.5</v>
      </c>
      <c r="N14" s="10">
        <f t="shared" si="0"/>
        <v>137387.47999999998</v>
      </c>
    </row>
    <row r="15" spans="1:15" ht="15" customHeight="1">
      <c r="A15" s="108">
        <v>108</v>
      </c>
      <c r="B15" s="10">
        <v>23.58</v>
      </c>
      <c r="C15" s="10">
        <v>0</v>
      </c>
      <c r="D15" s="10">
        <v>0</v>
      </c>
      <c r="E15" s="10">
        <v>41.39</v>
      </c>
      <c r="F15" s="10">
        <v>19.670000000000002</v>
      </c>
      <c r="G15" s="10">
        <v>0</v>
      </c>
      <c r="H15" s="10">
        <v>1.61</v>
      </c>
      <c r="I15" s="10">
        <v>0</v>
      </c>
      <c r="J15" s="10">
        <v>0</v>
      </c>
      <c r="K15" s="10">
        <v>0</v>
      </c>
      <c r="L15" s="10">
        <v>0</v>
      </c>
      <c r="M15" s="10">
        <v>8.76</v>
      </c>
      <c r="N15" s="10">
        <f t="shared" si="0"/>
        <v>95.01</v>
      </c>
    </row>
    <row r="16" spans="1:15" ht="15" customHeight="1">
      <c r="A16" s="108">
        <v>108</v>
      </c>
      <c r="B16" s="10">
        <v>1156.46</v>
      </c>
      <c r="C16" s="10">
        <v>2053.4499999999998</v>
      </c>
      <c r="D16" s="10">
        <v>1100.43</v>
      </c>
      <c r="E16" s="10">
        <v>1283.54</v>
      </c>
      <c r="F16" s="10">
        <v>1011.24</v>
      </c>
      <c r="G16" s="10">
        <v>1357.66</v>
      </c>
      <c r="H16" s="10">
        <v>1780.14</v>
      </c>
      <c r="I16" s="10">
        <v>1214.68</v>
      </c>
      <c r="J16" s="10">
        <v>2529.0700000000002</v>
      </c>
      <c r="K16" s="10">
        <v>2234.21</v>
      </c>
      <c r="L16" s="10">
        <v>2505.7199999999998</v>
      </c>
      <c r="M16" s="10">
        <v>2494.87</v>
      </c>
      <c r="N16" s="10">
        <f t="shared" si="0"/>
        <v>20721.47</v>
      </c>
    </row>
    <row r="17" spans="1:14" ht="15" customHeight="1">
      <c r="A17" s="108">
        <v>163</v>
      </c>
      <c r="B17" s="10">
        <v>739.36</v>
      </c>
      <c r="C17" s="10">
        <v>797.36</v>
      </c>
      <c r="D17" s="10">
        <v>553.92999999999995</v>
      </c>
      <c r="E17" s="10">
        <v>391.01</v>
      </c>
      <c r="F17" s="10">
        <v>580.14</v>
      </c>
      <c r="G17" s="10">
        <v>412.85</v>
      </c>
      <c r="H17" s="10">
        <v>409.44</v>
      </c>
      <c r="I17" s="10">
        <v>1160.17</v>
      </c>
      <c r="J17" s="10">
        <v>637.54999999999995</v>
      </c>
      <c r="K17" s="10">
        <v>1295.3900000000001</v>
      </c>
      <c r="L17" s="10">
        <v>1172.3499999999999</v>
      </c>
      <c r="M17" s="10">
        <v>1262.33</v>
      </c>
      <c r="N17" s="10">
        <f t="shared" si="0"/>
        <v>9411.880000000001</v>
      </c>
    </row>
    <row r="18" spans="1:14" ht="15" customHeight="1">
      <c r="A18" s="108">
        <v>163</v>
      </c>
      <c r="B18" s="10">
        <v>4.9400000000000004</v>
      </c>
      <c r="C18" s="10">
        <v>9.89</v>
      </c>
      <c r="D18" s="10">
        <v>-4.58</v>
      </c>
      <c r="E18" s="10">
        <v>3.78</v>
      </c>
      <c r="F18" s="10">
        <v>3.43</v>
      </c>
      <c r="G18" s="10">
        <v>4.91</v>
      </c>
      <c r="H18" s="10">
        <v>50.08</v>
      </c>
      <c r="I18" s="10">
        <v>3.65</v>
      </c>
      <c r="J18" s="10">
        <v>6.64</v>
      </c>
      <c r="K18" s="10">
        <v>76.5</v>
      </c>
      <c r="L18" s="10">
        <v>7.04</v>
      </c>
      <c r="M18" s="10">
        <v>4.8899999999999997</v>
      </c>
      <c r="N18" s="10">
        <f t="shared" si="0"/>
        <v>171.17</v>
      </c>
    </row>
    <row r="19" spans="1:14" ht="15" customHeight="1">
      <c r="A19" s="108">
        <v>163</v>
      </c>
      <c r="B19" s="10">
        <v>17.96</v>
      </c>
      <c r="C19" s="10">
        <v>93.37</v>
      </c>
      <c r="D19" s="10">
        <v>37.32</v>
      </c>
      <c r="E19" s="10">
        <v>18.57</v>
      </c>
      <c r="F19" s="10">
        <v>44.73</v>
      </c>
      <c r="G19" s="10">
        <v>17.28</v>
      </c>
      <c r="H19" s="10">
        <v>46.62</v>
      </c>
      <c r="I19" s="10">
        <v>113.59</v>
      </c>
      <c r="J19" s="10">
        <v>14.26</v>
      </c>
      <c r="K19" s="10">
        <v>260.61</v>
      </c>
      <c r="L19" s="10">
        <v>197.75</v>
      </c>
      <c r="M19" s="10">
        <v>53.31</v>
      </c>
      <c r="N19" s="10">
        <f t="shared" si="0"/>
        <v>915.36999999999989</v>
      </c>
    </row>
    <row r="20" spans="1:14" ht="15" customHeight="1">
      <c r="A20" s="108">
        <v>184</v>
      </c>
      <c r="B20" s="10">
        <v>35.07</v>
      </c>
      <c r="C20" s="10">
        <v>132.69999999999999</v>
      </c>
      <c r="D20" s="10">
        <v>2.93</v>
      </c>
      <c r="E20" s="10">
        <v>8.51</v>
      </c>
      <c r="F20" s="10">
        <v>1.45</v>
      </c>
      <c r="G20" s="10">
        <v>1.18</v>
      </c>
      <c r="H20" s="10">
        <v>0</v>
      </c>
      <c r="I20" s="10">
        <v>1.08</v>
      </c>
      <c r="J20" s="10">
        <v>0.53</v>
      </c>
      <c r="K20" s="10">
        <v>1.26</v>
      </c>
      <c r="L20" s="10">
        <v>0</v>
      </c>
      <c r="M20" s="10">
        <v>12.54</v>
      </c>
      <c r="N20" s="10">
        <f t="shared" si="0"/>
        <v>197.24999999999997</v>
      </c>
    </row>
    <row r="21" spans="1:14" ht="15" customHeight="1">
      <c r="A21" s="108">
        <v>185</v>
      </c>
      <c r="B21" s="10">
        <v>40.35</v>
      </c>
      <c r="C21" s="10">
        <v>85.44</v>
      </c>
      <c r="D21" s="10">
        <v>51.45</v>
      </c>
      <c r="E21" s="10">
        <v>101.74</v>
      </c>
      <c r="F21" s="10">
        <v>68.37</v>
      </c>
      <c r="G21" s="10">
        <v>57.81</v>
      </c>
      <c r="H21" s="10">
        <v>29.13</v>
      </c>
      <c r="I21" s="10">
        <v>23.99</v>
      </c>
      <c r="J21" s="10">
        <v>89.29</v>
      </c>
      <c r="K21" s="10">
        <v>22.05</v>
      </c>
      <c r="L21" s="10">
        <v>81.06</v>
      </c>
      <c r="M21" s="10">
        <v>50.7</v>
      </c>
      <c r="N21" s="10">
        <f t="shared" si="0"/>
        <v>701.38000000000011</v>
      </c>
    </row>
    <row r="22" spans="1:14" ht="15" customHeight="1">
      <c r="A22" s="108">
        <v>186</v>
      </c>
      <c r="B22" s="10">
        <v>5.81</v>
      </c>
      <c r="C22" s="10">
        <v>0</v>
      </c>
      <c r="D22" s="10">
        <v>1844.51</v>
      </c>
      <c r="E22" s="10">
        <v>2644.22</v>
      </c>
      <c r="F22" s="10">
        <v>4227.6000000000004</v>
      </c>
      <c r="G22" s="10">
        <v>2739.79</v>
      </c>
      <c r="H22" s="10">
        <v>1262.6199999999999</v>
      </c>
      <c r="I22" s="10">
        <v>0</v>
      </c>
      <c r="J22" s="10">
        <v>0</v>
      </c>
      <c r="K22" s="10">
        <v>4.49</v>
      </c>
      <c r="L22" s="10">
        <v>15.09</v>
      </c>
      <c r="M22" s="10">
        <v>1.74</v>
      </c>
      <c r="N22" s="10">
        <f t="shared" si="0"/>
        <v>12745.869999999999</v>
      </c>
    </row>
    <row r="23" spans="1:14" ht="15" customHeight="1">
      <c r="A23" s="108">
        <v>426</v>
      </c>
      <c r="B23" s="10">
        <v>0</v>
      </c>
      <c r="C23" s="10">
        <v>0</v>
      </c>
      <c r="D23" s="10">
        <v>0</v>
      </c>
      <c r="E23" s="10">
        <v>0</v>
      </c>
      <c r="F23" s="10">
        <v>0</v>
      </c>
      <c r="G23" s="10">
        <v>0</v>
      </c>
      <c r="H23" s="10">
        <v>0</v>
      </c>
      <c r="I23" s="10">
        <v>0</v>
      </c>
      <c r="J23" s="10">
        <v>0</v>
      </c>
      <c r="K23" s="10">
        <v>0</v>
      </c>
      <c r="L23" s="10">
        <v>0</v>
      </c>
      <c r="M23" s="10">
        <v>3.19</v>
      </c>
      <c r="N23" s="10">
        <f t="shared" si="0"/>
        <v>3.19</v>
      </c>
    </row>
    <row r="24" spans="1:14" ht="15" customHeight="1">
      <c r="A24" s="108">
        <v>426</v>
      </c>
      <c r="B24" s="10">
        <v>0.22</v>
      </c>
      <c r="C24" s="10">
        <v>0</v>
      </c>
      <c r="D24" s="10">
        <v>0</v>
      </c>
      <c r="E24" s="10">
        <v>0.94</v>
      </c>
      <c r="F24" s="10">
        <v>2.2599999999999998</v>
      </c>
      <c r="G24" s="10">
        <v>0</v>
      </c>
      <c r="H24" s="10">
        <v>16.059999999999999</v>
      </c>
      <c r="I24" s="10">
        <v>2.2000000000000002</v>
      </c>
      <c r="J24" s="10">
        <v>13.62</v>
      </c>
      <c r="K24" s="10">
        <v>15.27</v>
      </c>
      <c r="L24" s="10">
        <v>0</v>
      </c>
      <c r="M24" s="10">
        <v>0.34</v>
      </c>
      <c r="N24" s="10">
        <f t="shared" si="0"/>
        <v>50.91</v>
      </c>
    </row>
    <row r="25" spans="1:14" ht="15" customHeight="1">
      <c r="A25" s="108">
        <v>500</v>
      </c>
      <c r="B25" s="10">
        <v>94.99</v>
      </c>
      <c r="C25" s="10">
        <v>78.319999999999993</v>
      </c>
      <c r="D25" s="10">
        <v>53.2</v>
      </c>
      <c r="E25" s="10">
        <v>65.98</v>
      </c>
      <c r="F25" s="10">
        <v>21.5</v>
      </c>
      <c r="G25" s="10">
        <v>36.01</v>
      </c>
      <c r="H25" s="10">
        <v>506.85</v>
      </c>
      <c r="I25" s="10">
        <v>33.200000000000003</v>
      </c>
      <c r="J25" s="10">
        <v>194.49</v>
      </c>
      <c r="K25" s="10">
        <v>269.52</v>
      </c>
      <c r="L25" s="10">
        <v>220.82</v>
      </c>
      <c r="M25" s="10">
        <v>408.9</v>
      </c>
      <c r="N25" s="10">
        <f t="shared" si="0"/>
        <v>1983.7799999999997</v>
      </c>
    </row>
    <row r="26" spans="1:14" ht="15" customHeight="1">
      <c r="A26" s="108">
        <v>502</v>
      </c>
      <c r="B26" s="10">
        <v>0</v>
      </c>
      <c r="C26" s="10">
        <v>0</v>
      </c>
      <c r="D26" s="10">
        <v>0</v>
      </c>
      <c r="E26" s="10">
        <v>0.19</v>
      </c>
      <c r="F26" s="10">
        <v>0</v>
      </c>
      <c r="G26" s="10">
        <v>0</v>
      </c>
      <c r="H26" s="10">
        <v>0</v>
      </c>
      <c r="I26" s="10">
        <v>0</v>
      </c>
      <c r="J26" s="10">
        <v>0</v>
      </c>
      <c r="K26" s="10">
        <v>0</v>
      </c>
      <c r="L26" s="10">
        <v>0</v>
      </c>
      <c r="M26" s="10">
        <v>0</v>
      </c>
      <c r="N26" s="10">
        <f t="shared" si="0"/>
        <v>0.19</v>
      </c>
    </row>
    <row r="27" spans="1:14" ht="15" customHeight="1">
      <c r="A27" s="108">
        <v>506</v>
      </c>
      <c r="B27" s="10">
        <v>70.150000000000006</v>
      </c>
      <c r="C27" s="10">
        <v>67.17</v>
      </c>
      <c r="D27" s="10">
        <v>38.53</v>
      </c>
      <c r="E27" s="10">
        <v>65.92</v>
      </c>
      <c r="F27" s="10">
        <v>26.12</v>
      </c>
      <c r="G27" s="10">
        <v>43.79</v>
      </c>
      <c r="H27" s="10">
        <v>483.64</v>
      </c>
      <c r="I27" s="10">
        <v>42.1</v>
      </c>
      <c r="J27" s="10">
        <v>163.15</v>
      </c>
      <c r="K27" s="10">
        <v>278.83999999999997</v>
      </c>
      <c r="L27" s="10">
        <v>196.29</v>
      </c>
      <c r="M27" s="10">
        <v>531.51</v>
      </c>
      <c r="N27" s="10">
        <f t="shared" si="0"/>
        <v>2007.2099999999998</v>
      </c>
    </row>
    <row r="28" spans="1:14" ht="15" customHeight="1">
      <c r="A28" s="108">
        <v>510</v>
      </c>
      <c r="B28" s="10">
        <v>9.0500000000000007</v>
      </c>
      <c r="C28" s="10">
        <v>20.43</v>
      </c>
      <c r="D28" s="10">
        <v>12.96</v>
      </c>
      <c r="E28" s="10">
        <v>8.83</v>
      </c>
      <c r="F28" s="10">
        <v>2.48</v>
      </c>
      <c r="G28" s="10">
        <v>5.03</v>
      </c>
      <c r="H28" s="10">
        <v>66.98</v>
      </c>
      <c r="I28" s="10">
        <v>10.76</v>
      </c>
      <c r="J28" s="10">
        <v>72.010000000000005</v>
      </c>
      <c r="K28" s="10">
        <v>95.18</v>
      </c>
      <c r="L28" s="10">
        <v>73.239999999999995</v>
      </c>
      <c r="M28" s="10">
        <v>158.21</v>
      </c>
      <c r="N28" s="10">
        <f t="shared" si="0"/>
        <v>535.16</v>
      </c>
    </row>
    <row r="29" spans="1:14" ht="15" customHeight="1">
      <c r="A29" s="108">
        <v>511</v>
      </c>
      <c r="B29" s="10">
        <v>4.38</v>
      </c>
      <c r="C29" s="10">
        <v>2.08</v>
      </c>
      <c r="D29" s="10">
        <v>2.04</v>
      </c>
      <c r="E29" s="10">
        <v>1.29</v>
      </c>
      <c r="F29" s="10">
        <v>0</v>
      </c>
      <c r="G29" s="10">
        <v>0</v>
      </c>
      <c r="H29" s="10">
        <v>19.55</v>
      </c>
      <c r="I29" s="10">
        <v>3.02</v>
      </c>
      <c r="J29" s="10">
        <v>17.23</v>
      </c>
      <c r="K29" s="10">
        <v>22.69</v>
      </c>
      <c r="L29" s="10">
        <v>12.28</v>
      </c>
      <c r="M29" s="10">
        <v>11.67</v>
      </c>
      <c r="N29" s="10">
        <f t="shared" si="0"/>
        <v>96.23</v>
      </c>
    </row>
    <row r="30" spans="1:14" ht="15" customHeight="1">
      <c r="A30" s="108">
        <v>512</v>
      </c>
      <c r="B30" s="10">
        <v>2.41</v>
      </c>
      <c r="C30" s="10">
        <v>2.78</v>
      </c>
      <c r="D30" s="10">
        <v>1.34</v>
      </c>
      <c r="E30" s="10">
        <v>0.19</v>
      </c>
      <c r="F30" s="10">
        <v>4.96</v>
      </c>
      <c r="G30" s="10">
        <v>7.23</v>
      </c>
      <c r="H30" s="10">
        <v>19.899999999999999</v>
      </c>
      <c r="I30" s="10">
        <v>1.3</v>
      </c>
      <c r="J30" s="10">
        <v>23.84</v>
      </c>
      <c r="K30" s="10">
        <v>44.75</v>
      </c>
      <c r="L30" s="10">
        <v>33.99</v>
      </c>
      <c r="M30" s="10">
        <v>8.4700000000000006</v>
      </c>
      <c r="N30" s="10">
        <f t="shared" si="0"/>
        <v>151.16</v>
      </c>
    </row>
    <row r="31" spans="1:14" ht="15" customHeight="1">
      <c r="A31" s="108">
        <v>513</v>
      </c>
      <c r="B31" s="10">
        <v>1.3</v>
      </c>
      <c r="C31" s="10">
        <v>1.03</v>
      </c>
      <c r="D31" s="10">
        <v>1.3</v>
      </c>
      <c r="E31" s="10">
        <v>0.8</v>
      </c>
      <c r="F31" s="10">
        <v>41.63</v>
      </c>
      <c r="G31" s="10">
        <v>17.79</v>
      </c>
      <c r="H31" s="10">
        <v>10.45</v>
      </c>
      <c r="I31" s="10">
        <v>0.9</v>
      </c>
      <c r="J31" s="10">
        <v>3.04</v>
      </c>
      <c r="K31" s="10">
        <v>0</v>
      </c>
      <c r="L31" s="10">
        <v>13.65</v>
      </c>
      <c r="M31" s="10">
        <v>7.95</v>
      </c>
      <c r="N31" s="10">
        <f t="shared" si="0"/>
        <v>99.840000000000018</v>
      </c>
    </row>
    <row r="32" spans="1:14" ht="15" customHeight="1">
      <c r="A32" s="108">
        <v>514</v>
      </c>
      <c r="B32" s="10">
        <v>0.46</v>
      </c>
      <c r="C32" s="10">
        <v>0.19</v>
      </c>
      <c r="D32" s="10">
        <v>0</v>
      </c>
      <c r="E32" s="10">
        <v>0.19</v>
      </c>
      <c r="F32" s="10">
        <v>0</v>
      </c>
      <c r="G32" s="10">
        <v>0.45</v>
      </c>
      <c r="H32" s="10">
        <v>0</v>
      </c>
      <c r="I32" s="10">
        <v>0.68</v>
      </c>
      <c r="J32" s="10">
        <v>2.1</v>
      </c>
      <c r="K32" s="10">
        <v>0</v>
      </c>
      <c r="L32" s="10">
        <v>1.78</v>
      </c>
      <c r="M32" s="10">
        <v>5.43</v>
      </c>
      <c r="N32" s="10">
        <f t="shared" si="0"/>
        <v>11.280000000000001</v>
      </c>
    </row>
    <row r="33" spans="1:14" ht="15" customHeight="1">
      <c r="A33" s="108">
        <v>539</v>
      </c>
      <c r="B33" s="10">
        <v>0</v>
      </c>
      <c r="C33" s="10">
        <v>0</v>
      </c>
      <c r="D33" s="10">
        <v>0</v>
      </c>
      <c r="E33" s="10">
        <v>0</v>
      </c>
      <c r="F33" s="10">
        <v>0</v>
      </c>
      <c r="G33" s="10">
        <v>0</v>
      </c>
      <c r="H33" s="10">
        <v>0</v>
      </c>
      <c r="I33" s="10">
        <v>0</v>
      </c>
      <c r="J33" s="10">
        <v>0</v>
      </c>
      <c r="K33" s="10">
        <v>0.23</v>
      </c>
      <c r="L33" s="10">
        <v>0</v>
      </c>
      <c r="M33" s="10">
        <v>0</v>
      </c>
      <c r="N33" s="10">
        <f t="shared" si="0"/>
        <v>0.23</v>
      </c>
    </row>
    <row r="34" spans="1:14" ht="15" customHeight="1">
      <c r="A34" s="108">
        <v>571</v>
      </c>
      <c r="B34" s="10">
        <v>0</v>
      </c>
      <c r="C34" s="10">
        <v>0</v>
      </c>
      <c r="D34" s="10">
        <v>0</v>
      </c>
      <c r="E34" s="10">
        <v>0</v>
      </c>
      <c r="F34" s="10">
        <v>0</v>
      </c>
      <c r="G34" s="10">
        <v>0</v>
      </c>
      <c r="H34" s="10">
        <v>0</v>
      </c>
      <c r="I34" s="10">
        <v>0</v>
      </c>
      <c r="J34" s="10">
        <v>0</v>
      </c>
      <c r="K34" s="10">
        <v>87.77</v>
      </c>
      <c r="L34" s="10">
        <v>0</v>
      </c>
      <c r="M34" s="10">
        <v>0</v>
      </c>
      <c r="N34" s="10">
        <f t="shared" si="0"/>
        <v>87.77</v>
      </c>
    </row>
    <row r="35" spans="1:14" ht="15" customHeight="1">
      <c r="A35" s="108">
        <v>580</v>
      </c>
      <c r="B35" s="10">
        <v>39.18</v>
      </c>
      <c r="C35" s="10">
        <v>29.47</v>
      </c>
      <c r="D35" s="10">
        <v>30.54</v>
      </c>
      <c r="E35" s="10">
        <v>39.94</v>
      </c>
      <c r="F35" s="10">
        <v>31.2</v>
      </c>
      <c r="G35" s="10">
        <v>41.21</v>
      </c>
      <c r="H35" s="10">
        <v>75.790000000000006</v>
      </c>
      <c r="I35" s="10">
        <v>32.89</v>
      </c>
      <c r="J35" s="10">
        <v>63.61</v>
      </c>
      <c r="K35" s="10">
        <v>23</v>
      </c>
      <c r="L35" s="10">
        <v>90.53</v>
      </c>
      <c r="M35" s="10">
        <v>59.16</v>
      </c>
      <c r="N35" s="10">
        <f t="shared" si="0"/>
        <v>556.52</v>
      </c>
    </row>
    <row r="36" spans="1:14" ht="15" customHeight="1">
      <c r="A36" s="108">
        <v>583</v>
      </c>
      <c r="B36" s="10">
        <v>273.69</v>
      </c>
      <c r="C36" s="10">
        <v>-534.39</v>
      </c>
      <c r="D36" s="10">
        <v>492.34</v>
      </c>
      <c r="E36" s="10">
        <v>477</v>
      </c>
      <c r="F36" s="10">
        <v>223.19</v>
      </c>
      <c r="G36" s="10">
        <v>1017.49</v>
      </c>
      <c r="H36" s="10">
        <v>557.69000000000005</v>
      </c>
      <c r="I36" s="10">
        <v>290.01</v>
      </c>
      <c r="J36" s="10">
        <v>644.30999999999995</v>
      </c>
      <c r="K36" s="10">
        <v>379.27</v>
      </c>
      <c r="L36" s="10">
        <v>908.27</v>
      </c>
      <c r="M36" s="10">
        <v>850.5</v>
      </c>
      <c r="N36" s="10">
        <f t="shared" si="0"/>
        <v>5579.3700000000008</v>
      </c>
    </row>
    <row r="37" spans="1:14" ht="15" customHeight="1">
      <c r="A37" s="108">
        <v>584</v>
      </c>
      <c r="B37" s="10">
        <v>3.35</v>
      </c>
      <c r="C37" s="10">
        <v>0</v>
      </c>
      <c r="D37" s="10">
        <v>0</v>
      </c>
      <c r="E37" s="10">
        <v>0</v>
      </c>
      <c r="F37" s="10">
        <v>0</v>
      </c>
      <c r="G37" s="10">
        <v>0</v>
      </c>
      <c r="H37" s="10">
        <v>0</v>
      </c>
      <c r="I37" s="10">
        <v>0</v>
      </c>
      <c r="J37" s="10">
        <v>0</v>
      </c>
      <c r="K37" s="10">
        <v>0</v>
      </c>
      <c r="L37" s="10">
        <v>0</v>
      </c>
      <c r="M37" s="10">
        <v>0</v>
      </c>
      <c r="N37" s="10">
        <f t="shared" si="0"/>
        <v>3.35</v>
      </c>
    </row>
    <row r="38" spans="1:14" ht="15" customHeight="1">
      <c r="A38" s="108">
        <v>585</v>
      </c>
      <c r="B38" s="10">
        <v>2.77</v>
      </c>
      <c r="C38" s="10">
        <v>7.46</v>
      </c>
      <c r="D38" s="10">
        <v>0</v>
      </c>
      <c r="E38" s="10">
        <v>0</v>
      </c>
      <c r="F38" s="10">
        <v>2.56</v>
      </c>
      <c r="G38" s="10">
        <v>0</v>
      </c>
      <c r="H38" s="10">
        <v>2.79</v>
      </c>
      <c r="I38" s="10">
        <v>10.46</v>
      </c>
      <c r="J38" s="10">
        <v>0</v>
      </c>
      <c r="K38" s="10">
        <v>0</v>
      </c>
      <c r="L38" s="10">
        <v>0</v>
      </c>
      <c r="M38" s="10">
        <v>7.5</v>
      </c>
      <c r="N38" s="10">
        <f t="shared" si="0"/>
        <v>33.540000000000006</v>
      </c>
    </row>
    <row r="39" spans="1:14" ht="15" customHeight="1">
      <c r="A39" s="108">
        <v>586</v>
      </c>
      <c r="B39" s="10">
        <v>706.7</v>
      </c>
      <c r="C39" s="10">
        <v>1171.48</v>
      </c>
      <c r="D39" s="10">
        <v>1150.75</v>
      </c>
      <c r="E39" s="10">
        <v>997.65</v>
      </c>
      <c r="F39" s="10">
        <v>457.19</v>
      </c>
      <c r="G39" s="10">
        <v>831.49</v>
      </c>
      <c r="H39" s="10">
        <v>947.31</v>
      </c>
      <c r="I39" s="10">
        <v>709.43</v>
      </c>
      <c r="J39" s="10">
        <v>821.88</v>
      </c>
      <c r="K39" s="10">
        <v>1084.3699999999999</v>
      </c>
      <c r="L39" s="10">
        <v>1491.41</v>
      </c>
      <c r="M39" s="10">
        <v>1610.84</v>
      </c>
      <c r="N39" s="10">
        <f t="shared" si="0"/>
        <v>11980.5</v>
      </c>
    </row>
    <row r="40" spans="1:14" ht="15" customHeight="1">
      <c r="A40" s="108">
        <v>587</v>
      </c>
      <c r="B40" s="10">
        <v>56.51</v>
      </c>
      <c r="C40" s="10">
        <v>-126.1</v>
      </c>
      <c r="D40" s="10">
        <v>97.21</v>
      </c>
      <c r="E40" s="10">
        <v>72.03</v>
      </c>
      <c r="F40" s="10">
        <v>28.2</v>
      </c>
      <c r="G40" s="10">
        <v>86.01</v>
      </c>
      <c r="H40" s="10">
        <v>111.95</v>
      </c>
      <c r="I40" s="10">
        <v>72.459999999999994</v>
      </c>
      <c r="J40" s="10">
        <v>94.94</v>
      </c>
      <c r="K40" s="10">
        <v>48.92</v>
      </c>
      <c r="L40" s="10">
        <v>96.66</v>
      </c>
      <c r="M40" s="10">
        <v>67.33</v>
      </c>
      <c r="N40" s="10">
        <f t="shared" si="0"/>
        <v>706.12</v>
      </c>
    </row>
    <row r="41" spans="1:14" ht="15" customHeight="1">
      <c r="A41" s="108">
        <v>588</v>
      </c>
      <c r="B41" s="10">
        <v>299.17</v>
      </c>
      <c r="C41" s="10">
        <v>247.87</v>
      </c>
      <c r="D41" s="10">
        <v>609.04999999999995</v>
      </c>
      <c r="E41" s="10">
        <v>666.6</v>
      </c>
      <c r="F41" s="10">
        <v>455.71</v>
      </c>
      <c r="G41" s="10">
        <v>636.77</v>
      </c>
      <c r="H41" s="10">
        <v>876.95</v>
      </c>
      <c r="I41" s="10">
        <v>610.78</v>
      </c>
      <c r="J41" s="10">
        <v>846.51</v>
      </c>
      <c r="K41" s="10">
        <v>1118.47</v>
      </c>
      <c r="L41" s="10">
        <v>1534.75</v>
      </c>
      <c r="M41" s="10">
        <v>1862.31</v>
      </c>
      <c r="N41" s="10">
        <f t="shared" si="0"/>
        <v>9764.94</v>
      </c>
    </row>
    <row r="42" spans="1:14" ht="15" customHeight="1">
      <c r="A42" s="108">
        <v>590</v>
      </c>
      <c r="B42" s="10">
        <v>2.15</v>
      </c>
      <c r="C42" s="10">
        <v>4.74</v>
      </c>
      <c r="D42" s="10">
        <v>0.48</v>
      </c>
      <c r="E42" s="10">
        <v>0.99</v>
      </c>
      <c r="F42" s="10">
        <v>3.26</v>
      </c>
      <c r="G42" s="10">
        <v>0.75</v>
      </c>
      <c r="H42" s="10">
        <v>0.99</v>
      </c>
      <c r="I42" s="10">
        <v>4.13</v>
      </c>
      <c r="J42" s="10">
        <v>22.37</v>
      </c>
      <c r="K42" s="10">
        <v>3.62</v>
      </c>
      <c r="L42" s="10">
        <v>27.62</v>
      </c>
      <c r="M42" s="10">
        <v>10.91</v>
      </c>
      <c r="N42" s="10">
        <f t="shared" si="0"/>
        <v>82.009999999999991</v>
      </c>
    </row>
    <row r="43" spans="1:14" ht="15" customHeight="1">
      <c r="A43" s="108">
        <v>593</v>
      </c>
      <c r="B43" s="10">
        <v>7345.64</v>
      </c>
      <c r="C43" s="10">
        <v>9109.48</v>
      </c>
      <c r="D43" s="10">
        <v>4478.49</v>
      </c>
      <c r="E43" s="10">
        <v>5049.24</v>
      </c>
      <c r="F43" s="10">
        <v>8307.5</v>
      </c>
      <c r="G43" s="10">
        <v>2624.21</v>
      </c>
      <c r="H43" s="10">
        <v>4144.1899999999996</v>
      </c>
      <c r="I43" s="10">
        <v>10955.51</v>
      </c>
      <c r="J43" s="10">
        <v>6917.89</v>
      </c>
      <c r="K43" s="10">
        <v>14805.94</v>
      </c>
      <c r="L43" s="10">
        <v>12316.17</v>
      </c>
      <c r="M43" s="10">
        <v>14000.03</v>
      </c>
      <c r="N43" s="10">
        <f t="shared" si="0"/>
        <v>100054.29</v>
      </c>
    </row>
    <row r="44" spans="1:14" ht="15" customHeight="1">
      <c r="A44" s="108">
        <v>593</v>
      </c>
      <c r="B44" s="10">
        <v>115.13</v>
      </c>
      <c r="C44" s="10">
        <v>-1493.42</v>
      </c>
      <c r="D44" s="10">
        <v>47.49</v>
      </c>
      <c r="E44" s="10">
        <v>136.91999999999999</v>
      </c>
      <c r="F44" s="10">
        <v>111.88</v>
      </c>
      <c r="G44" s="10">
        <v>172.17</v>
      </c>
      <c r="H44" s="10">
        <v>227.28</v>
      </c>
      <c r="I44" s="10">
        <v>112.26</v>
      </c>
      <c r="J44" s="10">
        <v>229.26</v>
      </c>
      <c r="K44" s="10">
        <v>206.88</v>
      </c>
      <c r="L44" s="10">
        <v>245.52</v>
      </c>
      <c r="M44" s="10">
        <v>266.93</v>
      </c>
      <c r="N44" s="10">
        <f t="shared" si="0"/>
        <v>378.29999999999995</v>
      </c>
    </row>
    <row r="45" spans="1:14" ht="15" customHeight="1">
      <c r="A45" s="108">
        <v>594</v>
      </c>
      <c r="B45" s="10">
        <v>13.02</v>
      </c>
      <c r="C45" s="10">
        <v>0</v>
      </c>
      <c r="D45" s="10">
        <v>3.19</v>
      </c>
      <c r="E45" s="10">
        <v>10.93</v>
      </c>
      <c r="F45" s="10">
        <v>0</v>
      </c>
      <c r="G45" s="10">
        <v>3.46</v>
      </c>
      <c r="H45" s="10">
        <v>4.71</v>
      </c>
      <c r="I45" s="10">
        <v>12.05</v>
      </c>
      <c r="J45" s="10">
        <v>22.45</v>
      </c>
      <c r="K45" s="10">
        <v>0</v>
      </c>
      <c r="L45" s="10">
        <v>37.21</v>
      </c>
      <c r="M45" s="10">
        <v>2.34</v>
      </c>
      <c r="N45" s="10">
        <f t="shared" ref="N45:N64" si="1">SUM(B45:M45)</f>
        <v>109.36000000000001</v>
      </c>
    </row>
    <row r="46" spans="1:14" ht="15" customHeight="1">
      <c r="A46" s="108">
        <v>595</v>
      </c>
      <c r="B46" s="10">
        <v>1.1000000000000001</v>
      </c>
      <c r="C46" s="10">
        <v>0</v>
      </c>
      <c r="D46" s="10">
        <v>3.59</v>
      </c>
      <c r="E46" s="10">
        <v>3.9</v>
      </c>
      <c r="F46" s="10">
        <v>0</v>
      </c>
      <c r="G46" s="10">
        <v>1.71</v>
      </c>
      <c r="H46" s="10">
        <v>6.34</v>
      </c>
      <c r="I46" s="10">
        <v>0</v>
      </c>
      <c r="J46" s="10">
        <v>0</v>
      </c>
      <c r="K46" s="10">
        <v>5.54</v>
      </c>
      <c r="L46" s="10">
        <v>3.29</v>
      </c>
      <c r="M46" s="10">
        <v>0</v>
      </c>
      <c r="N46" s="10">
        <f t="shared" si="1"/>
        <v>25.47</v>
      </c>
    </row>
    <row r="47" spans="1:14" ht="15" customHeight="1">
      <c r="A47" s="108">
        <v>596</v>
      </c>
      <c r="B47" s="10">
        <v>0</v>
      </c>
      <c r="C47" s="10">
        <v>0</v>
      </c>
      <c r="D47" s="10">
        <v>0</v>
      </c>
      <c r="E47" s="10">
        <v>0</v>
      </c>
      <c r="F47" s="10">
        <v>0</v>
      </c>
      <c r="G47" s="10">
        <v>6.24</v>
      </c>
      <c r="H47" s="10">
        <v>3.32</v>
      </c>
      <c r="I47" s="10">
        <v>0</v>
      </c>
      <c r="J47" s="10">
        <v>0</v>
      </c>
      <c r="K47" s="10">
        <v>0</v>
      </c>
      <c r="L47" s="10">
        <v>3.99</v>
      </c>
      <c r="M47" s="10">
        <v>0</v>
      </c>
      <c r="N47" s="10">
        <f t="shared" si="1"/>
        <v>13.55</v>
      </c>
    </row>
    <row r="48" spans="1:14" ht="15" customHeight="1">
      <c r="A48" s="108">
        <v>597</v>
      </c>
      <c r="B48" s="10">
        <v>12.61</v>
      </c>
      <c r="C48" s="10">
        <v>62.5</v>
      </c>
      <c r="D48" s="10">
        <v>34.909999999999997</v>
      </c>
      <c r="E48" s="10">
        <v>27.82</v>
      </c>
      <c r="F48" s="10">
        <v>16.559999999999999</v>
      </c>
      <c r="G48" s="10">
        <v>20.91</v>
      </c>
      <c r="H48" s="10">
        <v>30.31</v>
      </c>
      <c r="I48" s="10">
        <v>23.56</v>
      </c>
      <c r="J48" s="10">
        <v>5.15</v>
      </c>
      <c r="K48" s="10">
        <v>33.380000000000003</v>
      </c>
      <c r="L48" s="10">
        <v>49.85</v>
      </c>
      <c r="M48" s="10">
        <v>62.93</v>
      </c>
      <c r="N48" s="10">
        <f t="shared" si="1"/>
        <v>380.49000000000007</v>
      </c>
    </row>
    <row r="49" spans="1:14" ht="15" customHeight="1">
      <c r="A49" s="108">
        <v>598</v>
      </c>
      <c r="B49" s="10">
        <v>0</v>
      </c>
      <c r="C49" s="10">
        <v>0</v>
      </c>
      <c r="D49" s="10">
        <v>0</v>
      </c>
      <c r="E49" s="10">
        <v>2.4900000000000002</v>
      </c>
      <c r="F49" s="10">
        <v>0</v>
      </c>
      <c r="G49" s="10">
        <v>0</v>
      </c>
      <c r="H49" s="10">
        <v>0</v>
      </c>
      <c r="I49" s="10">
        <v>0</v>
      </c>
      <c r="J49" s="10">
        <v>0</v>
      </c>
      <c r="K49" s="10">
        <v>0</v>
      </c>
      <c r="L49" s="10">
        <v>0</v>
      </c>
      <c r="M49" s="10">
        <v>0</v>
      </c>
      <c r="N49" s="10">
        <f t="shared" si="1"/>
        <v>2.4900000000000002</v>
      </c>
    </row>
    <row r="50" spans="1:14" ht="15" customHeight="1">
      <c r="A50" s="108">
        <v>902</v>
      </c>
      <c r="B50" s="10">
        <v>0</v>
      </c>
      <c r="C50" s="10">
        <v>0</v>
      </c>
      <c r="D50" s="10">
        <v>0</v>
      </c>
      <c r="E50" s="10">
        <v>0.99</v>
      </c>
      <c r="F50" s="10">
        <v>0</v>
      </c>
      <c r="G50" s="10">
        <v>0.74</v>
      </c>
      <c r="H50" s="10">
        <v>1.73</v>
      </c>
      <c r="I50" s="10">
        <v>0</v>
      </c>
      <c r="J50" s="10">
        <v>0</v>
      </c>
      <c r="K50" s="10">
        <v>0</v>
      </c>
      <c r="L50" s="10">
        <v>0</v>
      </c>
      <c r="M50" s="10">
        <v>3.82</v>
      </c>
      <c r="N50" s="10">
        <f t="shared" si="1"/>
        <v>7.2799999999999994</v>
      </c>
    </row>
    <row r="51" spans="1:14" ht="15" customHeight="1">
      <c r="A51" s="108">
        <v>902</v>
      </c>
      <c r="B51" s="10">
        <v>28.67</v>
      </c>
      <c r="C51" s="10">
        <v>10.18</v>
      </c>
      <c r="D51" s="10">
        <v>87.38</v>
      </c>
      <c r="E51" s="10">
        <v>128.22</v>
      </c>
      <c r="F51" s="10">
        <v>29.86</v>
      </c>
      <c r="G51" s="10">
        <v>86.52</v>
      </c>
      <c r="H51" s="10">
        <v>137.97999999999999</v>
      </c>
      <c r="I51" s="10">
        <v>132.43</v>
      </c>
      <c r="J51" s="10">
        <v>10.63</v>
      </c>
      <c r="K51" s="10">
        <v>292.62</v>
      </c>
      <c r="L51" s="10">
        <v>457.02</v>
      </c>
      <c r="M51" s="10">
        <v>607.71</v>
      </c>
      <c r="N51" s="10">
        <f t="shared" si="1"/>
        <v>2009.22</v>
      </c>
    </row>
    <row r="52" spans="1:14" ht="15" customHeight="1">
      <c r="A52" s="108">
        <v>903</v>
      </c>
      <c r="B52" s="10">
        <v>26.25</v>
      </c>
      <c r="C52" s="10">
        <v>52.96</v>
      </c>
      <c r="D52" s="10">
        <v>48.39</v>
      </c>
      <c r="E52" s="10">
        <v>13.66</v>
      </c>
      <c r="F52" s="10">
        <v>20.78</v>
      </c>
      <c r="G52" s="10">
        <v>18.25</v>
      </c>
      <c r="H52" s="10">
        <v>40.020000000000003</v>
      </c>
      <c r="I52" s="10">
        <v>35.75</v>
      </c>
      <c r="J52" s="10">
        <v>34.33</v>
      </c>
      <c r="K52" s="10">
        <v>32.78</v>
      </c>
      <c r="L52" s="10">
        <v>29.26</v>
      </c>
      <c r="M52" s="10">
        <v>18.690000000000001</v>
      </c>
      <c r="N52" s="10">
        <f t="shared" si="1"/>
        <v>371.12000000000006</v>
      </c>
    </row>
    <row r="53" spans="1:14" ht="15" customHeight="1">
      <c r="A53" s="108">
        <v>903</v>
      </c>
      <c r="B53" s="10">
        <v>215.78</v>
      </c>
      <c r="C53" s="10">
        <v>53.74</v>
      </c>
      <c r="D53" s="10">
        <v>607.55999999999995</v>
      </c>
      <c r="E53" s="10">
        <v>407.4</v>
      </c>
      <c r="F53" s="10">
        <v>185.15</v>
      </c>
      <c r="G53" s="10">
        <v>412.63</v>
      </c>
      <c r="H53" s="10">
        <v>319.91000000000003</v>
      </c>
      <c r="I53" s="10">
        <v>59.72</v>
      </c>
      <c r="J53" s="10">
        <v>84.98</v>
      </c>
      <c r="K53" s="10">
        <v>251.11</v>
      </c>
      <c r="L53" s="10">
        <v>384.03</v>
      </c>
      <c r="M53" s="10">
        <v>547.61</v>
      </c>
      <c r="N53" s="10">
        <f t="shared" si="1"/>
        <v>3529.6200000000003</v>
      </c>
    </row>
    <row r="54" spans="1:14" ht="15" customHeight="1">
      <c r="A54" s="108">
        <v>903</v>
      </c>
      <c r="B54" s="10">
        <v>6.72</v>
      </c>
      <c r="C54" s="10">
        <v>-72.569999999999993</v>
      </c>
      <c r="D54" s="10">
        <v>17.48</v>
      </c>
      <c r="E54" s="10">
        <v>16.04</v>
      </c>
      <c r="F54" s="10">
        <v>13.8</v>
      </c>
      <c r="G54" s="10">
        <v>25.72</v>
      </c>
      <c r="H54" s="10">
        <v>19.71</v>
      </c>
      <c r="I54" s="10">
        <v>0</v>
      </c>
      <c r="J54" s="10">
        <v>0</v>
      </c>
      <c r="K54" s="10">
        <v>0</v>
      </c>
      <c r="L54" s="10">
        <v>0</v>
      </c>
      <c r="M54" s="10">
        <v>0</v>
      </c>
      <c r="N54" s="10">
        <f t="shared" si="1"/>
        <v>26.900000000000009</v>
      </c>
    </row>
    <row r="55" spans="1:14" ht="15" customHeight="1">
      <c r="A55" s="108">
        <v>907</v>
      </c>
      <c r="B55" s="10">
        <v>3.67</v>
      </c>
      <c r="C55" s="10">
        <v>5.18</v>
      </c>
      <c r="D55" s="10">
        <v>8.18</v>
      </c>
      <c r="E55" s="10">
        <v>2.02</v>
      </c>
      <c r="F55" s="10">
        <v>2.36</v>
      </c>
      <c r="G55" s="10">
        <v>0</v>
      </c>
      <c r="H55" s="10">
        <v>0</v>
      </c>
      <c r="I55" s="10">
        <v>0</v>
      </c>
      <c r="J55" s="10">
        <v>0</v>
      </c>
      <c r="K55" s="10">
        <v>0</v>
      </c>
      <c r="L55" s="10">
        <v>0</v>
      </c>
      <c r="M55" s="10">
        <v>0</v>
      </c>
      <c r="N55" s="10">
        <f t="shared" si="1"/>
        <v>21.41</v>
      </c>
    </row>
    <row r="56" spans="1:14" ht="15" customHeight="1">
      <c r="A56" s="108">
        <v>908</v>
      </c>
      <c r="B56" s="10">
        <v>27.84</v>
      </c>
      <c r="C56" s="10">
        <v>38.08</v>
      </c>
      <c r="D56" s="10">
        <v>39.33</v>
      </c>
      <c r="E56" s="10">
        <v>12.68</v>
      </c>
      <c r="F56" s="10">
        <v>22.81</v>
      </c>
      <c r="G56" s="10">
        <v>16.600000000000001</v>
      </c>
      <c r="H56" s="10">
        <v>33.71</v>
      </c>
      <c r="I56" s="10">
        <v>29.23</v>
      </c>
      <c r="J56" s="10">
        <v>37.770000000000003</v>
      </c>
      <c r="K56" s="10">
        <v>52.91</v>
      </c>
      <c r="L56" s="10">
        <v>50.2</v>
      </c>
      <c r="M56" s="10">
        <v>40.61</v>
      </c>
      <c r="N56" s="10">
        <f t="shared" si="1"/>
        <v>401.77000000000004</v>
      </c>
    </row>
    <row r="57" spans="1:14" ht="15" customHeight="1">
      <c r="A57" s="108">
        <v>908</v>
      </c>
      <c r="B57" s="10">
        <v>1.33</v>
      </c>
      <c r="C57" s="10">
        <v>1.07</v>
      </c>
      <c r="D57" s="10">
        <v>3.23</v>
      </c>
      <c r="E57" s="10">
        <v>0.71</v>
      </c>
      <c r="F57" s="10">
        <v>1.48</v>
      </c>
      <c r="G57" s="10">
        <v>0</v>
      </c>
      <c r="H57" s="10">
        <v>0</v>
      </c>
      <c r="I57" s="10">
        <v>0</v>
      </c>
      <c r="J57" s="10">
        <v>0</v>
      </c>
      <c r="K57" s="10">
        <v>0</v>
      </c>
      <c r="L57" s="10">
        <v>0</v>
      </c>
      <c r="M57" s="10">
        <v>0</v>
      </c>
      <c r="N57" s="10">
        <f t="shared" si="1"/>
        <v>7.82</v>
      </c>
    </row>
    <row r="58" spans="1:14" ht="15" customHeight="1">
      <c r="A58" s="108">
        <v>920</v>
      </c>
      <c r="B58" s="10">
        <v>0</v>
      </c>
      <c r="C58" s="10">
        <v>0</v>
      </c>
      <c r="D58" s="10">
        <v>0</v>
      </c>
      <c r="E58" s="10">
        <v>6.7</v>
      </c>
      <c r="F58" s="10">
        <v>0</v>
      </c>
      <c r="G58" s="10">
        <v>34.130000000000003</v>
      </c>
      <c r="H58" s="10">
        <v>0</v>
      </c>
      <c r="I58" s="10">
        <v>22.54</v>
      </c>
      <c r="J58" s="10">
        <v>0</v>
      </c>
      <c r="K58" s="10">
        <v>1.63</v>
      </c>
      <c r="L58" s="10">
        <v>16.100000000000001</v>
      </c>
      <c r="M58" s="10">
        <v>75.39</v>
      </c>
      <c r="N58" s="10">
        <f t="shared" si="1"/>
        <v>156.49</v>
      </c>
    </row>
    <row r="59" spans="1:14" ht="15" customHeight="1">
      <c r="A59" s="108">
        <v>921</v>
      </c>
      <c r="B59" s="10">
        <v>51.36</v>
      </c>
      <c r="C59" s="10">
        <v>102.82</v>
      </c>
      <c r="D59" s="10">
        <v>70.180000000000007</v>
      </c>
      <c r="E59" s="10">
        <v>44.06</v>
      </c>
      <c r="F59" s="10">
        <v>56.05</v>
      </c>
      <c r="G59" s="10">
        <v>80.400000000000006</v>
      </c>
      <c r="H59" s="10">
        <v>132.05000000000001</v>
      </c>
      <c r="I59" s="10">
        <v>114.38</v>
      </c>
      <c r="J59" s="10">
        <v>111.19</v>
      </c>
      <c r="K59" s="10">
        <v>340.56</v>
      </c>
      <c r="L59" s="10">
        <v>381.69</v>
      </c>
      <c r="M59" s="10">
        <v>321.17</v>
      </c>
      <c r="N59" s="10">
        <f t="shared" si="1"/>
        <v>1805.91</v>
      </c>
    </row>
    <row r="60" spans="1:14" ht="15" customHeight="1">
      <c r="A60" s="108">
        <v>928</v>
      </c>
      <c r="B60" s="10">
        <v>5.71</v>
      </c>
      <c r="C60" s="10">
        <v>7.26</v>
      </c>
      <c r="D60" s="10">
        <v>3.07</v>
      </c>
      <c r="E60" s="10">
        <v>1.55</v>
      </c>
      <c r="F60" s="10">
        <v>1.59</v>
      </c>
      <c r="G60" s="10">
        <v>2.0099999999999998</v>
      </c>
      <c r="H60" s="10">
        <v>6.47</v>
      </c>
      <c r="I60" s="10">
        <v>0</v>
      </c>
      <c r="J60" s="10">
        <v>3.62</v>
      </c>
      <c r="K60" s="10">
        <v>0</v>
      </c>
      <c r="L60" s="10">
        <v>3.84</v>
      </c>
      <c r="M60" s="10">
        <v>8.81</v>
      </c>
      <c r="N60" s="10">
        <f t="shared" si="1"/>
        <v>43.93</v>
      </c>
    </row>
    <row r="61" spans="1:14" ht="15" customHeight="1">
      <c r="A61" s="108">
        <v>930</v>
      </c>
      <c r="B61" s="10">
        <v>14.68</v>
      </c>
      <c r="C61" s="10">
        <v>10.71</v>
      </c>
      <c r="D61" s="10">
        <v>0</v>
      </c>
      <c r="E61" s="10">
        <v>16.170000000000002</v>
      </c>
      <c r="F61" s="10">
        <v>0</v>
      </c>
      <c r="G61" s="10">
        <v>0.19</v>
      </c>
      <c r="H61" s="10">
        <v>3.14</v>
      </c>
      <c r="I61" s="10">
        <v>29.76</v>
      </c>
      <c r="J61" s="10">
        <v>8.9700000000000006</v>
      </c>
      <c r="K61" s="10">
        <v>0.98</v>
      </c>
      <c r="L61" s="10">
        <v>56.5</v>
      </c>
      <c r="M61" s="10">
        <v>69.849999999999994</v>
      </c>
      <c r="N61" s="10">
        <f t="shared" si="1"/>
        <v>210.95000000000002</v>
      </c>
    </row>
    <row r="62" spans="1:14" ht="15" customHeight="1">
      <c r="A62" s="108">
        <v>935</v>
      </c>
      <c r="B62" s="10">
        <v>0</v>
      </c>
      <c r="C62" s="10">
        <v>0</v>
      </c>
      <c r="D62" s="10">
        <v>0</v>
      </c>
      <c r="E62" s="10">
        <v>0</v>
      </c>
      <c r="F62" s="10">
        <v>0</v>
      </c>
      <c r="G62" s="10">
        <v>0</v>
      </c>
      <c r="H62" s="10">
        <v>0</v>
      </c>
      <c r="I62" s="10">
        <v>3.16</v>
      </c>
      <c r="J62" s="10">
        <v>0</v>
      </c>
      <c r="K62" s="10">
        <v>0</v>
      </c>
      <c r="L62" s="10">
        <v>0</v>
      </c>
      <c r="M62" s="10">
        <v>0</v>
      </c>
      <c r="N62" s="10">
        <f t="shared" si="1"/>
        <v>3.16</v>
      </c>
    </row>
    <row r="63" spans="1:14" ht="15" customHeight="1">
      <c r="A63" s="108">
        <v>935</v>
      </c>
      <c r="B63" s="10">
        <v>604.78</v>
      </c>
      <c r="C63" s="10">
        <v>282.24</v>
      </c>
      <c r="D63" s="10">
        <v>479.51</v>
      </c>
      <c r="E63" s="10">
        <v>900.56</v>
      </c>
      <c r="F63" s="10">
        <v>360.42</v>
      </c>
      <c r="G63" s="10">
        <v>1475.33</v>
      </c>
      <c r="H63" s="10">
        <v>601.96</v>
      </c>
      <c r="I63" s="10">
        <v>641.67999999999995</v>
      </c>
      <c r="J63" s="10">
        <v>797.62</v>
      </c>
      <c r="K63" s="10">
        <v>925.44</v>
      </c>
      <c r="L63" s="10">
        <v>585.41999999999996</v>
      </c>
      <c r="M63" s="10">
        <v>862.87</v>
      </c>
      <c r="N63" s="10">
        <f t="shared" si="1"/>
        <v>8517.8300000000017</v>
      </c>
    </row>
    <row r="64" spans="1:14" ht="15" customHeight="1">
      <c r="A64" s="108">
        <v>935</v>
      </c>
      <c r="B64" s="10">
        <v>0</v>
      </c>
      <c r="C64" s="10">
        <v>0</v>
      </c>
      <c r="D64" s="10">
        <v>16.91</v>
      </c>
      <c r="E64" s="10">
        <v>0</v>
      </c>
      <c r="F64" s="10">
        <v>0</v>
      </c>
      <c r="G64" s="10">
        <v>0</v>
      </c>
      <c r="H64" s="10">
        <v>8.2899999999999991</v>
      </c>
      <c r="I64" s="10">
        <v>0</v>
      </c>
      <c r="J64" s="10">
        <v>0</v>
      </c>
      <c r="K64" s="10">
        <v>0</v>
      </c>
      <c r="L64" s="10">
        <v>0</v>
      </c>
      <c r="M64" s="10">
        <v>0</v>
      </c>
      <c r="N64" s="10">
        <f t="shared" si="1"/>
        <v>25.2</v>
      </c>
    </row>
    <row r="65" spans="1:14" ht="15" customHeight="1"/>
    <row r="66" spans="1:14" ht="15" customHeight="1">
      <c r="A66" s="13" t="s">
        <v>88</v>
      </c>
      <c r="B66" s="10">
        <f t="shared" ref="B66:N66" si="2">SUM(B13:B64)</f>
        <v>19999.219999999994</v>
      </c>
      <c r="C66" s="10">
        <f t="shared" si="2"/>
        <v>20352.860000000004</v>
      </c>
      <c r="D66" s="10">
        <f t="shared" si="2"/>
        <v>20415.690000000002</v>
      </c>
      <c r="E66" s="10">
        <f t="shared" si="2"/>
        <v>22972.340000000011</v>
      </c>
      <c r="F66" s="10">
        <f t="shared" si="2"/>
        <v>23613.420000000002</v>
      </c>
      <c r="G66" s="10">
        <f t="shared" si="2"/>
        <v>23723.480000000003</v>
      </c>
      <c r="H66" s="10">
        <f t="shared" si="2"/>
        <v>25887.46</v>
      </c>
      <c r="I66" s="10">
        <f t="shared" si="2"/>
        <v>25815.61</v>
      </c>
      <c r="J66" s="10">
        <f t="shared" si="2"/>
        <v>31264.149999999994</v>
      </c>
      <c r="K66" s="10">
        <f t="shared" si="2"/>
        <v>39097.61</v>
      </c>
      <c r="L66" s="10">
        <f t="shared" si="2"/>
        <v>40687.94999999999</v>
      </c>
      <c r="M66" s="10">
        <f t="shared" si="2"/>
        <v>44953.81</v>
      </c>
      <c r="N66" s="10">
        <f t="shared" si="2"/>
        <v>338783.59999999992</v>
      </c>
    </row>
    <row r="67" spans="1:14" ht="15" customHeight="1"/>
    <row r="68" spans="1:14" ht="15" customHeight="1">
      <c r="A68" s="13" t="s">
        <v>320</v>
      </c>
      <c r="B68" s="11">
        <f t="shared" ref="B68:N68" si="3">SUM(B13:B22)</f>
        <v>9958.4499999999989</v>
      </c>
      <c r="C68" s="11">
        <f t="shared" si="3"/>
        <v>11210.100000000002</v>
      </c>
      <c r="D68" s="11">
        <f t="shared" si="3"/>
        <v>11977.060000000001</v>
      </c>
      <c r="E68" s="11">
        <f t="shared" si="3"/>
        <v>13791.74</v>
      </c>
      <c r="F68" s="11">
        <f t="shared" si="3"/>
        <v>13182.920000000002</v>
      </c>
      <c r="G68" s="11">
        <f t="shared" si="3"/>
        <v>16018.239999999998</v>
      </c>
      <c r="H68" s="11">
        <f t="shared" si="3"/>
        <v>16469.439999999999</v>
      </c>
      <c r="I68" s="11">
        <f t="shared" si="3"/>
        <v>11819.26</v>
      </c>
      <c r="J68" s="11">
        <f t="shared" si="3"/>
        <v>20017.189999999995</v>
      </c>
      <c r="K68" s="11">
        <f t="shared" si="3"/>
        <v>18675.939999999999</v>
      </c>
      <c r="L68" s="11">
        <f t="shared" si="3"/>
        <v>21366.570000000003</v>
      </c>
      <c r="M68" s="11">
        <f t="shared" si="3"/>
        <v>22460.829999999998</v>
      </c>
      <c r="N68" s="11">
        <f t="shared" si="3"/>
        <v>186947.74</v>
      </c>
    </row>
    <row r="69" spans="1:14" ht="15" customHeight="1">
      <c r="A69" s="13" t="s">
        <v>313</v>
      </c>
      <c r="B69" s="11">
        <f t="shared" ref="B69:N69" si="4">SUM(B25:B64)</f>
        <v>10040.550000000003</v>
      </c>
      <c r="C69" s="11">
        <f t="shared" si="4"/>
        <v>9142.7599999999984</v>
      </c>
      <c r="D69" s="11">
        <f t="shared" si="4"/>
        <v>8438.6299999999992</v>
      </c>
      <c r="E69" s="11">
        <f t="shared" si="4"/>
        <v>9179.659999999998</v>
      </c>
      <c r="F69" s="11">
        <f t="shared" si="4"/>
        <v>10428.239999999998</v>
      </c>
      <c r="G69" s="11">
        <f t="shared" si="4"/>
        <v>7705.24</v>
      </c>
      <c r="H69" s="11">
        <f t="shared" si="4"/>
        <v>9401.9599999999955</v>
      </c>
      <c r="I69" s="11">
        <f t="shared" si="4"/>
        <v>13994.15</v>
      </c>
      <c r="J69" s="11">
        <f t="shared" si="4"/>
        <v>11233.34</v>
      </c>
      <c r="K69" s="11">
        <f t="shared" si="4"/>
        <v>20406.400000000001</v>
      </c>
      <c r="L69" s="11">
        <f t="shared" si="4"/>
        <v>19321.379999999994</v>
      </c>
      <c r="M69" s="11">
        <f t="shared" si="4"/>
        <v>22489.449999999997</v>
      </c>
      <c r="N69" s="11">
        <f t="shared" si="4"/>
        <v>151781.75999999995</v>
      </c>
    </row>
    <row r="70" spans="1:14" ht="15" customHeight="1">
      <c r="A70" s="13" t="s">
        <v>319</v>
      </c>
      <c r="B70" s="115">
        <f t="shared" ref="B70:N70" si="5">SUM(B23:B24)</f>
        <v>0.22</v>
      </c>
      <c r="C70" s="115">
        <f t="shared" si="5"/>
        <v>0</v>
      </c>
      <c r="D70" s="115">
        <f t="shared" si="5"/>
        <v>0</v>
      </c>
      <c r="E70" s="115">
        <f t="shared" si="5"/>
        <v>0.94</v>
      </c>
      <c r="F70" s="115">
        <f t="shared" si="5"/>
        <v>2.2599999999999998</v>
      </c>
      <c r="G70" s="115">
        <f t="shared" si="5"/>
        <v>0</v>
      </c>
      <c r="H70" s="115">
        <f t="shared" si="5"/>
        <v>16.059999999999999</v>
      </c>
      <c r="I70" s="115">
        <f t="shared" si="5"/>
        <v>2.2000000000000002</v>
      </c>
      <c r="J70" s="115">
        <f t="shared" si="5"/>
        <v>13.62</v>
      </c>
      <c r="K70" s="115">
        <f t="shared" si="5"/>
        <v>15.27</v>
      </c>
      <c r="L70" s="115">
        <f t="shared" si="5"/>
        <v>0</v>
      </c>
      <c r="M70" s="115">
        <f t="shared" si="5"/>
        <v>3.53</v>
      </c>
      <c r="N70" s="115">
        <f t="shared" si="5"/>
        <v>54.099999999999994</v>
      </c>
    </row>
    <row r="71" spans="1:14" ht="15" customHeight="1" thickBot="1">
      <c r="A71" s="107" t="s">
        <v>88</v>
      </c>
      <c r="B71" s="152">
        <f t="shared" ref="B71:N71" si="6">SUM(B68:B70)</f>
        <v>19999.22</v>
      </c>
      <c r="C71" s="152">
        <f t="shared" si="6"/>
        <v>20352.86</v>
      </c>
      <c r="D71" s="152">
        <f t="shared" si="6"/>
        <v>20415.690000000002</v>
      </c>
      <c r="E71" s="152">
        <f t="shared" si="6"/>
        <v>22972.339999999997</v>
      </c>
      <c r="F71" s="152">
        <f t="shared" si="6"/>
        <v>23613.42</v>
      </c>
      <c r="G71" s="152">
        <f t="shared" si="6"/>
        <v>23723.479999999996</v>
      </c>
      <c r="H71" s="152">
        <f t="shared" si="6"/>
        <v>25887.459999999995</v>
      </c>
      <c r="I71" s="152">
        <f t="shared" si="6"/>
        <v>25815.61</v>
      </c>
      <c r="J71" s="152">
        <f t="shared" si="6"/>
        <v>31264.149999999994</v>
      </c>
      <c r="K71" s="152">
        <f t="shared" si="6"/>
        <v>39097.609999999993</v>
      </c>
      <c r="L71" s="152">
        <f t="shared" si="6"/>
        <v>40687.949999999997</v>
      </c>
      <c r="M71" s="152">
        <f t="shared" si="6"/>
        <v>44953.81</v>
      </c>
      <c r="N71" s="152">
        <f t="shared" si="6"/>
        <v>338783.59999999992</v>
      </c>
    </row>
    <row r="72" spans="1:14" ht="15" customHeight="1" thickTop="1">
      <c r="B72" s="22"/>
      <c r="C72" s="22"/>
      <c r="D72" s="22"/>
      <c r="E72" s="22"/>
      <c r="F72" s="22"/>
      <c r="G72" s="22"/>
      <c r="H72" s="22"/>
      <c r="I72" s="22"/>
      <c r="J72" s="22"/>
      <c r="K72" s="22"/>
      <c r="L72" s="22"/>
      <c r="M72" s="22"/>
      <c r="N72" s="22"/>
    </row>
    <row r="73" spans="1:14" ht="15" customHeight="1">
      <c r="A73" s="3" t="s">
        <v>53</v>
      </c>
      <c r="B73" s="671" t="s">
        <v>54</v>
      </c>
      <c r="C73" s="670"/>
      <c r="D73" s="670"/>
    </row>
  </sheetData>
  <mergeCells count="6">
    <mergeCell ref="B73:D73"/>
    <mergeCell ref="A1:E1"/>
    <mergeCell ref="A2:E2"/>
    <mergeCell ref="A3:E3"/>
    <mergeCell ref="A4:E4"/>
    <mergeCell ref="B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161BD-CC46-4644-8E3E-B7025F304E54}">
  <dimension ref="A1:N26"/>
  <sheetViews>
    <sheetView showRuler="0" workbookViewId="0">
      <selection sqref="A1:C1"/>
    </sheetView>
  </sheetViews>
  <sheetFormatPr defaultColWidth="13.7265625" defaultRowHeight="12.5"/>
  <cols>
    <col min="1" max="1" width="51.453125" style="2" customWidth="1"/>
    <col min="2" max="4" width="18" style="2" customWidth="1"/>
    <col min="5" max="5" width="2.453125" style="2" customWidth="1"/>
    <col min="6" max="8" width="18" style="2" customWidth="1"/>
    <col min="9" max="9" width="13.7265625" style="2" customWidth="1"/>
    <col min="10" max="10" width="4.26953125" style="2" customWidth="1"/>
    <col min="11" max="11" width="48.81640625" style="2" customWidth="1"/>
    <col min="12" max="16384" width="13.7265625" style="2"/>
  </cols>
  <sheetData>
    <row r="1" spans="1:14" ht="15" customHeight="1">
      <c r="A1" s="671" t="s">
        <v>51</v>
      </c>
      <c r="B1" s="670"/>
      <c r="C1" s="670"/>
    </row>
    <row r="2" spans="1:14" ht="15" customHeight="1">
      <c r="A2" s="672" t="s">
        <v>334</v>
      </c>
      <c r="B2" s="670"/>
      <c r="C2" s="670"/>
      <c r="D2" s="670"/>
    </row>
    <row r="3" spans="1:14" ht="15" customHeight="1">
      <c r="A3" s="672" t="s">
        <v>333</v>
      </c>
      <c r="B3" s="670"/>
      <c r="C3" s="670"/>
      <c r="L3" s="143"/>
      <c r="M3" s="143"/>
      <c r="N3" s="143"/>
    </row>
    <row r="4" spans="1:14" ht="15" customHeight="1">
      <c r="A4" s="671" t="s">
        <v>83</v>
      </c>
      <c r="B4" s="670"/>
      <c r="C4" s="670"/>
      <c r="D4" s="670"/>
      <c r="E4" s="670"/>
      <c r="F4" s="670"/>
      <c r="L4" s="143"/>
      <c r="M4" s="143"/>
      <c r="N4" s="143"/>
    </row>
    <row r="5" spans="1:14" ht="15" customHeight="1">
      <c r="A5" s="143"/>
      <c r="B5" s="173"/>
      <c r="C5" s="697"/>
      <c r="D5" s="697"/>
      <c r="E5" s="168"/>
      <c r="F5" s="670"/>
      <c r="G5" s="670"/>
      <c r="H5" s="697"/>
      <c r="I5" s="698"/>
      <c r="J5" s="143"/>
      <c r="K5" s="169"/>
      <c r="L5" s="168"/>
      <c r="M5" s="168"/>
      <c r="N5" s="168"/>
    </row>
    <row r="6" spans="1:14" ht="16.75" customHeight="1">
      <c r="A6" s="171"/>
      <c r="B6" s="700" t="s">
        <v>332</v>
      </c>
      <c r="C6" s="700"/>
      <c r="D6" s="700"/>
      <c r="E6" s="180"/>
      <c r="F6" s="700" t="s">
        <v>331</v>
      </c>
      <c r="G6" s="700"/>
      <c r="H6" s="700"/>
      <c r="I6" s="179"/>
      <c r="J6" s="143"/>
      <c r="K6" s="169"/>
      <c r="L6" s="169"/>
      <c r="M6" s="169"/>
      <c r="N6" s="169"/>
    </row>
    <row r="7" spans="1:14" ht="15" customHeight="1">
      <c r="A7" s="171"/>
      <c r="B7" s="170" t="s">
        <v>328</v>
      </c>
      <c r="C7" s="170" t="s">
        <v>327</v>
      </c>
      <c r="D7" s="170" t="s">
        <v>88</v>
      </c>
      <c r="E7" s="178"/>
      <c r="F7" s="170" t="s">
        <v>328</v>
      </c>
      <c r="G7" s="170" t="s">
        <v>327</v>
      </c>
      <c r="H7" s="170" t="s">
        <v>88</v>
      </c>
      <c r="I7" s="162"/>
      <c r="J7" s="143"/>
      <c r="K7" s="143"/>
      <c r="L7" s="143"/>
      <c r="M7" s="143"/>
      <c r="N7" s="143"/>
    </row>
    <row r="8" spans="1:14" ht="16.75" customHeight="1">
      <c r="A8" s="143" t="s">
        <v>326</v>
      </c>
      <c r="B8" s="167">
        <v>1545288</v>
      </c>
      <c r="C8" s="167">
        <v>-1748661</v>
      </c>
      <c r="D8" s="167">
        <f>SUM(B8:C8)</f>
        <v>-203373</v>
      </c>
      <c r="E8" s="143"/>
      <c r="F8" s="167">
        <f>1057120/2</f>
        <v>528560</v>
      </c>
      <c r="G8" s="167">
        <f>-1528353/2</f>
        <v>-764176.5</v>
      </c>
      <c r="H8" s="167">
        <f>SUM(F8:G8)</f>
        <v>-235616.5</v>
      </c>
      <c r="I8" s="143"/>
      <c r="J8" s="143"/>
      <c r="K8" s="143"/>
      <c r="L8" s="143"/>
      <c r="M8" s="143"/>
      <c r="N8" s="143"/>
    </row>
    <row r="9" spans="1:14" ht="16.75" customHeight="1">
      <c r="A9" s="143" t="s">
        <v>325</v>
      </c>
      <c r="B9" s="166">
        <v>5578</v>
      </c>
      <c r="C9" s="166">
        <v>5305</v>
      </c>
      <c r="D9" s="166">
        <f>SUM(B9:C9)</f>
        <v>10883</v>
      </c>
      <c r="E9" s="143"/>
      <c r="F9" s="166">
        <f>1879/2</f>
        <v>939.5</v>
      </c>
      <c r="G9" s="166">
        <f>1499/2</f>
        <v>749.5</v>
      </c>
      <c r="H9" s="166">
        <f>SUM(F9:G9)</f>
        <v>1689</v>
      </c>
      <c r="I9" s="143"/>
      <c r="J9" s="143"/>
      <c r="K9" s="143"/>
      <c r="L9" s="143"/>
      <c r="M9" s="143"/>
      <c r="N9" s="143"/>
    </row>
    <row r="10" spans="1:14" ht="16.75" customHeight="1">
      <c r="A10" s="143" t="s">
        <v>324</v>
      </c>
      <c r="B10" s="165">
        <v>46850</v>
      </c>
      <c r="C10" s="165">
        <v>-2706053</v>
      </c>
      <c r="D10" s="165">
        <f>SUM(B10:C10)</f>
        <v>-2659203</v>
      </c>
      <c r="E10" s="143"/>
      <c r="F10" s="165">
        <f>57425/2</f>
        <v>28712.5</v>
      </c>
      <c r="G10" s="165">
        <f>-345519/2</f>
        <v>-172759.5</v>
      </c>
      <c r="H10" s="165">
        <f>SUM(F10:G10)</f>
        <v>-144047</v>
      </c>
      <c r="I10" s="143"/>
      <c r="J10" s="143"/>
      <c r="K10" s="143"/>
      <c r="L10" s="143"/>
      <c r="M10" s="143"/>
      <c r="N10" s="143"/>
    </row>
    <row r="11" spans="1:14" ht="15" customHeight="1" thickBot="1">
      <c r="A11" s="177" t="s">
        <v>88</v>
      </c>
      <c r="B11" s="176">
        <f>SUM(B8:B10)</f>
        <v>1597716</v>
      </c>
      <c r="C11" s="176">
        <f>SUM(C8:C10)</f>
        <v>-4449409</v>
      </c>
      <c r="D11" s="176">
        <f>SUM(D8:D10)</f>
        <v>-2851693</v>
      </c>
      <c r="E11" s="177"/>
      <c r="F11" s="176">
        <f>SUM(F8:F10)</f>
        <v>558212</v>
      </c>
      <c r="G11" s="176">
        <f>SUM(G8:G10)</f>
        <v>-936186.5</v>
      </c>
      <c r="H11" s="176">
        <f>SUM(H8:H10)</f>
        <v>-377974.5</v>
      </c>
      <c r="I11" s="143"/>
      <c r="J11" s="143"/>
      <c r="K11" s="143"/>
      <c r="L11" s="143"/>
      <c r="M11" s="143"/>
      <c r="N11" s="143"/>
    </row>
    <row r="12" spans="1:14" ht="15" customHeight="1" thickTop="1">
      <c r="A12" s="143"/>
      <c r="B12" s="161"/>
      <c r="C12" s="161"/>
      <c r="D12" s="161"/>
      <c r="E12" s="143"/>
      <c r="F12" s="175"/>
      <c r="G12" s="175"/>
      <c r="H12" s="175"/>
      <c r="I12" s="143"/>
      <c r="J12" s="143"/>
      <c r="K12" s="143"/>
      <c r="L12" s="143"/>
      <c r="M12" s="143"/>
      <c r="N12" s="143"/>
    </row>
    <row r="13" spans="1:14" ht="15" customHeight="1">
      <c r="E13" s="174">
        <v>1</v>
      </c>
      <c r="F13" s="699" t="s">
        <v>330</v>
      </c>
      <c r="G13" s="699"/>
      <c r="H13" s="699"/>
      <c r="I13" s="162"/>
      <c r="J13" s="143"/>
      <c r="K13" s="143"/>
      <c r="L13" s="143"/>
      <c r="M13" s="143"/>
      <c r="N13" s="143"/>
    </row>
    <row r="14" spans="1:14" ht="15" customHeight="1">
      <c r="E14" s="171"/>
      <c r="F14" s="699"/>
      <c r="G14" s="699"/>
      <c r="H14" s="699"/>
      <c r="I14" s="162"/>
      <c r="J14" s="143"/>
      <c r="K14" s="143"/>
      <c r="L14" s="143"/>
      <c r="M14" s="143"/>
      <c r="N14" s="143"/>
    </row>
    <row r="15" spans="1:14" ht="15" customHeight="1">
      <c r="A15" s="143"/>
      <c r="B15" s="173"/>
      <c r="C15" s="173"/>
      <c r="D15" s="173"/>
      <c r="E15" s="143"/>
      <c r="F15" s="172"/>
      <c r="G15" s="172"/>
      <c r="H15" s="172"/>
      <c r="I15" s="143"/>
      <c r="J15" s="143"/>
      <c r="K15" s="143"/>
      <c r="L15" s="143"/>
      <c r="M15" s="143"/>
      <c r="N15" s="143"/>
    </row>
    <row r="16" spans="1:14" ht="15" customHeight="1">
      <c r="A16" s="171"/>
      <c r="B16" s="700" t="s">
        <v>329</v>
      </c>
      <c r="C16" s="700"/>
      <c r="D16" s="700"/>
      <c r="E16" s="162"/>
      <c r="F16" s="143"/>
      <c r="G16" s="143"/>
      <c r="H16" s="143"/>
      <c r="I16" s="143"/>
      <c r="J16" s="143"/>
      <c r="K16" s="169"/>
      <c r="L16" s="168"/>
      <c r="M16" s="168"/>
      <c r="N16" s="168"/>
    </row>
    <row r="17" spans="1:14" ht="15" customHeight="1">
      <c r="A17" s="171"/>
      <c r="B17" s="170" t="s">
        <v>328</v>
      </c>
      <c r="C17" s="170" t="s">
        <v>327</v>
      </c>
      <c r="D17" s="170" t="s">
        <v>88</v>
      </c>
      <c r="E17" s="162"/>
      <c r="F17" s="143"/>
      <c r="G17" s="143"/>
      <c r="H17" s="143"/>
      <c r="I17" s="143"/>
      <c r="J17" s="143"/>
      <c r="K17" s="169"/>
      <c r="L17" s="168"/>
      <c r="M17" s="168"/>
      <c r="N17" s="168"/>
    </row>
    <row r="18" spans="1:14" ht="16.75" customHeight="1">
      <c r="A18" s="143" t="s">
        <v>326</v>
      </c>
      <c r="B18" s="167">
        <f t="shared" ref="B18:C20" si="0">B8+F8</f>
        <v>2073848</v>
      </c>
      <c r="C18" s="167">
        <f t="shared" si="0"/>
        <v>-2512837.5</v>
      </c>
      <c r="D18" s="167">
        <f>B18+C18</f>
        <v>-438989.5</v>
      </c>
      <c r="E18" s="143"/>
      <c r="F18" s="143"/>
      <c r="G18" s="143"/>
      <c r="H18" s="143"/>
      <c r="I18" s="143"/>
      <c r="J18" s="143"/>
      <c r="K18" s="143"/>
      <c r="L18" s="143"/>
      <c r="M18" s="143"/>
      <c r="N18" s="143"/>
    </row>
    <row r="19" spans="1:14" ht="16.75" customHeight="1">
      <c r="A19" s="143" t="s">
        <v>325</v>
      </c>
      <c r="B19" s="166">
        <f t="shared" si="0"/>
        <v>6517.5</v>
      </c>
      <c r="C19" s="166">
        <f t="shared" si="0"/>
        <v>6054.5</v>
      </c>
      <c r="D19" s="166">
        <f>B19+C19</f>
        <v>12572</v>
      </c>
      <c r="E19" s="143"/>
      <c r="F19" s="143"/>
      <c r="G19" s="143"/>
      <c r="H19" s="143"/>
      <c r="I19" s="143"/>
      <c r="J19" s="143"/>
      <c r="K19" s="143"/>
      <c r="L19" s="143"/>
      <c r="M19" s="143"/>
      <c r="N19" s="143"/>
    </row>
    <row r="20" spans="1:14" ht="16.75" customHeight="1">
      <c r="A20" s="143" t="s">
        <v>324</v>
      </c>
      <c r="B20" s="165">
        <f t="shared" si="0"/>
        <v>75562.5</v>
      </c>
      <c r="C20" s="165">
        <f t="shared" si="0"/>
        <v>-2878812.5</v>
      </c>
      <c r="D20" s="165">
        <f>B20+C20</f>
        <v>-2803250</v>
      </c>
      <c r="E20" s="143"/>
      <c r="F20" s="143"/>
      <c r="G20" s="143"/>
      <c r="H20" s="143"/>
      <c r="I20" s="143"/>
      <c r="J20" s="143"/>
      <c r="K20" s="143"/>
      <c r="L20" s="143"/>
      <c r="M20" s="143"/>
      <c r="N20" s="143"/>
    </row>
    <row r="21" spans="1:14" ht="16.75" customHeight="1" thickBot="1">
      <c r="A21" s="164" t="s">
        <v>88</v>
      </c>
      <c r="B21" s="163">
        <f>SUM(B18:B20)</f>
        <v>2155928</v>
      </c>
      <c r="C21" s="163">
        <f>SUM(C18:C20)</f>
        <v>-5385595.5</v>
      </c>
      <c r="D21" s="163">
        <f>SUM(D18:D20)</f>
        <v>-3229667.5</v>
      </c>
      <c r="E21" s="162"/>
      <c r="F21" s="143"/>
      <c r="G21" s="143"/>
      <c r="H21" s="143"/>
      <c r="I21" s="143"/>
      <c r="J21" s="143"/>
      <c r="K21" s="143"/>
      <c r="L21" s="143"/>
      <c r="M21" s="143"/>
      <c r="N21" s="143"/>
    </row>
    <row r="22" spans="1:14" ht="15" customHeight="1" thickTop="1">
      <c r="A22" s="143"/>
      <c r="B22" s="161"/>
      <c r="C22" s="161"/>
      <c r="D22" s="161"/>
      <c r="E22" s="143"/>
      <c r="F22" s="143"/>
      <c r="G22" s="143"/>
      <c r="H22" s="143"/>
      <c r="I22" s="143"/>
      <c r="J22" s="143"/>
      <c r="K22" s="143"/>
      <c r="L22" s="143"/>
      <c r="M22" s="143"/>
      <c r="N22" s="143"/>
    </row>
    <row r="23" spans="1:14" ht="15" customHeight="1"/>
    <row r="24" spans="1:14" ht="15" customHeight="1"/>
    <row r="25" spans="1:14" ht="15" customHeight="1">
      <c r="A25" s="3" t="s">
        <v>53</v>
      </c>
      <c r="B25" s="3" t="s">
        <v>54</v>
      </c>
    </row>
    <row r="26" spans="1:14" ht="15" customHeight="1"/>
  </sheetData>
  <mergeCells count="11">
    <mergeCell ref="H5:I5"/>
    <mergeCell ref="F13:H14"/>
    <mergeCell ref="B16:D16"/>
    <mergeCell ref="A2:D2"/>
    <mergeCell ref="A1:C1"/>
    <mergeCell ref="A4:F4"/>
    <mergeCell ref="A3:C3"/>
    <mergeCell ref="B6:D6"/>
    <mergeCell ref="C5:D5"/>
    <mergeCell ref="F5:G5"/>
    <mergeCell ref="F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EE4A-ECDF-472F-BE5C-FD220D72A1B3}">
  <dimension ref="A1:G26"/>
  <sheetViews>
    <sheetView showRuler="0" workbookViewId="0">
      <selection sqref="A1:C1"/>
    </sheetView>
  </sheetViews>
  <sheetFormatPr defaultColWidth="13.7265625" defaultRowHeight="12.5"/>
  <cols>
    <col min="1" max="1" width="40" style="2" customWidth="1"/>
    <col min="2" max="2" width="19.81640625" style="2" customWidth="1"/>
    <col min="3" max="3" width="14.81640625" style="2" customWidth="1"/>
    <col min="4" max="4" width="23.7265625" style="2" customWidth="1"/>
    <col min="5" max="6" width="16" style="2" customWidth="1"/>
    <col min="7" max="16384" width="13.7265625" style="2"/>
  </cols>
  <sheetData>
    <row r="1" spans="1:7" ht="15" customHeight="1">
      <c r="A1" s="671" t="s">
        <v>51</v>
      </c>
      <c r="B1" s="670"/>
      <c r="C1" s="670"/>
    </row>
    <row r="2" spans="1:7" ht="15" customHeight="1">
      <c r="A2" s="672" t="s">
        <v>334</v>
      </c>
      <c r="B2" s="670"/>
      <c r="C2" s="670"/>
      <c r="D2" s="670"/>
    </row>
    <row r="3" spans="1:7" ht="15" customHeight="1">
      <c r="A3" s="672" t="s">
        <v>346</v>
      </c>
      <c r="B3" s="670"/>
      <c r="C3" s="670"/>
    </row>
    <row r="4" spans="1:7" ht="15" customHeight="1">
      <c r="A4" s="671" t="s">
        <v>83</v>
      </c>
      <c r="B4" s="670"/>
      <c r="C4" s="670"/>
      <c r="D4" s="670"/>
      <c r="E4" s="670"/>
    </row>
    <row r="5" spans="1:7" ht="15" customHeight="1"/>
    <row r="6" spans="1:7" ht="15" customHeight="1"/>
    <row r="7" spans="1:7" ht="15" customHeight="1"/>
    <row r="8" spans="1:7" ht="27.65" customHeight="1">
      <c r="C8" s="124" t="s">
        <v>282</v>
      </c>
      <c r="D8" s="28" t="s">
        <v>345</v>
      </c>
      <c r="E8" s="182"/>
    </row>
    <row r="9" spans="1:7" ht="16.75" customHeight="1">
      <c r="A9" s="124" t="s">
        <v>230</v>
      </c>
      <c r="B9" s="124"/>
      <c r="C9" s="149">
        <v>2025</v>
      </c>
      <c r="D9" s="124"/>
      <c r="E9" s="124"/>
      <c r="F9" s="124"/>
      <c r="G9" s="18"/>
    </row>
    <row r="10" spans="1:7" ht="15" customHeight="1">
      <c r="A10" s="124" t="s">
        <v>231</v>
      </c>
      <c r="B10" s="124" t="s">
        <v>232</v>
      </c>
      <c r="C10" s="149">
        <v>1</v>
      </c>
      <c r="D10" s="149">
        <v>2</v>
      </c>
      <c r="E10" s="149">
        <v>3</v>
      </c>
      <c r="F10" s="124" t="s">
        <v>244</v>
      </c>
      <c r="G10" s="18"/>
    </row>
    <row r="11" spans="1:7" ht="16.75" customHeight="1">
      <c r="A11" s="17" t="s">
        <v>344</v>
      </c>
      <c r="B11" s="17" t="s">
        <v>338</v>
      </c>
      <c r="C11" s="15">
        <v>44010.29</v>
      </c>
      <c r="D11" s="15">
        <v>44010.29</v>
      </c>
      <c r="E11" s="15">
        <v>44119.42</v>
      </c>
      <c r="F11" s="15">
        <f t="shared" ref="F11:F16" si="0">SUM(C11:E11)</f>
        <v>132140</v>
      </c>
    </row>
    <row r="12" spans="1:7" ht="16.75" customHeight="1">
      <c r="A12" s="13" t="s">
        <v>343</v>
      </c>
      <c r="B12" s="13" t="s">
        <v>338</v>
      </c>
      <c r="C12" s="11">
        <v>2684.17</v>
      </c>
      <c r="D12" s="11">
        <v>2684.17</v>
      </c>
      <c r="E12" s="11">
        <v>1809.8</v>
      </c>
      <c r="F12" s="11">
        <f t="shared" si="0"/>
        <v>7178.14</v>
      </c>
    </row>
    <row r="13" spans="1:7" ht="16.75" customHeight="1">
      <c r="A13" s="13" t="s">
        <v>342</v>
      </c>
      <c r="B13" s="13" t="s">
        <v>338</v>
      </c>
      <c r="C13" s="11">
        <v>55.84</v>
      </c>
      <c r="D13" s="11">
        <v>55.84</v>
      </c>
      <c r="E13" s="11">
        <v>123.2</v>
      </c>
      <c r="F13" s="11">
        <f t="shared" si="0"/>
        <v>234.88</v>
      </c>
    </row>
    <row r="14" spans="1:7" ht="16.75" customHeight="1">
      <c r="A14" s="13" t="s">
        <v>341</v>
      </c>
      <c r="B14" s="13" t="s">
        <v>338</v>
      </c>
      <c r="C14" s="11">
        <v>36.04</v>
      </c>
      <c r="D14" s="11">
        <v>36.04</v>
      </c>
      <c r="E14" s="11">
        <v>115.3</v>
      </c>
      <c r="F14" s="11">
        <f t="shared" si="0"/>
        <v>187.38</v>
      </c>
    </row>
    <row r="15" spans="1:7" ht="16.75" customHeight="1">
      <c r="A15" s="13" t="s">
        <v>340</v>
      </c>
      <c r="B15" s="13" t="s">
        <v>338</v>
      </c>
      <c r="C15" s="11">
        <v>-15286.59</v>
      </c>
      <c r="D15" s="11">
        <v>-15286.59</v>
      </c>
      <c r="E15" s="11">
        <v>-12616.71</v>
      </c>
      <c r="F15" s="11">
        <f t="shared" si="0"/>
        <v>-43189.89</v>
      </c>
    </row>
    <row r="16" spans="1:7" ht="16.75" customHeight="1">
      <c r="A16" s="13" t="s">
        <v>339</v>
      </c>
      <c r="B16" s="13" t="s">
        <v>338</v>
      </c>
      <c r="C16" s="115">
        <v>-63649.5</v>
      </c>
      <c r="D16" s="115">
        <v>-63649.5</v>
      </c>
      <c r="E16" s="115">
        <v>-63745.13</v>
      </c>
      <c r="F16" s="11">
        <f t="shared" si="0"/>
        <v>-191044.13</v>
      </c>
    </row>
    <row r="17" spans="1:6" ht="16.75" customHeight="1" thickBot="1">
      <c r="A17" s="107" t="s">
        <v>244</v>
      </c>
      <c r="C17" s="152">
        <f>SUM(C11:C16)</f>
        <v>-32149.750000000004</v>
      </c>
      <c r="D17" s="152">
        <f>SUM(D11:D16)</f>
        <v>-32149.750000000004</v>
      </c>
      <c r="E17" s="152">
        <f>SUM(E11:E16)</f>
        <v>-30194.119999999995</v>
      </c>
      <c r="F17" s="181">
        <f>SUM(F11:F16)</f>
        <v>-94493.619999999981</v>
      </c>
    </row>
    <row r="18" spans="1:6" ht="16.75" customHeight="1" thickTop="1">
      <c r="C18" s="22"/>
      <c r="D18" s="22"/>
      <c r="E18" s="22"/>
      <c r="F18" s="22"/>
    </row>
    <row r="19" spans="1:6" ht="16.75" customHeight="1"/>
    <row r="20" spans="1:6" ht="16.75" customHeight="1">
      <c r="B20" s="13"/>
      <c r="D20" s="672" t="s">
        <v>337</v>
      </c>
      <c r="E20" s="670"/>
      <c r="F20" s="11">
        <f>(F11+F12+F13)*4</f>
        <v>558212.08000000007</v>
      </c>
    </row>
    <row r="21" spans="1:6" ht="16.75" customHeight="1">
      <c r="D21" s="672" t="s">
        <v>336</v>
      </c>
      <c r="E21" s="670"/>
      <c r="F21" s="115">
        <f>(F14+F15+F16)*4</f>
        <v>-936186.56</v>
      </c>
    </row>
    <row r="22" spans="1:6" ht="16.75" customHeight="1" thickBot="1">
      <c r="D22" s="672" t="s">
        <v>335</v>
      </c>
      <c r="E22" s="670"/>
      <c r="F22" s="152">
        <f>F20+F21</f>
        <v>-377974.48</v>
      </c>
    </row>
    <row r="23" spans="1:6" ht="15" customHeight="1" thickTop="1">
      <c r="F23" s="22"/>
    </row>
    <row r="24" spans="1:6" ht="15" customHeight="1"/>
    <row r="25" spans="1:6" ht="15" customHeight="1"/>
    <row r="26" spans="1:6" ht="15" customHeight="1">
      <c r="A26" s="3" t="s">
        <v>53</v>
      </c>
      <c r="B26" s="3" t="s">
        <v>54</v>
      </c>
    </row>
  </sheetData>
  <mergeCells count="7">
    <mergeCell ref="D22:E22"/>
    <mergeCell ref="D21:E21"/>
    <mergeCell ref="A2:D2"/>
    <mergeCell ref="A1:C1"/>
    <mergeCell ref="A4:E4"/>
    <mergeCell ref="A3:C3"/>
    <mergeCell ref="D20: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7611-5B16-42BA-A421-D58D80AA5335}">
  <dimension ref="A1:M25"/>
  <sheetViews>
    <sheetView showRuler="0" workbookViewId="0">
      <selection sqref="A1:C1"/>
    </sheetView>
  </sheetViews>
  <sheetFormatPr defaultColWidth="13.7265625" defaultRowHeight="12.5"/>
  <cols>
    <col min="1" max="1" width="8" style="2" customWidth="1"/>
    <col min="2" max="2" width="16.453125" style="2" customWidth="1"/>
    <col min="3" max="3" width="16" style="2" customWidth="1"/>
    <col min="4" max="12" width="16.7265625" style="2" customWidth="1"/>
    <col min="13" max="16384" width="13.7265625" style="2"/>
  </cols>
  <sheetData>
    <row r="1" spans="1:13" ht="15" customHeight="1">
      <c r="A1" s="671" t="s">
        <v>51</v>
      </c>
      <c r="B1" s="670"/>
      <c r="C1" s="670"/>
    </row>
    <row r="2" spans="1:13" ht="15" customHeight="1">
      <c r="A2" s="672" t="s">
        <v>85</v>
      </c>
      <c r="B2" s="670"/>
      <c r="C2" s="670"/>
      <c r="D2" s="670"/>
      <c r="E2" s="670"/>
      <c r="F2" s="670"/>
      <c r="G2" s="670"/>
    </row>
    <row r="3" spans="1:13" ht="15" customHeight="1">
      <c r="A3" s="672" t="s">
        <v>84</v>
      </c>
      <c r="B3" s="670"/>
      <c r="C3" s="670"/>
      <c r="D3" s="670"/>
      <c r="E3" s="670"/>
      <c r="F3" s="670"/>
      <c r="G3" s="670"/>
    </row>
    <row r="4" spans="1:13" ht="15" customHeight="1">
      <c r="A4" s="671" t="s">
        <v>83</v>
      </c>
      <c r="B4" s="670"/>
      <c r="C4" s="670"/>
      <c r="D4" s="670"/>
      <c r="E4" s="670"/>
      <c r="F4" s="670"/>
      <c r="G4" s="670"/>
    </row>
    <row r="5" spans="1:13" ht="15" customHeight="1"/>
    <row r="6" spans="1:13" ht="39.25" customHeight="1">
      <c r="A6" s="19" t="s">
        <v>82</v>
      </c>
      <c r="B6" s="19" t="s">
        <v>81</v>
      </c>
      <c r="C6" s="19" t="s">
        <v>80</v>
      </c>
      <c r="D6" s="19" t="s">
        <v>79</v>
      </c>
      <c r="E6" s="19" t="s">
        <v>78</v>
      </c>
      <c r="F6" s="19" t="s">
        <v>77</v>
      </c>
      <c r="G6" s="19" t="s">
        <v>76</v>
      </c>
      <c r="H6" s="19" t="s">
        <v>75</v>
      </c>
      <c r="I6" s="19" t="s">
        <v>74</v>
      </c>
      <c r="J6" s="19" t="s">
        <v>73</v>
      </c>
      <c r="K6" s="19" t="s">
        <v>72</v>
      </c>
      <c r="L6" s="19" t="s">
        <v>71</v>
      </c>
      <c r="M6" s="18"/>
    </row>
    <row r="7" spans="1:13" ht="15" customHeight="1">
      <c r="A7" s="17" t="s">
        <v>70</v>
      </c>
      <c r="B7" s="14">
        <v>5384.98</v>
      </c>
      <c r="C7" s="15">
        <v>409321657</v>
      </c>
      <c r="D7" s="16">
        <v>1.3156000000000001E-5</v>
      </c>
      <c r="E7" s="15">
        <v>0</v>
      </c>
      <c r="F7" s="15">
        <v>0</v>
      </c>
      <c r="G7" s="15">
        <v>0</v>
      </c>
      <c r="H7" s="14">
        <v>0</v>
      </c>
      <c r="I7" s="14">
        <v>0</v>
      </c>
      <c r="J7" s="14">
        <v>5384.98</v>
      </c>
      <c r="K7" s="14">
        <v>0</v>
      </c>
      <c r="L7" s="14">
        <v>5384.98</v>
      </c>
    </row>
    <row r="8" spans="1:13" ht="15" customHeight="1">
      <c r="A8" s="13" t="s">
        <v>69</v>
      </c>
      <c r="B8" s="10">
        <v>-214.48</v>
      </c>
      <c r="C8" s="11">
        <v>563482682</v>
      </c>
      <c r="D8" s="12">
        <v>-3.8099999999999998E-7</v>
      </c>
      <c r="E8" s="11">
        <v>0</v>
      </c>
      <c r="F8" s="11">
        <v>0</v>
      </c>
      <c r="G8" s="11">
        <v>0</v>
      </c>
      <c r="H8" s="10">
        <v>0</v>
      </c>
      <c r="I8" s="10">
        <v>0</v>
      </c>
      <c r="J8" s="10">
        <v>-214.48</v>
      </c>
      <c r="K8" s="10">
        <v>0</v>
      </c>
      <c r="L8" s="10">
        <v>-214.48</v>
      </c>
    </row>
    <row r="9" spans="1:13" ht="15" customHeight="1">
      <c r="A9" s="13" t="s">
        <v>68</v>
      </c>
      <c r="B9" s="10">
        <v>-69.37</v>
      </c>
      <c r="C9" s="11">
        <v>452954226</v>
      </c>
      <c r="D9" s="12">
        <v>-1.5300000000000001E-7</v>
      </c>
      <c r="E9" s="11">
        <v>0</v>
      </c>
      <c r="F9" s="11">
        <v>0</v>
      </c>
      <c r="G9" s="11">
        <v>0</v>
      </c>
      <c r="H9" s="10">
        <v>0</v>
      </c>
      <c r="I9" s="10">
        <v>0</v>
      </c>
      <c r="J9" s="10">
        <v>-69.37</v>
      </c>
      <c r="K9" s="10">
        <v>0</v>
      </c>
      <c r="L9" s="10">
        <v>-69.37</v>
      </c>
    </row>
    <row r="10" spans="1:13" ht="15" customHeight="1">
      <c r="A10" s="13" t="s">
        <v>67</v>
      </c>
      <c r="B10" s="10">
        <v>-117.87</v>
      </c>
      <c r="C10" s="11">
        <v>430767237</v>
      </c>
      <c r="D10" s="12">
        <v>-2.7399999999999999E-7</v>
      </c>
      <c r="E10" s="11">
        <v>0</v>
      </c>
      <c r="F10" s="11">
        <v>0</v>
      </c>
      <c r="G10" s="11">
        <v>0</v>
      </c>
      <c r="H10" s="10">
        <v>0</v>
      </c>
      <c r="I10" s="10">
        <v>0</v>
      </c>
      <c r="J10" s="10">
        <v>-117.87</v>
      </c>
      <c r="K10" s="10">
        <v>0</v>
      </c>
      <c r="L10" s="10">
        <v>-117.87</v>
      </c>
    </row>
    <row r="11" spans="1:13" ht="15" customHeight="1">
      <c r="A11" s="13" t="s">
        <v>66</v>
      </c>
      <c r="B11" s="10">
        <v>-74.86</v>
      </c>
      <c r="C11" s="11">
        <v>306102742</v>
      </c>
      <c r="D11" s="12">
        <v>-2.4499999999999998E-7</v>
      </c>
      <c r="E11" s="11">
        <v>0</v>
      </c>
      <c r="F11" s="11">
        <v>0</v>
      </c>
      <c r="G11" s="11">
        <v>0</v>
      </c>
      <c r="H11" s="10">
        <v>0</v>
      </c>
      <c r="I11" s="10">
        <v>0</v>
      </c>
      <c r="J11" s="10">
        <v>-74.86</v>
      </c>
      <c r="K11" s="10">
        <v>0</v>
      </c>
      <c r="L11" s="10">
        <v>-74.86</v>
      </c>
    </row>
    <row r="12" spans="1:13" ht="15" customHeight="1">
      <c r="A12" s="13" t="s">
        <v>65</v>
      </c>
      <c r="B12" s="10">
        <v>-118.59</v>
      </c>
      <c r="C12" s="11">
        <v>471789564</v>
      </c>
      <c r="D12" s="12">
        <v>-2.5100000000000001E-7</v>
      </c>
      <c r="E12" s="11">
        <v>0</v>
      </c>
      <c r="F12" s="11">
        <v>0</v>
      </c>
      <c r="G12" s="11">
        <v>0</v>
      </c>
      <c r="H12" s="10">
        <v>0</v>
      </c>
      <c r="I12" s="10">
        <v>0</v>
      </c>
      <c r="J12" s="10">
        <v>-118.59</v>
      </c>
      <c r="K12" s="10">
        <v>0</v>
      </c>
      <c r="L12" s="10">
        <v>-118.59</v>
      </c>
    </row>
    <row r="13" spans="1:13" ht="15" customHeight="1">
      <c r="A13" s="13" t="s">
        <v>64</v>
      </c>
      <c r="B13" s="10">
        <v>557.98</v>
      </c>
      <c r="C13" s="11">
        <v>360077977</v>
      </c>
      <c r="D13" s="12">
        <v>1.55E-6</v>
      </c>
      <c r="E13" s="11">
        <v>0</v>
      </c>
      <c r="F13" s="11">
        <v>0</v>
      </c>
      <c r="G13" s="11">
        <v>0</v>
      </c>
      <c r="H13" s="10">
        <v>0</v>
      </c>
      <c r="I13" s="10">
        <v>0</v>
      </c>
      <c r="J13" s="10">
        <v>557.98</v>
      </c>
      <c r="K13" s="10">
        <v>0</v>
      </c>
      <c r="L13" s="10">
        <v>557.98</v>
      </c>
    </row>
    <row r="14" spans="1:13" ht="15" customHeight="1">
      <c r="A14" s="13" t="s">
        <v>63</v>
      </c>
      <c r="B14" s="10">
        <v>37.71</v>
      </c>
      <c r="C14" s="11">
        <v>685882594</v>
      </c>
      <c r="D14" s="12">
        <v>5.5000000000000003E-8</v>
      </c>
      <c r="E14" s="11">
        <v>0</v>
      </c>
      <c r="F14" s="11">
        <v>0</v>
      </c>
      <c r="G14" s="11">
        <v>0</v>
      </c>
      <c r="H14" s="10">
        <v>0</v>
      </c>
      <c r="I14" s="10">
        <v>0</v>
      </c>
      <c r="J14" s="10">
        <v>37.71</v>
      </c>
      <c r="K14" s="10">
        <v>0</v>
      </c>
      <c r="L14" s="10">
        <v>37.71</v>
      </c>
    </row>
    <row r="15" spans="1:13" ht="15" customHeight="1">
      <c r="A15" s="13" t="s">
        <v>62</v>
      </c>
      <c r="B15" s="10">
        <v>-160.12</v>
      </c>
      <c r="C15" s="11">
        <v>438953629</v>
      </c>
      <c r="D15" s="12">
        <v>-3.65E-7</v>
      </c>
      <c r="E15" s="11">
        <v>0</v>
      </c>
      <c r="F15" s="11">
        <v>0</v>
      </c>
      <c r="G15" s="11">
        <v>0</v>
      </c>
      <c r="H15" s="10">
        <v>0</v>
      </c>
      <c r="I15" s="10">
        <v>0</v>
      </c>
      <c r="J15" s="10">
        <v>-160.12</v>
      </c>
      <c r="K15" s="10">
        <v>0</v>
      </c>
      <c r="L15" s="10">
        <v>-160.12</v>
      </c>
    </row>
    <row r="16" spans="1:13" ht="15" customHeight="1">
      <c r="A16" s="13" t="s">
        <v>61</v>
      </c>
      <c r="B16" s="10">
        <v>50.71</v>
      </c>
      <c r="C16" s="11">
        <v>555549891</v>
      </c>
      <c r="D16" s="12">
        <v>9.0999999999999994E-8</v>
      </c>
      <c r="E16" s="11">
        <v>0</v>
      </c>
      <c r="F16" s="11">
        <v>0</v>
      </c>
      <c r="G16" s="11">
        <v>0</v>
      </c>
      <c r="H16" s="10">
        <v>0</v>
      </c>
      <c r="I16" s="10">
        <v>0</v>
      </c>
      <c r="J16" s="10">
        <v>50.71</v>
      </c>
      <c r="K16" s="10">
        <v>0</v>
      </c>
      <c r="L16" s="10">
        <v>50.71</v>
      </c>
    </row>
    <row r="17" spans="1:12" ht="15" customHeight="1">
      <c r="A17" s="13" t="s">
        <v>60</v>
      </c>
      <c r="B17" s="10">
        <v>20.62</v>
      </c>
      <c r="C17" s="11">
        <v>280023130</v>
      </c>
      <c r="D17" s="12">
        <v>7.4000000000000001E-8</v>
      </c>
      <c r="E17" s="11">
        <v>0</v>
      </c>
      <c r="F17" s="11">
        <v>0</v>
      </c>
      <c r="G17" s="11">
        <v>0</v>
      </c>
      <c r="H17" s="10">
        <v>0</v>
      </c>
      <c r="I17" s="10">
        <v>0</v>
      </c>
      <c r="J17" s="10">
        <v>20.62</v>
      </c>
      <c r="K17" s="10">
        <v>0</v>
      </c>
      <c r="L17" s="10">
        <v>20.62</v>
      </c>
    </row>
    <row r="18" spans="1:12" ht="15" customHeight="1">
      <c r="A18" s="13" t="s">
        <v>59</v>
      </c>
      <c r="B18" s="10">
        <v>-20.52</v>
      </c>
      <c r="C18" s="11">
        <v>397403874</v>
      </c>
      <c r="D18" s="12">
        <v>-5.2000000000000002E-8</v>
      </c>
      <c r="E18" s="11">
        <v>0</v>
      </c>
      <c r="F18" s="11">
        <v>0</v>
      </c>
      <c r="G18" s="11">
        <v>0</v>
      </c>
      <c r="H18" s="10">
        <v>0</v>
      </c>
      <c r="I18" s="10">
        <v>0</v>
      </c>
      <c r="J18" s="10">
        <v>-20.52</v>
      </c>
      <c r="K18" s="10">
        <v>0</v>
      </c>
      <c r="L18" s="9">
        <v>-20.52</v>
      </c>
    </row>
    <row r="19" spans="1:12" ht="16.75" customHeight="1">
      <c r="A19" s="672" t="s">
        <v>58</v>
      </c>
      <c r="B19" s="670"/>
      <c r="L19" s="8">
        <f>SUM(L7:L18)</f>
        <v>5276.1900000000005</v>
      </c>
    </row>
    <row r="20" spans="1:12" ht="15" customHeight="1">
      <c r="L20" s="7"/>
    </row>
    <row r="21" spans="1:12" ht="15" customHeight="1">
      <c r="J21" s="669" t="s">
        <v>57</v>
      </c>
      <c r="K21" s="670"/>
      <c r="L21" s="6">
        <f>-L19</f>
        <v>-5276.1900000000005</v>
      </c>
    </row>
    <row r="22" spans="1:12" ht="15" customHeight="1">
      <c r="K22" s="5" t="s">
        <v>56</v>
      </c>
      <c r="L22" s="4" t="s">
        <v>55</v>
      </c>
    </row>
    <row r="23" spans="1:12" ht="15" customHeight="1"/>
    <row r="24" spans="1:12" ht="15" customHeight="1">
      <c r="A24" s="3" t="s">
        <v>53</v>
      </c>
      <c r="B24" s="3" t="s">
        <v>54</v>
      </c>
    </row>
    <row r="25" spans="1:12" ht="15" customHeight="1"/>
  </sheetData>
  <mergeCells count="6">
    <mergeCell ref="J21:K21"/>
    <mergeCell ref="A1:C1"/>
    <mergeCell ref="A2:G2"/>
    <mergeCell ref="A3:G3"/>
    <mergeCell ref="A4:G4"/>
    <mergeCell ref="A19:B1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9CB2-B100-48E8-9168-D0300E1E4566}">
  <dimension ref="A1:M52"/>
  <sheetViews>
    <sheetView showRuler="0" workbookViewId="0">
      <selection sqref="A1:C1"/>
    </sheetView>
  </sheetViews>
  <sheetFormatPr defaultColWidth="13.7265625" defaultRowHeight="12.5"/>
  <cols>
    <col min="1" max="1" width="5.7265625" style="2" customWidth="1"/>
    <col min="2" max="2" width="29.81640625" style="2" customWidth="1"/>
    <col min="3" max="3" width="13.7265625" style="2"/>
    <col min="4" max="4" width="16.7265625" style="2" customWidth="1"/>
    <col min="5" max="5" width="17.54296875" style="2" customWidth="1"/>
    <col min="6" max="6" width="1.26953125" style="2" customWidth="1"/>
    <col min="7" max="8" width="13.7265625" style="2"/>
    <col min="9" max="9" width="1.1796875" style="2" customWidth="1"/>
    <col min="10" max="10" width="13.7265625" style="2"/>
    <col min="11" max="11" width="1.26953125" style="2" customWidth="1"/>
    <col min="12" max="16384" width="13.7265625" style="2"/>
  </cols>
  <sheetData>
    <row r="1" spans="1:13" ht="15" customHeight="1">
      <c r="A1" s="671" t="s">
        <v>51</v>
      </c>
      <c r="B1" s="671"/>
      <c r="C1" s="671"/>
      <c r="D1" s="13"/>
      <c r="E1" s="13"/>
    </row>
    <row r="2" spans="1:13" ht="15" customHeight="1">
      <c r="A2" s="672" t="s">
        <v>334</v>
      </c>
      <c r="B2" s="672"/>
      <c r="C2" s="672"/>
      <c r="D2" s="672"/>
      <c r="E2" s="13"/>
    </row>
    <row r="3" spans="1:13" ht="15" customHeight="1">
      <c r="A3" s="672" t="s">
        <v>393</v>
      </c>
      <c r="B3" s="672"/>
      <c r="C3" s="672"/>
      <c r="D3" s="672"/>
      <c r="E3" s="13"/>
    </row>
    <row r="4" spans="1:13" ht="15" customHeight="1">
      <c r="A4" s="671" t="s">
        <v>83</v>
      </c>
      <c r="B4" s="671"/>
      <c r="C4" s="671"/>
      <c r="D4" s="671"/>
      <c r="E4" s="671"/>
    </row>
    <row r="5" spans="1:13" ht="15" customHeight="1"/>
    <row r="6" spans="1:13" ht="39.25" customHeight="1">
      <c r="A6" s="141"/>
      <c r="B6" s="138"/>
      <c r="C6" s="138" t="s">
        <v>170</v>
      </c>
      <c r="D6" s="138" t="s">
        <v>392</v>
      </c>
      <c r="E6" s="138" t="s">
        <v>391</v>
      </c>
      <c r="F6" s="138"/>
      <c r="G6" s="138" t="s">
        <v>390</v>
      </c>
      <c r="H6" s="138" t="s">
        <v>389</v>
      </c>
      <c r="I6" s="138"/>
      <c r="J6" s="138" t="s">
        <v>388</v>
      </c>
      <c r="K6" s="138"/>
      <c r="L6" s="138" t="s">
        <v>387</v>
      </c>
      <c r="M6" s="141"/>
    </row>
    <row r="7" spans="1:13" ht="72.650000000000006" customHeight="1">
      <c r="A7" s="194" t="s">
        <v>103</v>
      </c>
      <c r="B7" s="27" t="s">
        <v>384</v>
      </c>
      <c r="C7" s="27" t="s">
        <v>383</v>
      </c>
      <c r="D7" s="27" t="s">
        <v>377</v>
      </c>
      <c r="E7" s="27" t="s">
        <v>386</v>
      </c>
      <c r="F7" s="27"/>
      <c r="G7" s="678" t="s">
        <v>385</v>
      </c>
      <c r="H7" s="678"/>
      <c r="I7" s="27"/>
      <c r="J7" s="27" t="s">
        <v>380</v>
      </c>
      <c r="K7" s="27"/>
      <c r="L7" s="27" t="s">
        <v>379</v>
      </c>
      <c r="M7" s="101"/>
    </row>
    <row r="8" spans="1:13" ht="15" customHeight="1">
      <c r="A8" s="193"/>
      <c r="B8" s="124"/>
      <c r="C8" s="124"/>
      <c r="D8" s="124"/>
      <c r="E8" s="124"/>
      <c r="F8" s="124"/>
      <c r="G8" s="27" t="s">
        <v>378</v>
      </c>
      <c r="H8" s="27" t="s">
        <v>377</v>
      </c>
      <c r="I8" s="27"/>
      <c r="J8" s="27" t="s">
        <v>377</v>
      </c>
      <c r="K8" s="27"/>
      <c r="L8" s="27" t="s">
        <v>377</v>
      </c>
      <c r="M8" s="18"/>
    </row>
    <row r="9" spans="1:13" ht="15" customHeight="1">
      <c r="A9" s="183">
        <v>1</v>
      </c>
      <c r="B9" s="124" t="s">
        <v>376</v>
      </c>
      <c r="C9" s="188"/>
      <c r="D9" s="188"/>
      <c r="E9" s="184">
        <v>48706586</v>
      </c>
      <c r="F9" s="124"/>
      <c r="G9" s="188"/>
      <c r="H9" s="188"/>
      <c r="I9" s="124"/>
      <c r="J9" s="188"/>
      <c r="K9" s="124"/>
      <c r="L9" s="188"/>
      <c r="M9" s="18"/>
    </row>
    <row r="10" spans="1:13" ht="15" customHeight="1">
      <c r="A10" s="183">
        <f t="shared" ref="A10:A50" si="0">1+A9</f>
        <v>2</v>
      </c>
      <c r="B10" s="124" t="s">
        <v>375</v>
      </c>
      <c r="C10" s="184">
        <v>2226000</v>
      </c>
      <c r="D10" s="184">
        <v>-2231495</v>
      </c>
      <c r="E10" s="184">
        <f t="shared" ref="E10:E18" si="1">+E9+D10+C10</f>
        <v>48701091</v>
      </c>
      <c r="F10" s="124"/>
      <c r="G10" s="191">
        <v>0.06</v>
      </c>
      <c r="H10" s="184">
        <f t="shared" ref="H10:H18" si="2">+E10*G10</f>
        <v>2922065.46</v>
      </c>
      <c r="I10" s="124"/>
      <c r="J10" s="188"/>
      <c r="K10" s="124"/>
      <c r="L10" s="184">
        <f t="shared" ref="L10:L18" si="3">+H10+J10</f>
        <v>2922065.46</v>
      </c>
      <c r="M10" s="18" t="s">
        <v>367</v>
      </c>
    </row>
    <row r="11" spans="1:13" ht="15" customHeight="1">
      <c r="A11" s="183">
        <f t="shared" si="0"/>
        <v>3</v>
      </c>
      <c r="B11" s="124" t="s">
        <v>374</v>
      </c>
      <c r="C11" s="184">
        <v>0</v>
      </c>
      <c r="D11" s="184">
        <v>-1959777</v>
      </c>
      <c r="E11" s="184">
        <f t="shared" si="1"/>
        <v>46741314</v>
      </c>
      <c r="F11" s="124"/>
      <c r="G11" s="191">
        <v>0.06</v>
      </c>
      <c r="H11" s="184">
        <f t="shared" si="2"/>
        <v>2804478.84</v>
      </c>
      <c r="I11" s="124"/>
      <c r="J11" s="188"/>
      <c r="K11" s="124"/>
      <c r="L11" s="184">
        <f t="shared" si="3"/>
        <v>2804478.84</v>
      </c>
      <c r="M11" s="18" t="s">
        <v>367</v>
      </c>
    </row>
    <row r="12" spans="1:13" ht="15" customHeight="1">
      <c r="A12" s="183">
        <f t="shared" si="0"/>
        <v>4</v>
      </c>
      <c r="B12" s="124" t="s">
        <v>373</v>
      </c>
      <c r="C12" s="184">
        <v>0</v>
      </c>
      <c r="D12" s="184">
        <v>-1241208</v>
      </c>
      <c r="E12" s="184">
        <f t="shared" si="1"/>
        <v>45500106</v>
      </c>
      <c r="F12" s="124"/>
      <c r="G12" s="191">
        <v>6.25E-2</v>
      </c>
      <c r="H12" s="184">
        <f t="shared" si="2"/>
        <v>2843756.625</v>
      </c>
      <c r="I12" s="124"/>
      <c r="J12" s="188"/>
      <c r="K12" s="124"/>
      <c r="L12" s="184">
        <f t="shared" si="3"/>
        <v>2843756.625</v>
      </c>
      <c r="M12" s="18" t="s">
        <v>367</v>
      </c>
    </row>
    <row r="13" spans="1:13" ht="15" customHeight="1">
      <c r="A13" s="183">
        <f t="shared" si="0"/>
        <v>5</v>
      </c>
      <c r="B13" s="124" t="s">
        <v>372</v>
      </c>
      <c r="C13" s="184">
        <v>2775000</v>
      </c>
      <c r="D13" s="184">
        <v>-2483086</v>
      </c>
      <c r="E13" s="184">
        <f t="shared" si="1"/>
        <v>45792020</v>
      </c>
      <c r="F13" s="124"/>
      <c r="G13" s="191">
        <v>5.7500000000000002E-2</v>
      </c>
      <c r="H13" s="184">
        <f t="shared" si="2"/>
        <v>2633041.15</v>
      </c>
      <c r="I13" s="124"/>
      <c r="J13" s="188"/>
      <c r="K13" s="124"/>
      <c r="L13" s="184">
        <f t="shared" si="3"/>
        <v>2633041.15</v>
      </c>
      <c r="M13" s="18" t="s">
        <v>367</v>
      </c>
    </row>
    <row r="14" spans="1:13" ht="15" customHeight="1">
      <c r="A14" s="183">
        <f t="shared" si="0"/>
        <v>6</v>
      </c>
      <c r="B14" s="124" t="s">
        <v>371</v>
      </c>
      <c r="C14" s="184">
        <v>0</v>
      </c>
      <c r="D14" s="184">
        <v>-3247088</v>
      </c>
      <c r="E14" s="184">
        <f t="shared" si="1"/>
        <v>42544932</v>
      </c>
      <c r="F14" s="124"/>
      <c r="G14" s="191">
        <v>4.7500000000000001E-2</v>
      </c>
      <c r="H14" s="184">
        <f t="shared" si="2"/>
        <v>2020884.27</v>
      </c>
      <c r="I14" s="124"/>
      <c r="J14" s="188"/>
      <c r="K14" s="124"/>
      <c r="L14" s="184">
        <f t="shared" si="3"/>
        <v>2020884.27</v>
      </c>
      <c r="M14" s="18" t="s">
        <v>367</v>
      </c>
    </row>
    <row r="15" spans="1:13" ht="15" customHeight="1">
      <c r="A15" s="183">
        <f t="shared" si="0"/>
        <v>7</v>
      </c>
      <c r="B15" s="124" t="s">
        <v>370</v>
      </c>
      <c r="C15" s="184">
        <v>0</v>
      </c>
      <c r="D15" s="184">
        <v>-29161488</v>
      </c>
      <c r="E15" s="184">
        <f t="shared" si="1"/>
        <v>13383444</v>
      </c>
      <c r="F15" s="124"/>
      <c r="G15" s="191">
        <v>5.2499999999999998E-2</v>
      </c>
      <c r="H15" s="184">
        <f t="shared" si="2"/>
        <v>702630.80999999994</v>
      </c>
      <c r="I15" s="124"/>
      <c r="J15" s="184">
        <f>+H14*G15</f>
        <v>106096.42417499999</v>
      </c>
      <c r="K15" s="124"/>
      <c r="L15" s="184">
        <f t="shared" si="3"/>
        <v>808727.23417499987</v>
      </c>
      <c r="M15" s="18" t="s">
        <v>367</v>
      </c>
    </row>
    <row r="16" spans="1:13" ht="15" customHeight="1">
      <c r="A16" s="183">
        <f t="shared" si="0"/>
        <v>8</v>
      </c>
      <c r="B16" s="124" t="s">
        <v>369</v>
      </c>
      <c r="C16" s="124"/>
      <c r="D16" s="184">
        <v>845550</v>
      </c>
      <c r="E16" s="184">
        <f t="shared" si="1"/>
        <v>14228994</v>
      </c>
      <c r="F16" s="124"/>
      <c r="G16" s="191">
        <v>7.4999999999999997E-2</v>
      </c>
      <c r="H16" s="184">
        <f t="shared" si="2"/>
        <v>1067174.55</v>
      </c>
      <c r="I16" s="124"/>
      <c r="J16" s="184">
        <f>(H14+H15+J15)*G16</f>
        <v>212220.86281312499</v>
      </c>
      <c r="K16" s="124"/>
      <c r="L16" s="184">
        <f t="shared" si="3"/>
        <v>1279395.4128131249</v>
      </c>
      <c r="M16" s="18" t="s">
        <v>367</v>
      </c>
    </row>
    <row r="17" spans="1:13" ht="15" customHeight="1">
      <c r="A17" s="183">
        <f t="shared" si="0"/>
        <v>9</v>
      </c>
      <c r="B17" s="124" t="s">
        <v>368</v>
      </c>
      <c r="C17" s="124"/>
      <c r="D17" s="184">
        <v>-62790</v>
      </c>
      <c r="E17" s="184">
        <f t="shared" si="1"/>
        <v>14166204</v>
      </c>
      <c r="F17" s="124"/>
      <c r="G17" s="191">
        <v>7.2999999999999995E-2</v>
      </c>
      <c r="H17" s="184">
        <f t="shared" si="2"/>
        <v>1034132.892</v>
      </c>
      <c r="I17" s="124"/>
      <c r="J17" s="184">
        <f>(H15+H16+J16+H14)*G17</f>
        <v>292212.46597535809</v>
      </c>
      <c r="K17" s="124"/>
      <c r="L17" s="184">
        <f t="shared" si="3"/>
        <v>1326345.3579753581</v>
      </c>
      <c r="M17" s="18" t="s">
        <v>367</v>
      </c>
    </row>
    <row r="18" spans="1:13" ht="15" customHeight="1">
      <c r="A18" s="183">
        <f t="shared" si="0"/>
        <v>10</v>
      </c>
      <c r="B18" s="124" t="s">
        <v>366</v>
      </c>
      <c r="C18" s="184">
        <v>0</v>
      </c>
      <c r="D18" s="184">
        <v>84739</v>
      </c>
      <c r="E18" s="184">
        <f t="shared" si="1"/>
        <v>14250943</v>
      </c>
      <c r="F18" s="124"/>
      <c r="G18" s="191">
        <v>7.0000000000000007E-2</v>
      </c>
      <c r="H18" s="184">
        <f t="shared" si="2"/>
        <v>997566.01000000013</v>
      </c>
      <c r="I18" s="124" t="s">
        <v>365</v>
      </c>
      <c r="J18" s="184">
        <f>(H16+H17+J17+H14+H15)*G18</f>
        <v>358192.44915827509</v>
      </c>
      <c r="K18" s="124" t="s">
        <v>364</v>
      </c>
      <c r="L18" s="184">
        <f t="shared" si="3"/>
        <v>1355758.4591582753</v>
      </c>
      <c r="M18" s="18" t="s">
        <v>363</v>
      </c>
    </row>
    <row r="19" spans="1:13" ht="15" customHeight="1">
      <c r="A19" s="183">
        <f t="shared" si="0"/>
        <v>11</v>
      </c>
      <c r="B19" s="190"/>
      <c r="C19" s="17"/>
      <c r="D19" s="17"/>
      <c r="E19" s="17"/>
      <c r="F19" s="17"/>
      <c r="G19" s="17"/>
      <c r="H19" s="17"/>
      <c r="I19" s="17"/>
      <c r="J19" s="17"/>
      <c r="K19" s="17"/>
      <c r="L19" s="17"/>
      <c r="M19" s="13"/>
    </row>
    <row r="20" spans="1:13" ht="15" customHeight="1">
      <c r="A20" s="183">
        <f t="shared" si="0"/>
        <v>12</v>
      </c>
      <c r="B20" s="192"/>
      <c r="C20" s="24"/>
      <c r="D20" s="24"/>
      <c r="E20" s="24"/>
      <c r="F20" s="24"/>
      <c r="G20" s="24"/>
      <c r="H20" s="24"/>
      <c r="I20" s="24"/>
      <c r="J20" s="24"/>
      <c r="K20" s="24"/>
      <c r="L20" s="24"/>
      <c r="M20" s="13"/>
    </row>
    <row r="21" spans="1:13" ht="50.15" customHeight="1">
      <c r="A21" s="183">
        <f t="shared" si="0"/>
        <v>13</v>
      </c>
      <c r="B21" s="27" t="s">
        <v>384</v>
      </c>
      <c r="C21" s="27" t="s">
        <v>383</v>
      </c>
      <c r="D21" s="27" t="s">
        <v>377</v>
      </c>
      <c r="E21" s="27" t="s">
        <v>382</v>
      </c>
      <c r="F21" s="27"/>
      <c r="G21" s="678" t="s">
        <v>381</v>
      </c>
      <c r="H21" s="678"/>
      <c r="I21" s="27"/>
      <c r="J21" s="27" t="s">
        <v>380</v>
      </c>
      <c r="K21" s="27"/>
      <c r="L21" s="27" t="s">
        <v>379</v>
      </c>
      <c r="M21" s="101"/>
    </row>
    <row r="22" spans="1:13" ht="15" customHeight="1">
      <c r="A22" s="183">
        <f t="shared" si="0"/>
        <v>14</v>
      </c>
      <c r="B22" s="124"/>
      <c r="C22" s="124"/>
      <c r="D22" s="124"/>
      <c r="E22" s="124"/>
      <c r="F22" s="124"/>
      <c r="G22" s="27" t="s">
        <v>378</v>
      </c>
      <c r="H22" s="27" t="s">
        <v>93</v>
      </c>
      <c r="I22" s="27"/>
      <c r="J22" s="27" t="s">
        <v>377</v>
      </c>
      <c r="K22" s="27"/>
      <c r="L22" s="27" t="s">
        <v>377</v>
      </c>
      <c r="M22" s="18"/>
    </row>
    <row r="23" spans="1:13" ht="15" customHeight="1">
      <c r="A23" s="183">
        <f t="shared" si="0"/>
        <v>15</v>
      </c>
      <c r="B23" s="124" t="s">
        <v>376</v>
      </c>
      <c r="C23" s="188"/>
      <c r="D23" s="188"/>
      <c r="E23" s="184">
        <v>10167927</v>
      </c>
      <c r="F23" s="124"/>
      <c r="G23" s="188"/>
      <c r="H23" s="188"/>
      <c r="I23" s="124"/>
      <c r="J23" s="188"/>
      <c r="K23" s="124"/>
      <c r="L23" s="188"/>
      <c r="M23" s="18"/>
    </row>
    <row r="24" spans="1:13" ht="15" customHeight="1">
      <c r="A24" s="183">
        <f t="shared" si="0"/>
        <v>16</v>
      </c>
      <c r="B24" s="124" t="s">
        <v>375</v>
      </c>
      <c r="C24" s="184">
        <v>0</v>
      </c>
      <c r="D24" s="184">
        <v>1955095</v>
      </c>
      <c r="E24" s="184">
        <f t="shared" ref="E24:E32" si="4">+E23+D24+C24</f>
        <v>12123022</v>
      </c>
      <c r="F24" s="124"/>
      <c r="G24" s="191">
        <v>6.7500000000000004E-2</v>
      </c>
      <c r="H24" s="184">
        <f t="shared" ref="H24:H32" si="5">+E24*G24</f>
        <v>818303.9850000001</v>
      </c>
      <c r="I24" s="124"/>
      <c r="J24" s="188"/>
      <c r="K24" s="124"/>
      <c r="L24" s="184">
        <f t="shared" ref="L24:L32" si="6">+H24+J24</f>
        <v>818303.9850000001</v>
      </c>
      <c r="M24" s="18" t="s">
        <v>367</v>
      </c>
    </row>
    <row r="25" spans="1:13" ht="15" customHeight="1">
      <c r="A25" s="183">
        <f t="shared" si="0"/>
        <v>17</v>
      </c>
      <c r="B25" s="124" t="s">
        <v>374</v>
      </c>
      <c r="C25" s="184">
        <v>0</v>
      </c>
      <c r="D25" s="184">
        <v>3937480</v>
      </c>
      <c r="E25" s="184">
        <f t="shared" si="4"/>
        <v>16060502</v>
      </c>
      <c r="F25" s="124"/>
      <c r="G25" s="191">
        <v>0.06</v>
      </c>
      <c r="H25" s="184">
        <f t="shared" si="5"/>
        <v>963630.12</v>
      </c>
      <c r="I25" s="124"/>
      <c r="J25" s="188"/>
      <c r="K25" s="124"/>
      <c r="L25" s="184">
        <f t="shared" si="6"/>
        <v>963630.12</v>
      </c>
      <c r="M25" s="18" t="s">
        <v>367</v>
      </c>
    </row>
    <row r="26" spans="1:13" ht="15" customHeight="1">
      <c r="A26" s="183">
        <f t="shared" si="0"/>
        <v>18</v>
      </c>
      <c r="B26" s="124" t="s">
        <v>373</v>
      </c>
      <c r="C26" s="184">
        <v>0</v>
      </c>
      <c r="D26" s="184">
        <v>3082775</v>
      </c>
      <c r="E26" s="184">
        <f t="shared" si="4"/>
        <v>19143277</v>
      </c>
      <c r="F26" s="124"/>
      <c r="G26" s="191">
        <v>6.25E-2</v>
      </c>
      <c r="H26" s="184">
        <f t="shared" si="5"/>
        <v>1196454.8125</v>
      </c>
      <c r="I26" s="124"/>
      <c r="J26" s="188"/>
      <c r="K26" s="124"/>
      <c r="L26" s="184">
        <f t="shared" si="6"/>
        <v>1196454.8125</v>
      </c>
      <c r="M26" s="18" t="s">
        <v>367</v>
      </c>
    </row>
    <row r="27" spans="1:13" ht="15" customHeight="1">
      <c r="A27" s="183">
        <f t="shared" si="0"/>
        <v>19</v>
      </c>
      <c r="B27" s="124" t="s">
        <v>372</v>
      </c>
      <c r="C27" s="184">
        <v>0</v>
      </c>
      <c r="D27" s="184">
        <v>4158788</v>
      </c>
      <c r="E27" s="184">
        <f t="shared" si="4"/>
        <v>23302065</v>
      </c>
      <c r="F27" s="124"/>
      <c r="G27" s="191">
        <v>5.5E-2</v>
      </c>
      <c r="H27" s="184">
        <f t="shared" si="5"/>
        <v>1281613.575</v>
      </c>
      <c r="I27" s="124"/>
      <c r="J27" s="188"/>
      <c r="K27" s="124"/>
      <c r="L27" s="184">
        <f t="shared" si="6"/>
        <v>1281613.575</v>
      </c>
      <c r="M27" s="18" t="s">
        <v>367</v>
      </c>
    </row>
    <row r="28" spans="1:13" ht="15" customHeight="1">
      <c r="A28" s="183">
        <f t="shared" si="0"/>
        <v>20</v>
      </c>
      <c r="B28" s="124" t="s">
        <v>371</v>
      </c>
      <c r="C28" s="184">
        <v>0</v>
      </c>
      <c r="D28" s="184">
        <v>4589766</v>
      </c>
      <c r="E28" s="184">
        <f t="shared" si="4"/>
        <v>27891831</v>
      </c>
      <c r="F28" s="124"/>
      <c r="G28" s="191">
        <v>4.7500000000000001E-2</v>
      </c>
      <c r="H28" s="184">
        <f t="shared" si="5"/>
        <v>1324861.9724999999</v>
      </c>
      <c r="I28" s="124"/>
      <c r="J28" s="188"/>
      <c r="K28" s="124"/>
      <c r="L28" s="184">
        <f t="shared" si="6"/>
        <v>1324861.9724999999</v>
      </c>
      <c r="M28" s="18" t="s">
        <v>367</v>
      </c>
    </row>
    <row r="29" spans="1:13" ht="15" customHeight="1">
      <c r="A29" s="183">
        <f t="shared" si="0"/>
        <v>21</v>
      </c>
      <c r="B29" s="124" t="s">
        <v>370</v>
      </c>
      <c r="C29" s="184">
        <v>0</v>
      </c>
      <c r="D29" s="184">
        <v>-643414</v>
      </c>
      <c r="E29" s="184">
        <f t="shared" si="4"/>
        <v>27248417</v>
      </c>
      <c r="F29" s="124"/>
      <c r="G29" s="191">
        <v>5.5E-2</v>
      </c>
      <c r="H29" s="184">
        <f t="shared" si="5"/>
        <v>1498662.9350000001</v>
      </c>
      <c r="I29" s="124"/>
      <c r="J29" s="184">
        <f>+H28*G29</f>
        <v>72867.408487499997</v>
      </c>
      <c r="K29" s="124"/>
      <c r="L29" s="184">
        <f t="shared" si="6"/>
        <v>1571530.3434875</v>
      </c>
      <c r="M29" s="18" t="s">
        <v>367</v>
      </c>
    </row>
    <row r="30" spans="1:13" ht="15" customHeight="1">
      <c r="A30" s="183">
        <f t="shared" si="0"/>
        <v>22</v>
      </c>
      <c r="B30" s="124" t="s">
        <v>369</v>
      </c>
      <c r="C30" s="124"/>
      <c r="D30" s="184">
        <v>3276430</v>
      </c>
      <c r="E30" s="184">
        <f t="shared" si="4"/>
        <v>30524847</v>
      </c>
      <c r="F30" s="124"/>
      <c r="G30" s="191">
        <v>7.2499999999999995E-2</v>
      </c>
      <c r="H30" s="184">
        <f t="shared" si="5"/>
        <v>2213051.4074999997</v>
      </c>
      <c r="I30" s="124"/>
      <c r="J30" s="184">
        <f>(H28+H29+J29)*G30</f>
        <v>209988.44290909372</v>
      </c>
      <c r="K30" s="124"/>
      <c r="L30" s="184">
        <f t="shared" si="6"/>
        <v>2423039.8504090933</v>
      </c>
      <c r="M30" s="18" t="s">
        <v>367</v>
      </c>
    </row>
    <row r="31" spans="1:13" ht="15" customHeight="1">
      <c r="A31" s="183">
        <f t="shared" si="0"/>
        <v>23</v>
      </c>
      <c r="B31" s="124" t="s">
        <v>368</v>
      </c>
      <c r="C31" s="124"/>
      <c r="D31" s="184">
        <v>2580951</v>
      </c>
      <c r="E31" s="184">
        <f t="shared" si="4"/>
        <v>33105798</v>
      </c>
      <c r="F31" s="124"/>
      <c r="G31" s="191">
        <v>6.7500000000000004E-2</v>
      </c>
      <c r="H31" s="184">
        <f t="shared" si="5"/>
        <v>2234641.3650000002</v>
      </c>
      <c r="I31" s="124"/>
      <c r="J31" s="184">
        <f>(H29+H30+J30+H28)*G31</f>
        <v>354143.12115886383</v>
      </c>
      <c r="K31" s="124"/>
      <c r="L31" s="184">
        <f t="shared" si="6"/>
        <v>2588784.4861588641</v>
      </c>
      <c r="M31" s="18" t="s">
        <v>367</v>
      </c>
    </row>
    <row r="32" spans="1:13" ht="15" customHeight="1">
      <c r="A32" s="183">
        <f t="shared" si="0"/>
        <v>24</v>
      </c>
      <c r="B32" s="124" t="s">
        <v>366</v>
      </c>
      <c r="C32" s="184">
        <v>0</v>
      </c>
      <c r="D32" s="184">
        <v>1103186</v>
      </c>
      <c r="E32" s="184">
        <f t="shared" si="4"/>
        <v>34208984</v>
      </c>
      <c r="F32" s="124"/>
      <c r="G32" s="191">
        <v>6.5000000000000002E-2</v>
      </c>
      <c r="H32" s="184">
        <f t="shared" si="5"/>
        <v>2223583.96</v>
      </c>
      <c r="I32" s="124" t="s">
        <v>365</v>
      </c>
      <c r="J32" s="184">
        <f>(H30+H31+J31+H28+H29)*G32</f>
        <v>495648.45207532617</v>
      </c>
      <c r="K32" s="124" t="s">
        <v>364</v>
      </c>
      <c r="L32" s="184">
        <f t="shared" si="6"/>
        <v>2719232.4120753263</v>
      </c>
      <c r="M32" s="18" t="s">
        <v>363</v>
      </c>
    </row>
    <row r="33" spans="1:13" ht="15" customHeight="1">
      <c r="A33" s="183">
        <f t="shared" si="0"/>
        <v>25</v>
      </c>
      <c r="B33" s="190"/>
      <c r="C33" s="17"/>
      <c r="D33" s="17"/>
      <c r="E33" s="17"/>
      <c r="F33" s="17"/>
      <c r="G33" s="17"/>
      <c r="H33" s="17"/>
      <c r="I33" s="17"/>
      <c r="J33" s="17"/>
      <c r="K33" s="17"/>
      <c r="L33" s="17"/>
      <c r="M33" s="13"/>
    </row>
    <row r="34" spans="1:13" ht="15" customHeight="1">
      <c r="A34" s="183">
        <f t="shared" si="0"/>
        <v>26</v>
      </c>
      <c r="B34" s="18"/>
      <c r="C34" s="24"/>
      <c r="D34" s="24"/>
      <c r="E34" s="24"/>
      <c r="F34" s="24"/>
      <c r="G34" s="24"/>
      <c r="H34" s="24"/>
      <c r="I34" s="13"/>
      <c r="J34" s="13"/>
      <c r="K34" s="13"/>
      <c r="L34" s="13"/>
      <c r="M34" s="13"/>
    </row>
    <row r="35" spans="1:13" ht="16.75" customHeight="1">
      <c r="A35" s="183">
        <f t="shared" si="0"/>
        <v>27</v>
      </c>
      <c r="B35" s="185"/>
      <c r="C35" s="679" t="s">
        <v>362</v>
      </c>
      <c r="D35" s="679"/>
      <c r="E35" s="679"/>
      <c r="F35" s="679"/>
      <c r="G35" s="679"/>
      <c r="H35" s="679"/>
      <c r="I35" s="18"/>
      <c r="J35" s="13"/>
      <c r="K35" s="13"/>
      <c r="L35" s="13"/>
      <c r="M35" s="13"/>
    </row>
    <row r="36" spans="1:13" ht="16.75" customHeight="1">
      <c r="A36" s="183">
        <f t="shared" si="0"/>
        <v>28</v>
      </c>
      <c r="B36" s="185"/>
      <c r="C36" s="184">
        <f>H18+H32</f>
        <v>3221149.97</v>
      </c>
      <c r="D36" s="124" t="s">
        <v>361</v>
      </c>
      <c r="E36" s="702" t="s">
        <v>360</v>
      </c>
      <c r="F36" s="702"/>
      <c r="G36" s="702"/>
      <c r="H36" s="702"/>
      <c r="I36" s="18"/>
      <c r="J36" s="13"/>
      <c r="K36" s="13"/>
      <c r="L36" s="13"/>
      <c r="M36" s="13"/>
    </row>
    <row r="37" spans="1:13" ht="16.75" customHeight="1">
      <c r="A37" s="183">
        <f t="shared" si="0"/>
        <v>29</v>
      </c>
      <c r="B37" s="185"/>
      <c r="C37" s="184">
        <f>J18+J32</f>
        <v>853840.90123360127</v>
      </c>
      <c r="D37" s="124" t="s">
        <v>359</v>
      </c>
      <c r="E37" s="702" t="s">
        <v>358</v>
      </c>
      <c r="F37" s="702"/>
      <c r="G37" s="702"/>
      <c r="H37" s="702"/>
      <c r="I37" s="18"/>
      <c r="J37" s="13"/>
      <c r="K37" s="13"/>
      <c r="L37" s="13"/>
      <c r="M37" s="13"/>
    </row>
    <row r="38" spans="1:13" ht="16.75" customHeight="1">
      <c r="A38" s="183">
        <f t="shared" si="0"/>
        <v>30</v>
      </c>
      <c r="B38" s="185"/>
      <c r="C38" s="184">
        <f>+C36+C37</f>
        <v>4074990.8712336016</v>
      </c>
      <c r="D38" s="124" t="s">
        <v>357</v>
      </c>
      <c r="E38" s="702" t="s">
        <v>356</v>
      </c>
      <c r="F38" s="702"/>
      <c r="G38" s="702"/>
      <c r="H38" s="702"/>
      <c r="I38" s="18"/>
      <c r="J38" s="13"/>
      <c r="K38" s="13"/>
      <c r="L38" s="13"/>
      <c r="M38" s="13"/>
    </row>
    <row r="39" spans="1:13" ht="16.75" customHeight="1">
      <c r="A39" s="183">
        <f t="shared" si="0"/>
        <v>31</v>
      </c>
      <c r="B39" s="185"/>
      <c r="C39" s="189">
        <v>1</v>
      </c>
      <c r="D39" s="188"/>
      <c r="E39" s="702" t="s">
        <v>355</v>
      </c>
      <c r="F39" s="702"/>
      <c r="G39" s="702"/>
      <c r="H39" s="702"/>
      <c r="I39" s="18"/>
      <c r="J39" s="13"/>
      <c r="K39" s="13"/>
      <c r="L39" s="13"/>
      <c r="M39" s="13"/>
    </row>
    <row r="40" spans="1:13" ht="16.75" customHeight="1">
      <c r="A40" s="183">
        <f t="shared" si="0"/>
        <v>32</v>
      </c>
      <c r="B40" s="185"/>
      <c r="C40" s="187">
        <f>+C38*C39</f>
        <v>4074990.8712336016</v>
      </c>
      <c r="D40" s="186"/>
      <c r="E40" s="701" t="s">
        <v>354</v>
      </c>
      <c r="F40" s="701"/>
      <c r="G40" s="701"/>
      <c r="H40" s="701"/>
      <c r="I40" s="18"/>
      <c r="J40" s="13"/>
      <c r="K40" s="13"/>
      <c r="L40" s="13"/>
      <c r="M40" s="13"/>
    </row>
    <row r="41" spans="1:13" ht="15" customHeight="1">
      <c r="A41" s="183">
        <f t="shared" si="0"/>
        <v>33</v>
      </c>
      <c r="B41" s="18"/>
      <c r="C41" s="17"/>
      <c r="D41" s="17"/>
      <c r="E41" s="17"/>
      <c r="F41" s="17"/>
      <c r="G41" s="17"/>
      <c r="H41" s="17"/>
      <c r="I41" s="13"/>
      <c r="J41" s="13"/>
      <c r="K41" s="13"/>
      <c r="L41" s="13"/>
      <c r="M41" s="13"/>
    </row>
    <row r="42" spans="1:13" ht="15" customHeight="1">
      <c r="A42" s="183">
        <f t="shared" si="0"/>
        <v>34</v>
      </c>
      <c r="B42" s="18"/>
      <c r="C42" s="24"/>
      <c r="D42" s="24"/>
      <c r="E42" s="24"/>
      <c r="F42" s="24"/>
      <c r="G42" s="24"/>
      <c r="H42" s="24"/>
      <c r="I42" s="13"/>
      <c r="J42" s="13"/>
      <c r="K42" s="13"/>
      <c r="L42" s="13"/>
      <c r="M42" s="13"/>
    </row>
    <row r="43" spans="1:13" ht="27.65" customHeight="1">
      <c r="A43" s="183">
        <f t="shared" si="0"/>
        <v>35</v>
      </c>
      <c r="B43" s="185"/>
      <c r="C43" s="184">
        <f>(L10+L11+L12+L13+L14+L15+L18+L26+L27+L28+L29+L30+L31+L24+L16+L17+L32+L25)/9</f>
        <v>3653544.9295836161</v>
      </c>
      <c r="D43" s="124" t="s">
        <v>353</v>
      </c>
      <c r="E43" s="702" t="s">
        <v>352</v>
      </c>
      <c r="F43" s="702"/>
      <c r="G43" s="702"/>
      <c r="H43" s="702"/>
      <c r="I43" s="18"/>
      <c r="J43" s="13"/>
      <c r="K43" s="13"/>
      <c r="L43" s="13"/>
      <c r="M43" s="13"/>
    </row>
    <row r="44" spans="1:13" ht="15" customHeight="1">
      <c r="A44" s="183">
        <f t="shared" si="0"/>
        <v>36</v>
      </c>
      <c r="B44" s="18"/>
      <c r="C44" s="17"/>
      <c r="D44" s="17"/>
      <c r="E44" s="17"/>
      <c r="F44" s="17"/>
      <c r="G44" s="17"/>
      <c r="H44" s="17"/>
      <c r="I44" s="13"/>
      <c r="J44" s="13"/>
      <c r="K44" s="13"/>
      <c r="L44" s="13"/>
      <c r="M44" s="13"/>
    </row>
    <row r="45" spans="1:13" ht="15" customHeight="1">
      <c r="A45" s="183">
        <f t="shared" si="0"/>
        <v>37</v>
      </c>
      <c r="B45" s="18"/>
      <c r="C45" s="13"/>
      <c r="D45" s="13"/>
      <c r="E45" s="13"/>
      <c r="F45" s="13"/>
      <c r="G45" s="13"/>
      <c r="H45" s="13"/>
      <c r="I45" s="13"/>
      <c r="J45" s="13"/>
      <c r="K45" s="13"/>
      <c r="L45" s="13"/>
      <c r="M45" s="13"/>
    </row>
    <row r="46" spans="1:13" ht="39.25" customHeight="1">
      <c r="A46" s="183">
        <f t="shared" si="0"/>
        <v>38</v>
      </c>
      <c r="B46" s="704" t="s">
        <v>351</v>
      </c>
      <c r="C46" s="672"/>
      <c r="D46" s="672"/>
      <c r="E46" s="672"/>
      <c r="F46" s="672"/>
      <c r="G46" s="672"/>
      <c r="H46" s="672"/>
      <c r="I46" s="672"/>
      <c r="J46" s="672"/>
      <c r="K46" s="672"/>
      <c r="L46" s="672"/>
      <c r="M46" s="13"/>
    </row>
    <row r="47" spans="1:13" ht="27.65" customHeight="1">
      <c r="A47" s="183">
        <f t="shared" si="0"/>
        <v>39</v>
      </c>
      <c r="B47" s="704" t="s">
        <v>350</v>
      </c>
      <c r="C47" s="672"/>
      <c r="D47" s="672"/>
      <c r="E47" s="672"/>
      <c r="F47" s="672"/>
      <c r="G47" s="672"/>
      <c r="H47" s="672"/>
      <c r="I47" s="672"/>
      <c r="J47" s="672"/>
      <c r="K47" s="672"/>
      <c r="L47" s="672"/>
      <c r="M47" s="13"/>
    </row>
    <row r="48" spans="1:13" ht="27.65" customHeight="1">
      <c r="A48" s="183">
        <f t="shared" si="0"/>
        <v>40</v>
      </c>
      <c r="B48" s="704" t="s">
        <v>349</v>
      </c>
      <c r="C48" s="672"/>
      <c r="D48" s="672"/>
      <c r="E48" s="672"/>
      <c r="F48" s="672"/>
      <c r="G48" s="672"/>
      <c r="H48" s="672"/>
      <c r="I48" s="672"/>
      <c r="J48" s="672"/>
      <c r="K48" s="672"/>
      <c r="L48" s="672"/>
      <c r="M48" s="13"/>
    </row>
    <row r="49" spans="1:13" ht="39.25" customHeight="1">
      <c r="A49" s="183">
        <f t="shared" si="0"/>
        <v>41</v>
      </c>
      <c r="B49" s="704" t="s">
        <v>348</v>
      </c>
      <c r="C49" s="672"/>
      <c r="D49" s="672"/>
      <c r="E49" s="672"/>
      <c r="F49" s="672"/>
      <c r="G49" s="672"/>
      <c r="H49" s="672"/>
      <c r="I49" s="672"/>
      <c r="J49" s="672"/>
      <c r="K49" s="672"/>
      <c r="L49" s="672"/>
      <c r="M49" s="13"/>
    </row>
    <row r="50" spans="1:13" ht="27.65" customHeight="1">
      <c r="A50" s="183">
        <f t="shared" si="0"/>
        <v>42</v>
      </c>
      <c r="B50" s="704" t="s">
        <v>347</v>
      </c>
      <c r="C50" s="672"/>
      <c r="D50" s="672"/>
      <c r="E50" s="672"/>
      <c r="F50" s="672"/>
      <c r="G50" s="672"/>
      <c r="H50" s="672"/>
      <c r="I50" s="672"/>
      <c r="J50" s="672"/>
      <c r="K50" s="672"/>
      <c r="L50" s="672"/>
      <c r="M50" s="13"/>
    </row>
    <row r="51" spans="1:13" ht="27.65" customHeight="1"/>
    <row r="52" spans="1:13" ht="27.65" customHeight="1">
      <c r="A52" s="703" t="s">
        <v>53</v>
      </c>
      <c r="B52" s="672"/>
      <c r="C52" s="3" t="s">
        <v>54</v>
      </c>
    </row>
  </sheetData>
  <mergeCells count="19">
    <mergeCell ref="A1:C1"/>
    <mergeCell ref="A4:E4"/>
    <mergeCell ref="A3:D3"/>
    <mergeCell ref="G7:H7"/>
    <mergeCell ref="G21:H21"/>
    <mergeCell ref="E36:H36"/>
    <mergeCell ref="C35:H35"/>
    <mergeCell ref="E38:H38"/>
    <mergeCell ref="E37:H37"/>
    <mergeCell ref="A2:D2"/>
    <mergeCell ref="E40:H40"/>
    <mergeCell ref="E39:H39"/>
    <mergeCell ref="E43:H43"/>
    <mergeCell ref="A52:B52"/>
    <mergeCell ref="B50:L50"/>
    <mergeCell ref="B49:L49"/>
    <mergeCell ref="B47:L47"/>
    <mergeCell ref="B48:L48"/>
    <mergeCell ref="B46:L4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1FB4-FE16-4F9C-9536-4B861E142B9E}">
  <dimension ref="A1:F28"/>
  <sheetViews>
    <sheetView showRuler="0" workbookViewId="0">
      <selection sqref="A1:B1"/>
    </sheetView>
  </sheetViews>
  <sheetFormatPr defaultColWidth="13.7265625" defaultRowHeight="12.5"/>
  <cols>
    <col min="1" max="1" width="13.7265625" style="2"/>
    <col min="2" max="2" width="46.54296875" style="2" customWidth="1"/>
    <col min="3" max="4" width="13.26953125" style="2" customWidth="1"/>
    <col min="5" max="5" width="13.54296875" style="2" customWidth="1"/>
    <col min="6" max="16384" width="13.7265625" style="2"/>
  </cols>
  <sheetData>
    <row r="1" spans="1:6" ht="15" customHeight="1">
      <c r="A1" s="671" t="s">
        <v>51</v>
      </c>
      <c r="B1" s="670"/>
    </row>
    <row r="2" spans="1:6" ht="15" customHeight="1">
      <c r="A2" s="672" t="s">
        <v>394</v>
      </c>
      <c r="B2" s="670"/>
    </row>
    <row r="3" spans="1:6" ht="15" customHeight="1">
      <c r="A3" s="672" t="s">
        <v>395</v>
      </c>
      <c r="B3" s="670"/>
    </row>
    <row r="4" spans="1:6" ht="15" customHeight="1">
      <c r="A4" s="671" t="s">
        <v>83</v>
      </c>
      <c r="B4" s="670"/>
    </row>
    <row r="5" spans="1:6" ht="15" customHeight="1"/>
    <row r="6" spans="1:6" ht="15" customHeight="1">
      <c r="A6" s="27" t="s">
        <v>396</v>
      </c>
      <c r="B6" s="27" t="s">
        <v>397</v>
      </c>
      <c r="C6" s="27" t="s">
        <v>95</v>
      </c>
      <c r="D6" s="27" t="s">
        <v>398</v>
      </c>
      <c r="E6" s="27" t="s">
        <v>399</v>
      </c>
      <c r="F6" s="18"/>
    </row>
    <row r="7" spans="1:6" ht="15" customHeight="1">
      <c r="A7" s="17"/>
      <c r="B7" s="17"/>
      <c r="C7" s="17"/>
      <c r="D7" s="17"/>
      <c r="E7" s="17"/>
    </row>
    <row r="8" spans="1:6" ht="15" customHeight="1">
      <c r="A8" s="108">
        <v>1</v>
      </c>
      <c r="B8" s="13" t="s">
        <v>400</v>
      </c>
      <c r="C8" s="108" t="s">
        <v>401</v>
      </c>
      <c r="D8" s="11">
        <v>96728</v>
      </c>
    </row>
    <row r="9" spans="1:6" ht="15" customHeight="1">
      <c r="A9" s="108">
        <f>A8+1</f>
        <v>2</v>
      </c>
      <c r="B9" s="13" t="s">
        <v>402</v>
      </c>
      <c r="D9" s="115">
        <v>32422</v>
      </c>
    </row>
    <row r="10" spans="1:6" ht="15" customHeight="1">
      <c r="A10" s="108">
        <f>A9+1</f>
        <v>3</v>
      </c>
      <c r="B10" s="195" t="s">
        <v>403</v>
      </c>
      <c r="D10" s="17"/>
      <c r="E10" s="11">
        <f>D8+D9</f>
        <v>129150</v>
      </c>
    </row>
    <row r="11" spans="1:6" ht="15" customHeight="1"/>
    <row r="12" spans="1:6" ht="15" customHeight="1">
      <c r="A12" s="108">
        <f>A10+1</f>
        <v>4</v>
      </c>
      <c r="B12" s="13" t="s">
        <v>404</v>
      </c>
      <c r="C12" s="108" t="s">
        <v>405</v>
      </c>
      <c r="D12" s="11">
        <v>4084894</v>
      </c>
    </row>
    <row r="13" spans="1:6" ht="15" customHeight="1">
      <c r="A13" s="108">
        <f>A12+1</f>
        <v>5</v>
      </c>
      <c r="B13" s="13" t="s">
        <v>402</v>
      </c>
      <c r="D13" s="115">
        <v>1371434</v>
      </c>
    </row>
    <row r="14" spans="1:6" ht="15" customHeight="1">
      <c r="A14" s="108">
        <f>A13+1</f>
        <v>6</v>
      </c>
      <c r="B14" s="195" t="s">
        <v>406</v>
      </c>
      <c r="D14" s="17"/>
      <c r="E14" s="11">
        <f>D12+D13</f>
        <v>5456328</v>
      </c>
    </row>
    <row r="15" spans="1:6" ht="15" customHeight="1"/>
    <row r="16" spans="1:6" ht="15" customHeight="1">
      <c r="A16" s="108">
        <f>A14+1</f>
        <v>7</v>
      </c>
      <c r="B16" s="13" t="s">
        <v>407</v>
      </c>
      <c r="C16" s="108" t="s">
        <v>408</v>
      </c>
      <c r="D16" s="11">
        <v>362749</v>
      </c>
    </row>
    <row r="17" spans="1:5" ht="15" customHeight="1">
      <c r="A17" s="108">
        <f>A16+1</f>
        <v>8</v>
      </c>
      <c r="B17" s="13" t="s">
        <v>402</v>
      </c>
      <c r="D17" s="115">
        <v>6363</v>
      </c>
    </row>
    <row r="18" spans="1:5" ht="15" customHeight="1">
      <c r="A18" s="108">
        <f>A17+1</f>
        <v>9</v>
      </c>
      <c r="B18" s="195" t="s">
        <v>409</v>
      </c>
      <c r="D18" s="17"/>
      <c r="E18" s="11">
        <f>D16+D17</f>
        <v>369112</v>
      </c>
    </row>
    <row r="19" spans="1:5" ht="15" customHeight="1"/>
    <row r="20" spans="1:5" ht="15" customHeight="1">
      <c r="A20" s="108">
        <f>A18+1</f>
        <v>10</v>
      </c>
      <c r="B20" s="13" t="s">
        <v>410</v>
      </c>
      <c r="C20" s="108" t="s">
        <v>411</v>
      </c>
      <c r="D20" s="11">
        <v>127931</v>
      </c>
    </row>
    <row r="21" spans="1:5" ht="15" customHeight="1">
      <c r="A21" s="108">
        <f>A20+1</f>
        <v>11</v>
      </c>
      <c r="B21" s="13" t="s">
        <v>402</v>
      </c>
      <c r="D21" s="115">
        <v>40379</v>
      </c>
    </row>
    <row r="22" spans="1:5" ht="15" customHeight="1">
      <c r="A22" s="108">
        <f>A21+1</f>
        <v>12</v>
      </c>
      <c r="B22" s="195" t="s">
        <v>412</v>
      </c>
      <c r="D22" s="17"/>
      <c r="E22" s="11">
        <f>D20+D21</f>
        <v>168310</v>
      </c>
    </row>
    <row r="23" spans="1:5" ht="15" customHeight="1"/>
    <row r="24" spans="1:5" ht="27.65" customHeight="1" thickBot="1">
      <c r="A24" s="108">
        <f>A22+1</f>
        <v>13</v>
      </c>
      <c r="B24" s="196" t="s">
        <v>413</v>
      </c>
      <c r="E24" s="139">
        <f>SUM(E10:E23)</f>
        <v>6122900</v>
      </c>
    </row>
    <row r="25" spans="1:5" ht="15" customHeight="1" thickTop="1">
      <c r="E25" s="22"/>
    </row>
    <row r="26" spans="1:5" ht="15" customHeight="1"/>
    <row r="27" spans="1:5" ht="15" customHeight="1">
      <c r="A27" s="3" t="s">
        <v>53</v>
      </c>
      <c r="B27" s="3" t="s">
        <v>54</v>
      </c>
    </row>
    <row r="28" spans="1:5" ht="15" customHeight="1"/>
  </sheetData>
  <mergeCells count="4">
    <mergeCell ref="A1:B1"/>
    <mergeCell ref="A2:B2"/>
    <mergeCell ref="A3:B3"/>
    <mergeCell ref="A4:B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D1A56-E29F-4A56-A6B0-25F5A64E1A05}">
  <sheetPr>
    <pageSetUpPr fitToPage="1"/>
  </sheetPr>
  <dimension ref="A1:J55"/>
  <sheetViews>
    <sheetView workbookViewId="0">
      <selection activeCell="I1" sqref="I1:J1"/>
    </sheetView>
  </sheetViews>
  <sheetFormatPr defaultColWidth="9.1796875" defaultRowHeight="14.5"/>
  <cols>
    <col min="1" max="1" width="5" style="197" bestFit="1" customWidth="1"/>
    <col min="2" max="2" width="2.7265625" style="198" customWidth="1"/>
    <col min="3" max="3" width="8.7265625" style="198" customWidth="1"/>
    <col min="4" max="4" width="21.54296875" style="198" customWidth="1"/>
    <col min="5" max="5" width="9.453125" style="198" bestFit="1" customWidth="1"/>
    <col min="6" max="6" width="12.1796875" style="199" bestFit="1" customWidth="1"/>
    <col min="7" max="7" width="9.453125" style="199" bestFit="1" customWidth="1"/>
    <col min="8" max="8" width="11.453125" style="200" customWidth="1"/>
    <col min="9" max="9" width="13.26953125" style="217" customWidth="1"/>
    <col min="10" max="16384" width="9.1796875" style="198"/>
  </cols>
  <sheetData>
    <row r="1" spans="1:10">
      <c r="I1" s="706" t="s">
        <v>414</v>
      </c>
      <c r="J1" s="706"/>
    </row>
    <row r="2" spans="1:10">
      <c r="C2" s="705" t="s">
        <v>51</v>
      </c>
      <c r="D2" s="705"/>
      <c r="E2" s="705"/>
      <c r="F2" s="705"/>
      <c r="G2" s="705"/>
      <c r="H2" s="705"/>
      <c r="I2" s="706" t="s">
        <v>415</v>
      </c>
      <c r="J2" s="706"/>
    </row>
    <row r="3" spans="1:10">
      <c r="C3" s="705" t="s">
        <v>416</v>
      </c>
      <c r="D3" s="705"/>
      <c r="E3" s="705"/>
      <c r="F3" s="705"/>
      <c r="G3" s="705"/>
      <c r="H3" s="705"/>
      <c r="I3" s="706" t="s">
        <v>417</v>
      </c>
      <c r="J3" s="706"/>
    </row>
    <row r="4" spans="1:10">
      <c r="C4" s="705" t="s">
        <v>418</v>
      </c>
      <c r="D4" s="705"/>
      <c r="E4" s="705"/>
      <c r="F4" s="705"/>
      <c r="G4" s="705"/>
      <c r="H4" s="705"/>
      <c r="I4" s="706" t="s">
        <v>419</v>
      </c>
      <c r="J4" s="706"/>
    </row>
    <row r="5" spans="1:10">
      <c r="C5" s="201"/>
      <c r="D5" s="201"/>
      <c r="E5" s="201"/>
      <c r="F5" s="201"/>
      <c r="G5" s="201"/>
      <c r="H5" s="202"/>
      <c r="I5" s="202"/>
    </row>
    <row r="6" spans="1:10">
      <c r="C6" s="705" t="s">
        <v>420</v>
      </c>
      <c r="D6" s="705"/>
      <c r="E6" s="705"/>
      <c r="F6" s="705"/>
      <c r="G6" s="705"/>
      <c r="H6" s="705"/>
      <c r="I6" s="706"/>
      <c r="J6" s="706"/>
    </row>
    <row r="7" spans="1:10">
      <c r="C7" s="705" t="s">
        <v>421</v>
      </c>
      <c r="D7" s="705"/>
      <c r="E7" s="705"/>
      <c r="F7" s="705"/>
      <c r="G7" s="705"/>
      <c r="H7" s="705"/>
      <c r="I7" s="706"/>
      <c r="J7" s="706"/>
    </row>
    <row r="8" spans="1:10">
      <c r="C8" s="201"/>
      <c r="D8" s="201"/>
      <c r="E8" s="201"/>
      <c r="F8" s="201"/>
      <c r="G8" s="203" t="s">
        <v>422</v>
      </c>
      <c r="H8" s="204"/>
      <c r="I8" s="202"/>
    </row>
    <row r="9" spans="1:10">
      <c r="E9" s="205" t="s">
        <v>423</v>
      </c>
      <c r="F9" s="206" t="s">
        <v>424</v>
      </c>
      <c r="G9" s="207" t="s">
        <v>425</v>
      </c>
      <c r="H9" s="204" t="s">
        <v>426</v>
      </c>
      <c r="I9" s="204" t="s">
        <v>427</v>
      </c>
    </row>
    <row r="10" spans="1:10" s="210" customFormat="1">
      <c r="A10" s="208" t="s">
        <v>396</v>
      </c>
      <c r="B10" s="708" t="s">
        <v>397</v>
      </c>
      <c r="C10" s="708"/>
      <c r="D10" s="708"/>
      <c r="E10" s="205" t="s">
        <v>428</v>
      </c>
      <c r="F10" s="206" t="s">
        <v>429</v>
      </c>
      <c r="G10" s="206" t="s">
        <v>430</v>
      </c>
      <c r="H10" s="209" t="s">
        <v>431</v>
      </c>
      <c r="I10" s="204" t="s">
        <v>93</v>
      </c>
    </row>
    <row r="11" spans="1:10" s="211" customFormat="1" ht="13.15" customHeight="1">
      <c r="A11" s="211" t="s">
        <v>432</v>
      </c>
      <c r="B11" s="709" t="s">
        <v>433</v>
      </c>
      <c r="C11" s="709"/>
      <c r="D11" s="709"/>
      <c r="E11" s="212" t="s">
        <v>434</v>
      </c>
      <c r="F11" s="213" t="s">
        <v>435</v>
      </c>
      <c r="G11" s="214" t="s">
        <v>436</v>
      </c>
      <c r="H11" s="215" t="s">
        <v>437</v>
      </c>
      <c r="I11" s="212" t="s">
        <v>438</v>
      </c>
    </row>
    <row r="12" spans="1:10">
      <c r="A12" s="216">
        <v>1</v>
      </c>
      <c r="B12" s="198" t="s">
        <v>439</v>
      </c>
    </row>
    <row r="13" spans="1:10">
      <c r="A13" s="216">
        <f t="shared" ref="A13:A40" si="0">1+A12</f>
        <v>2</v>
      </c>
      <c r="B13" s="198" t="s">
        <v>440</v>
      </c>
    </row>
    <row r="14" spans="1:10">
      <c r="A14" s="216">
        <f t="shared" si="0"/>
        <v>3</v>
      </c>
      <c r="C14" s="198" t="s">
        <v>441</v>
      </c>
      <c r="E14" s="218">
        <v>1827</v>
      </c>
      <c r="F14" s="199">
        <f>W27_PG_5_of_6!B10</f>
        <v>185.95</v>
      </c>
      <c r="G14" s="199">
        <f>+E14-F14</f>
        <v>1641.05</v>
      </c>
      <c r="H14" s="200">
        <f>W27_PG_6_of_6!D11+W27_PG_6_of_6!D24+W27_PG_6_of_6!D37</f>
        <v>25</v>
      </c>
      <c r="I14" s="219">
        <f>ROUND(G14*H14*12,0)</f>
        <v>492315</v>
      </c>
    </row>
    <row r="15" spans="1:10">
      <c r="A15" s="216">
        <f t="shared" si="0"/>
        <v>4</v>
      </c>
      <c r="C15" s="198" t="s">
        <v>442</v>
      </c>
      <c r="E15" s="218">
        <f>E14</f>
        <v>1827</v>
      </c>
      <c r="F15" s="199">
        <f>W27_PG_5_of_6!C10</f>
        <v>489.51</v>
      </c>
      <c r="G15" s="199">
        <f>+E15-F15</f>
        <v>1337.49</v>
      </c>
      <c r="H15" s="200">
        <f>W27_PG_6_of_6!D12+W27_PG_6_of_6!D25+W27_PG_6_of_6!D38</f>
        <v>29</v>
      </c>
      <c r="I15" s="220">
        <f t="shared" ref="I15:I17" si="1">ROUND(G15*H15*12,0)</f>
        <v>465447</v>
      </c>
    </row>
    <row r="16" spans="1:10">
      <c r="A16" s="216">
        <f t="shared" si="0"/>
        <v>5</v>
      </c>
      <c r="C16" s="198" t="s">
        <v>443</v>
      </c>
      <c r="E16" s="218">
        <f t="shared" ref="E16:E17" si="2">E15</f>
        <v>1827</v>
      </c>
      <c r="F16" s="199">
        <f>W27_PG_5_of_6!D10</f>
        <v>410.81</v>
      </c>
      <c r="G16" s="199">
        <f>+E16-F16</f>
        <v>1416.19</v>
      </c>
      <c r="H16" s="200">
        <f>W27_PG_6_of_6!D13+W27_PG_6_of_6!D26+W27_PG_6_of_6!D39</f>
        <v>15</v>
      </c>
      <c r="I16" s="220">
        <f t="shared" si="1"/>
        <v>254914</v>
      </c>
    </row>
    <row r="17" spans="1:9">
      <c r="A17" s="216">
        <f t="shared" si="0"/>
        <v>6</v>
      </c>
      <c r="C17" s="198" t="s">
        <v>444</v>
      </c>
      <c r="E17" s="218">
        <f t="shared" si="2"/>
        <v>1827</v>
      </c>
      <c r="F17" s="199">
        <f>W27_PG_5_of_6!E10</f>
        <v>714.36</v>
      </c>
      <c r="G17" s="199">
        <f>+E17-F17</f>
        <v>1112.6399999999999</v>
      </c>
      <c r="H17" s="200">
        <f>W27_PG_6_of_6!D14+W27_PG_6_of_6!D27+W27_PG_6_of_6!D40</f>
        <v>39</v>
      </c>
      <c r="I17" s="220">
        <f t="shared" si="1"/>
        <v>520716</v>
      </c>
    </row>
    <row r="18" spans="1:9">
      <c r="A18" s="216">
        <f t="shared" si="0"/>
        <v>7</v>
      </c>
      <c r="B18" s="198" t="s">
        <v>445</v>
      </c>
      <c r="I18" s="220"/>
    </row>
    <row r="19" spans="1:9">
      <c r="A19" s="216">
        <f t="shared" si="0"/>
        <v>8</v>
      </c>
      <c r="C19" s="198" t="s">
        <v>441</v>
      </c>
      <c r="E19" s="218">
        <v>1644.44</v>
      </c>
      <c r="F19" s="199">
        <f>W27_PG_5_of_6!B11</f>
        <v>106.8</v>
      </c>
      <c r="G19" s="199">
        <f>+E19-F19</f>
        <v>1537.64</v>
      </c>
      <c r="H19" s="200">
        <f>W27_PG_6_of_6!D3+W27_PG_6_of_6!D16+W27_PG_6_of_6!D29</f>
        <v>38</v>
      </c>
      <c r="I19" s="220">
        <f>ROUND(G19*H19*12,0)</f>
        <v>701164</v>
      </c>
    </row>
    <row r="20" spans="1:9">
      <c r="A20" s="216">
        <f t="shared" si="0"/>
        <v>9</v>
      </c>
      <c r="C20" s="198" t="s">
        <v>442</v>
      </c>
      <c r="E20" s="218">
        <f>E19</f>
        <v>1644.44</v>
      </c>
      <c r="F20" s="199">
        <f>W27_PG_5_of_6!C11</f>
        <v>303.49</v>
      </c>
      <c r="G20" s="199">
        <f>+E20-F20</f>
        <v>1340.95</v>
      </c>
      <c r="H20" s="200">
        <f>W27_PG_6_of_6!D4+W27_PG_6_of_6!D17+W27_PG_6_of_6!D30</f>
        <v>14</v>
      </c>
      <c r="I20" s="220">
        <f t="shared" ref="I20:I22" si="3">ROUND(G20*H20*12,0)</f>
        <v>225280</v>
      </c>
    </row>
    <row r="21" spans="1:9">
      <c r="A21" s="216">
        <f t="shared" si="0"/>
        <v>10</v>
      </c>
      <c r="C21" s="198" t="s">
        <v>443</v>
      </c>
      <c r="E21" s="218">
        <f t="shared" ref="E21:E22" si="4">E20</f>
        <v>1644.44</v>
      </c>
      <c r="F21" s="199">
        <f>W27_PG_5_of_6!D11</f>
        <v>252.49</v>
      </c>
      <c r="G21" s="199">
        <f>+E21-F21</f>
        <v>1391.95</v>
      </c>
      <c r="H21" s="200">
        <f>W27_PG_6_of_6!D5+W27_PG_6_of_6!D18+W27_PG_6_of_6!D31</f>
        <v>19</v>
      </c>
      <c r="I21" s="220">
        <f t="shared" si="3"/>
        <v>317365</v>
      </c>
    </row>
    <row r="22" spans="1:9">
      <c r="A22" s="216">
        <f t="shared" si="0"/>
        <v>11</v>
      </c>
      <c r="C22" s="198" t="s">
        <v>444</v>
      </c>
      <c r="E22" s="218">
        <f t="shared" si="4"/>
        <v>1644.44</v>
      </c>
      <c r="F22" s="199">
        <f>W27_PG_5_of_6!E11</f>
        <v>449.19</v>
      </c>
      <c r="G22" s="199">
        <f>+E22-F22</f>
        <v>1195.25</v>
      </c>
      <c r="H22" s="200">
        <f>W27_PG_6_of_6!D6+W27_PG_6_of_6!D19+W27_PG_6_of_6!D32</f>
        <v>41</v>
      </c>
      <c r="I22" s="220">
        <f t="shared" si="3"/>
        <v>588063</v>
      </c>
    </row>
    <row r="23" spans="1:9">
      <c r="A23" s="216">
        <f t="shared" si="0"/>
        <v>12</v>
      </c>
      <c r="B23" s="198" t="s">
        <v>446</v>
      </c>
      <c r="I23" s="220"/>
    </row>
    <row r="24" spans="1:9">
      <c r="A24" s="216">
        <f t="shared" si="0"/>
        <v>13</v>
      </c>
      <c r="C24" s="198" t="s">
        <v>441</v>
      </c>
      <c r="E24" s="218">
        <v>1293.6300000000001</v>
      </c>
      <c r="F24" s="199">
        <f>W27_PG_5_of_6!B12</f>
        <v>40.340000000000003</v>
      </c>
      <c r="G24" s="199">
        <f>+E24-F24</f>
        <v>1253.2900000000002</v>
      </c>
      <c r="H24" s="200">
        <f>W27_PG_6_of_6!D7+W27_PG_6_of_6!D20+W27_PG_6_of_6!D33</f>
        <v>30</v>
      </c>
      <c r="I24" s="220">
        <f>ROUND(G24*H24*12,0)</f>
        <v>451184</v>
      </c>
    </row>
    <row r="25" spans="1:9">
      <c r="A25" s="216">
        <f t="shared" si="0"/>
        <v>14</v>
      </c>
      <c r="C25" s="198" t="s">
        <v>442</v>
      </c>
      <c r="E25" s="218">
        <f>E24</f>
        <v>1293.6300000000001</v>
      </c>
      <c r="F25" s="199">
        <f>W27_PG_5_of_6!C12</f>
        <v>147.33000000000001</v>
      </c>
      <c r="G25" s="199">
        <f>+E25-F25</f>
        <v>1146.3000000000002</v>
      </c>
      <c r="H25" s="200">
        <f>W27_PG_6_of_6!D8+W27_PG_6_of_6!D21+W27_PG_6_of_6!D34</f>
        <v>7</v>
      </c>
      <c r="I25" s="220">
        <f t="shared" ref="I25:I27" si="5">ROUND(G25*H25*12,0)</f>
        <v>96289</v>
      </c>
    </row>
    <row r="26" spans="1:9">
      <c r="A26" s="216">
        <f t="shared" si="0"/>
        <v>15</v>
      </c>
      <c r="C26" s="198" t="s">
        <v>443</v>
      </c>
      <c r="E26" s="218">
        <f t="shared" ref="E26:E27" si="6">E25</f>
        <v>1293.6300000000001</v>
      </c>
      <c r="F26" s="199">
        <f>W27_PG_5_of_6!D12</f>
        <v>119.59</v>
      </c>
      <c r="G26" s="199">
        <f>+E26-F26</f>
        <v>1174.0400000000002</v>
      </c>
      <c r="H26" s="200">
        <f>W27_PG_6_of_6!D9+W27_PG_6_of_6!D22+W27_PG_6_of_6!D35</f>
        <v>6</v>
      </c>
      <c r="I26" s="220">
        <f t="shared" si="5"/>
        <v>84531</v>
      </c>
    </row>
    <row r="27" spans="1:9">
      <c r="A27" s="216">
        <f t="shared" si="0"/>
        <v>16</v>
      </c>
      <c r="C27" s="198" t="s">
        <v>444</v>
      </c>
      <c r="E27" s="218">
        <f t="shared" si="6"/>
        <v>1293.6300000000001</v>
      </c>
      <c r="F27" s="199">
        <f>W27_PG_5_of_6!E12</f>
        <v>226.57</v>
      </c>
      <c r="G27" s="199">
        <f>+E27-F27</f>
        <v>1067.0600000000002</v>
      </c>
      <c r="H27" s="200">
        <f>W27_PG_6_of_6!D10+W27_PG_6_of_6!D23+W27_PG_6_of_6!D36</f>
        <v>9</v>
      </c>
      <c r="I27" s="220">
        <f t="shared" si="5"/>
        <v>115242</v>
      </c>
    </row>
    <row r="28" spans="1:9">
      <c r="A28" s="216">
        <f t="shared" si="0"/>
        <v>17</v>
      </c>
      <c r="B28" s="198" t="s">
        <v>447</v>
      </c>
      <c r="I28" s="220"/>
    </row>
    <row r="29" spans="1:9">
      <c r="A29" s="216">
        <f t="shared" si="0"/>
        <v>18</v>
      </c>
      <c r="C29" s="198" t="s">
        <v>441</v>
      </c>
      <c r="E29" s="218">
        <v>79.34</v>
      </c>
      <c r="F29" s="199">
        <f>W27_PG_5_of_6!B13</f>
        <v>12.55</v>
      </c>
      <c r="G29" s="199">
        <f>+E29-F29</f>
        <v>66.790000000000006</v>
      </c>
      <c r="H29" s="200">
        <f>W27_PG_6_of_6!I3+W27_PG_6_of_6!I12+W27_PG_6_of_6!I21</f>
        <v>74</v>
      </c>
      <c r="I29" s="220">
        <f>ROUND(G29*H29*12,0)</f>
        <v>59310</v>
      </c>
    </row>
    <row r="30" spans="1:9">
      <c r="A30" s="216">
        <f t="shared" si="0"/>
        <v>19</v>
      </c>
      <c r="C30" s="198" t="s">
        <v>442</v>
      </c>
      <c r="E30" s="218">
        <f>E29</f>
        <v>79.34</v>
      </c>
      <c r="F30" s="199">
        <f>W27_PG_5_of_6!C13</f>
        <v>26.75</v>
      </c>
      <c r="G30" s="199">
        <f>+E30-F30</f>
        <v>52.59</v>
      </c>
      <c r="H30" s="200">
        <f>W27_PG_6_of_6!I4+W27_PG_6_of_6!I13+W27_PG_6_of_6!I22</f>
        <v>57</v>
      </c>
      <c r="I30" s="220">
        <f t="shared" ref="I30:I32" si="7">ROUND(G30*H30*12,0)</f>
        <v>35972</v>
      </c>
    </row>
    <row r="31" spans="1:9">
      <c r="A31" s="216">
        <f t="shared" si="0"/>
        <v>20</v>
      </c>
      <c r="C31" s="198" t="s">
        <v>443</v>
      </c>
      <c r="E31" s="218">
        <f t="shared" ref="E31:E32" si="8">E30</f>
        <v>79.34</v>
      </c>
      <c r="F31" s="199">
        <f>W27_PG_5_of_6!D13</f>
        <v>40.08</v>
      </c>
      <c r="G31" s="199">
        <f>+E31-F31</f>
        <v>39.260000000000005</v>
      </c>
      <c r="H31" s="200">
        <f>W27_PG_6_of_6!I5+W27_PG_6_of_6!I14+W27_PG_6_of_6!I23</f>
        <v>33</v>
      </c>
      <c r="I31" s="220">
        <f t="shared" si="7"/>
        <v>15547</v>
      </c>
    </row>
    <row r="32" spans="1:9">
      <c r="A32" s="216">
        <f t="shared" si="0"/>
        <v>21</v>
      </c>
      <c r="C32" s="198" t="s">
        <v>444</v>
      </c>
      <c r="E32" s="218">
        <f t="shared" si="8"/>
        <v>79.34</v>
      </c>
      <c r="F32" s="199">
        <f>W27_PG_5_of_6!E13</f>
        <v>54.2</v>
      </c>
      <c r="G32" s="199">
        <f>+E32-F32</f>
        <v>25.14</v>
      </c>
      <c r="H32" s="200">
        <f>W27_PG_6_of_6!I6+W27_PG_6_of_6!I15+W27_PG_6_of_6!I24</f>
        <v>96</v>
      </c>
      <c r="I32" s="220">
        <f t="shared" si="7"/>
        <v>28961</v>
      </c>
    </row>
    <row r="33" spans="1:9">
      <c r="A33" s="216">
        <f t="shared" si="0"/>
        <v>22</v>
      </c>
      <c r="B33" s="198" t="s">
        <v>448</v>
      </c>
      <c r="E33" s="218"/>
      <c r="I33" s="220"/>
    </row>
    <row r="34" spans="1:9">
      <c r="A34" s="216">
        <f t="shared" si="0"/>
        <v>23</v>
      </c>
      <c r="C34" s="198" t="s">
        <v>441</v>
      </c>
      <c r="E34" s="218">
        <v>23.43</v>
      </c>
      <c r="F34" s="199">
        <f>W27_PG_5_of_6!B14</f>
        <v>9.3699999999999992</v>
      </c>
      <c r="G34" s="199">
        <f>+E34-F34</f>
        <v>14.06</v>
      </c>
      <c r="H34" s="200">
        <f>W27_PG_6_of_6!I7+W27_PG_6_of_6!I16+W27_PG_6_of_6!I25</f>
        <v>7</v>
      </c>
      <c r="I34" s="220">
        <f>ROUND(G34*H34*12,0)</f>
        <v>1181</v>
      </c>
    </row>
    <row r="35" spans="1:9">
      <c r="A35" s="216">
        <f t="shared" si="0"/>
        <v>24</v>
      </c>
      <c r="C35" s="198" t="s">
        <v>442</v>
      </c>
      <c r="E35" s="218">
        <v>46.89</v>
      </c>
      <c r="F35" s="199">
        <f>W27_PG_5_of_6!C14</f>
        <v>19.93</v>
      </c>
      <c r="G35" s="199">
        <f>+E35-F35</f>
        <v>26.96</v>
      </c>
      <c r="H35" s="200">
        <f>W27_PG_6_of_6!I8+W27_PG_6_of_6!I17+W27_PG_6_of_6!I26</f>
        <v>1</v>
      </c>
      <c r="I35" s="220">
        <f>ROUND(G35*H35*12,0)</f>
        <v>324</v>
      </c>
    </row>
    <row r="36" spans="1:9">
      <c r="A36" s="216">
        <f t="shared" si="0"/>
        <v>25</v>
      </c>
      <c r="C36" s="198" t="s">
        <v>443</v>
      </c>
      <c r="E36" s="218">
        <v>52.73</v>
      </c>
      <c r="F36" s="199">
        <f>W27_PG_5_of_6!D14</f>
        <v>22.56</v>
      </c>
      <c r="G36" s="199">
        <f t="shared" ref="G36:G37" si="9">+E36-F36</f>
        <v>30.169999999999998</v>
      </c>
      <c r="H36" s="200">
        <f>W27_PG_6_of_6!I9+W27_PG_6_of_6!I18+W27_PG_6_of_6!I27</f>
        <v>1</v>
      </c>
      <c r="I36" s="220">
        <f t="shared" ref="I36:I37" si="10">ROUND(G36*H36*12,0)</f>
        <v>362</v>
      </c>
    </row>
    <row r="37" spans="1:9">
      <c r="A37" s="216">
        <f t="shared" si="0"/>
        <v>26</v>
      </c>
      <c r="C37" s="198" t="s">
        <v>444</v>
      </c>
      <c r="E37" s="218">
        <v>76.17</v>
      </c>
      <c r="F37" s="199">
        <f>W27_PG_5_of_6!E14</f>
        <v>33.11</v>
      </c>
      <c r="G37" s="199">
        <f t="shared" si="9"/>
        <v>43.06</v>
      </c>
      <c r="H37" s="200">
        <f>W27_PG_6_of_6!I10+W27_PG_6_of_6!I19+W27_PG_6_of_6!I28</f>
        <v>5</v>
      </c>
      <c r="I37" s="220">
        <f t="shared" si="10"/>
        <v>2584</v>
      </c>
    </row>
    <row r="38" spans="1:9">
      <c r="A38" s="216">
        <f t="shared" si="0"/>
        <v>27</v>
      </c>
      <c r="B38" s="198" t="s">
        <v>449</v>
      </c>
      <c r="E38" s="218"/>
      <c r="I38" s="220"/>
    </row>
    <row r="39" spans="1:9">
      <c r="A39" s="216">
        <f t="shared" si="0"/>
        <v>28</v>
      </c>
      <c r="C39" s="198" t="s">
        <v>450</v>
      </c>
      <c r="E39" s="218">
        <v>1.1499999999999999</v>
      </c>
      <c r="G39" s="199">
        <f>+E39-F39</f>
        <v>1.1499999999999999</v>
      </c>
      <c r="H39" s="200">
        <v>282</v>
      </c>
      <c r="I39" s="220">
        <f>ROUND(G39*H39*12,0)</f>
        <v>3892</v>
      </c>
    </row>
    <row r="40" spans="1:9">
      <c r="A40" s="216">
        <f t="shared" si="0"/>
        <v>29</v>
      </c>
      <c r="C40" s="198" t="s">
        <v>451</v>
      </c>
      <c r="E40" s="218">
        <v>0.5</v>
      </c>
      <c r="G40" s="199">
        <f>+E40-F40</f>
        <v>0.5</v>
      </c>
      <c r="H40" s="200">
        <v>282</v>
      </c>
      <c r="I40" s="220">
        <f>ROUND(G40*H40*12,0)</f>
        <v>1692</v>
      </c>
    </row>
    <row r="41" spans="1:9" ht="6" customHeight="1">
      <c r="A41" s="216"/>
      <c r="I41" s="220"/>
    </row>
    <row r="42" spans="1:9">
      <c r="A42" s="216">
        <f>1+A40</f>
        <v>30</v>
      </c>
      <c r="B42" s="198" t="s">
        <v>452</v>
      </c>
      <c r="E42" s="218"/>
      <c r="I42" s="220">
        <f>SUM(W27_PG_6_of_6!L31:L33)</f>
        <v>50500</v>
      </c>
    </row>
    <row r="43" spans="1:9">
      <c r="A43" s="216"/>
      <c r="C43" s="198" t="s">
        <v>453</v>
      </c>
      <c r="E43" s="218"/>
      <c r="I43" s="220"/>
    </row>
    <row r="44" spans="1:9" ht="6" customHeight="1">
      <c r="A44" s="216"/>
      <c r="I44" s="220"/>
    </row>
    <row r="45" spans="1:9">
      <c r="A45" s="216">
        <f>1+A42</f>
        <v>31</v>
      </c>
      <c r="B45" s="198" t="s">
        <v>454</v>
      </c>
      <c r="E45" s="218">
        <v>3.66</v>
      </c>
      <c r="G45" s="199">
        <f>+E45-F45</f>
        <v>3.66</v>
      </c>
      <c r="H45" s="200">
        <v>282</v>
      </c>
      <c r="I45" s="220">
        <f>ROUND(G45*H45*12,0)</f>
        <v>12385</v>
      </c>
    </row>
    <row r="46" spans="1:9" ht="6" customHeight="1">
      <c r="A46" s="216"/>
      <c r="I46" s="220"/>
    </row>
    <row r="47" spans="1:9">
      <c r="A47" s="216">
        <f>1+A45</f>
        <v>32</v>
      </c>
      <c r="B47" s="198" t="s">
        <v>455</v>
      </c>
      <c r="H47" s="221" t="s">
        <v>456</v>
      </c>
      <c r="I47" s="220"/>
    </row>
    <row r="48" spans="1:9">
      <c r="A48" s="216">
        <f t="shared" ref="A48:A50" si="11">1+A47</f>
        <v>33</v>
      </c>
      <c r="C48" s="198" t="s">
        <v>457</v>
      </c>
      <c r="G48" s="222">
        <v>0.156</v>
      </c>
      <c r="H48" s="200">
        <f>SUM(W27_PG_6_of_6!H52:H54)/1000</f>
        <v>49562</v>
      </c>
      <c r="I48" s="220">
        <f>ROUND(G48*H48*12,0)</f>
        <v>92780</v>
      </c>
    </row>
    <row r="49" spans="1:9">
      <c r="A49" s="216">
        <f t="shared" si="11"/>
        <v>34</v>
      </c>
      <c r="C49" s="198" t="s">
        <v>458</v>
      </c>
      <c r="G49" s="222">
        <v>1.7999999999999999E-2</v>
      </c>
      <c r="H49" s="200">
        <f>SUM(W27_PG_6_of_6!H60:H62)/1000</f>
        <v>56095</v>
      </c>
      <c r="I49" s="220">
        <f>ROUND(G49*H49*12,0)</f>
        <v>12117</v>
      </c>
    </row>
    <row r="50" spans="1:9">
      <c r="A50" s="216">
        <f t="shared" si="11"/>
        <v>35</v>
      </c>
      <c r="C50" s="198" t="s">
        <v>459</v>
      </c>
      <c r="G50" s="222">
        <v>2.1000000000000001E-2</v>
      </c>
      <c r="H50" s="200">
        <f>W27_PG_6_of_6!H68/1000</f>
        <v>1371</v>
      </c>
      <c r="I50" s="220">
        <f>ROUND(G50*H50*12,0)</f>
        <v>345</v>
      </c>
    </row>
    <row r="51" spans="1:9" ht="6" customHeight="1">
      <c r="A51" s="216"/>
    </row>
    <row r="52" spans="1:9" ht="15" thickBot="1">
      <c r="A52" s="216">
        <f>1+A50</f>
        <v>36</v>
      </c>
      <c r="B52" s="198" t="s">
        <v>460</v>
      </c>
      <c r="I52" s="223">
        <f>SUM(I12:I51)</f>
        <v>4630462</v>
      </c>
    </row>
    <row r="53" spans="1:9" ht="15" thickTop="1">
      <c r="A53" s="216"/>
    </row>
    <row r="54" spans="1:9">
      <c r="A54" s="216"/>
    </row>
    <row r="55" spans="1:9">
      <c r="A55" s="707"/>
      <c r="B55" s="707"/>
      <c r="C55" s="707"/>
      <c r="D55" s="707"/>
    </row>
  </sheetData>
  <mergeCells count="14">
    <mergeCell ref="A55:D55"/>
    <mergeCell ref="C6:H6"/>
    <mergeCell ref="I6:J6"/>
    <mergeCell ref="C7:H7"/>
    <mergeCell ref="I7:J7"/>
    <mergeCell ref="B10:D10"/>
    <mergeCell ref="B11:D11"/>
    <mergeCell ref="C4:H4"/>
    <mergeCell ref="I4:J4"/>
    <mergeCell ref="I1:J1"/>
    <mergeCell ref="C2:H2"/>
    <mergeCell ref="I2:J2"/>
    <mergeCell ref="C3:H3"/>
    <mergeCell ref="I3:J3"/>
  </mergeCells>
  <pageMargins left="0.3" right="0.3" top="0.5" bottom="0.3" header="0.3" footer="0.3"/>
  <pageSetup scale="9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B9906-01F5-4C17-86B1-966418946A4B}">
  <sheetPr>
    <pageSetUpPr fitToPage="1"/>
  </sheetPr>
  <dimension ref="A1:J57"/>
  <sheetViews>
    <sheetView workbookViewId="0">
      <selection activeCell="I1" sqref="I1:J1"/>
    </sheetView>
  </sheetViews>
  <sheetFormatPr defaultColWidth="9.1796875" defaultRowHeight="14.5"/>
  <cols>
    <col min="1" max="1" width="6.54296875" style="197" bestFit="1" customWidth="1"/>
    <col min="2" max="2" width="2.7265625" style="198" customWidth="1"/>
    <col min="3" max="3" width="8.7265625" style="198" customWidth="1"/>
    <col min="4" max="4" width="21.54296875" style="198" customWidth="1"/>
    <col min="5" max="5" width="9.453125" style="198" bestFit="1" customWidth="1"/>
    <col min="6" max="6" width="12.1796875" style="199" bestFit="1" customWidth="1"/>
    <col min="7" max="7" width="9.453125" style="199" bestFit="1" customWidth="1"/>
    <col min="8" max="8" width="11.453125" style="200" customWidth="1"/>
    <col min="9" max="9" width="13.54296875" style="217" bestFit="1" customWidth="1"/>
    <col min="10" max="16384" width="9.1796875" style="198"/>
  </cols>
  <sheetData>
    <row r="1" spans="1:10">
      <c r="I1" s="706" t="s">
        <v>414</v>
      </c>
      <c r="J1" s="706"/>
    </row>
    <row r="2" spans="1:10">
      <c r="C2" s="705" t="s">
        <v>51</v>
      </c>
      <c r="D2" s="705"/>
      <c r="E2" s="705"/>
      <c r="F2" s="705"/>
      <c r="G2" s="705"/>
      <c r="H2" s="705"/>
      <c r="I2" s="706" t="s">
        <v>415</v>
      </c>
      <c r="J2" s="706"/>
    </row>
    <row r="3" spans="1:10">
      <c r="C3" s="705" t="s">
        <v>416</v>
      </c>
      <c r="D3" s="705"/>
      <c r="E3" s="705"/>
      <c r="F3" s="705"/>
      <c r="G3" s="705"/>
      <c r="H3" s="705"/>
      <c r="I3" s="706" t="s">
        <v>417</v>
      </c>
      <c r="J3" s="706"/>
    </row>
    <row r="4" spans="1:10">
      <c r="C4" s="705" t="s">
        <v>418</v>
      </c>
      <c r="D4" s="705"/>
      <c r="E4" s="705"/>
      <c r="F4" s="705"/>
      <c r="G4" s="705"/>
      <c r="H4" s="705"/>
      <c r="I4" s="706" t="s">
        <v>419</v>
      </c>
      <c r="J4" s="706"/>
    </row>
    <row r="5" spans="1:10" ht="6" customHeight="1">
      <c r="A5" s="216"/>
    </row>
    <row r="6" spans="1:10">
      <c r="C6" s="705" t="s">
        <v>461</v>
      </c>
      <c r="D6" s="705"/>
      <c r="E6" s="705"/>
      <c r="F6" s="705"/>
      <c r="G6" s="705"/>
      <c r="H6" s="705"/>
      <c r="I6" s="202"/>
    </row>
    <row r="7" spans="1:10" ht="6" customHeight="1">
      <c r="A7" s="216"/>
    </row>
    <row r="8" spans="1:10">
      <c r="C8" s="201"/>
      <c r="D8" s="201"/>
      <c r="E8" s="201"/>
      <c r="F8" s="201"/>
      <c r="G8" s="203" t="s">
        <v>422</v>
      </c>
      <c r="H8" s="204"/>
      <c r="I8" s="202"/>
    </row>
    <row r="9" spans="1:10">
      <c r="E9" s="205" t="s">
        <v>423</v>
      </c>
      <c r="F9" s="206" t="s">
        <v>424</v>
      </c>
      <c r="G9" s="207" t="s">
        <v>425</v>
      </c>
      <c r="H9" s="204" t="s">
        <v>426</v>
      </c>
      <c r="I9" s="204" t="s">
        <v>427</v>
      </c>
    </row>
    <row r="10" spans="1:10" s="210" customFormat="1">
      <c r="A10" s="208" t="s">
        <v>396</v>
      </c>
      <c r="B10" s="708" t="s">
        <v>397</v>
      </c>
      <c r="C10" s="708"/>
      <c r="D10" s="708"/>
      <c r="E10" s="205" t="s">
        <v>428</v>
      </c>
      <c r="F10" s="206" t="s">
        <v>429</v>
      </c>
      <c r="G10" s="206" t="s">
        <v>430</v>
      </c>
      <c r="H10" s="209" t="s">
        <v>431</v>
      </c>
      <c r="I10" s="204" t="s">
        <v>93</v>
      </c>
    </row>
    <row r="11" spans="1:10" s="211" customFormat="1" ht="13.15" customHeight="1">
      <c r="A11" s="211" t="s">
        <v>432</v>
      </c>
      <c r="B11" s="709" t="s">
        <v>433</v>
      </c>
      <c r="C11" s="709"/>
      <c r="D11" s="709"/>
      <c r="E11" s="212" t="s">
        <v>434</v>
      </c>
      <c r="F11" s="213" t="s">
        <v>435</v>
      </c>
      <c r="G11" s="214" t="s">
        <v>436</v>
      </c>
      <c r="H11" s="215" t="s">
        <v>437</v>
      </c>
      <c r="I11" s="212" t="s">
        <v>438</v>
      </c>
    </row>
    <row r="12" spans="1:10">
      <c r="A12" s="216">
        <v>1</v>
      </c>
      <c r="B12" s="198" t="s">
        <v>439</v>
      </c>
    </row>
    <row r="13" spans="1:10">
      <c r="A13" s="216">
        <f t="shared" ref="A13:A40" si="0">1+A12</f>
        <v>2</v>
      </c>
      <c r="B13" s="198" t="s">
        <v>440</v>
      </c>
    </row>
    <row r="14" spans="1:10">
      <c r="A14" s="216">
        <f t="shared" si="0"/>
        <v>3</v>
      </c>
      <c r="C14" s="198" t="s">
        <v>441</v>
      </c>
      <c r="E14" s="218">
        <f>W27_PG_2_of_6!E14</f>
        <v>1827</v>
      </c>
      <c r="F14" s="218">
        <f>W27_PG_2_of_6!F14</f>
        <v>185.95</v>
      </c>
      <c r="G14" s="199">
        <f>+E14-F14</f>
        <v>1641.05</v>
      </c>
      <c r="H14" s="200">
        <f>W27_PG_6_of_6!D50</f>
        <v>17</v>
      </c>
      <c r="I14" s="224">
        <f>ROUND(G14*H14*12,0)</f>
        <v>334774</v>
      </c>
    </row>
    <row r="15" spans="1:10">
      <c r="A15" s="216">
        <f t="shared" si="0"/>
        <v>4</v>
      </c>
      <c r="C15" s="198" t="s">
        <v>442</v>
      </c>
      <c r="E15" s="218">
        <f>E14</f>
        <v>1827</v>
      </c>
      <c r="F15" s="218">
        <f>W27_PG_2_of_6!F15</f>
        <v>489.51</v>
      </c>
      <c r="G15" s="199">
        <f>+E15-F15</f>
        <v>1337.49</v>
      </c>
      <c r="H15" s="200">
        <f>W27_PG_6_of_6!D51</f>
        <v>14</v>
      </c>
      <c r="I15" s="220">
        <f t="shared" ref="I15:I17" si="1">ROUND(G15*H15*12,0)</f>
        <v>224698</v>
      </c>
    </row>
    <row r="16" spans="1:10">
      <c r="A16" s="216">
        <f t="shared" si="0"/>
        <v>5</v>
      </c>
      <c r="C16" s="198" t="s">
        <v>443</v>
      </c>
      <c r="E16" s="218">
        <f t="shared" ref="E16:E17" si="2">E15</f>
        <v>1827</v>
      </c>
      <c r="F16" s="218">
        <f>W27_PG_2_of_6!F16</f>
        <v>410.81</v>
      </c>
      <c r="G16" s="199">
        <f>+E16-F16</f>
        <v>1416.19</v>
      </c>
      <c r="H16" s="200">
        <f>W27_PG_6_of_6!D52</f>
        <v>7</v>
      </c>
      <c r="I16" s="220">
        <f t="shared" si="1"/>
        <v>118960</v>
      </c>
    </row>
    <row r="17" spans="1:9">
      <c r="A17" s="216">
        <f t="shared" si="0"/>
        <v>6</v>
      </c>
      <c r="C17" s="198" t="s">
        <v>444</v>
      </c>
      <c r="E17" s="218">
        <f t="shared" si="2"/>
        <v>1827</v>
      </c>
      <c r="F17" s="218">
        <f>W27_PG_2_of_6!F17</f>
        <v>714.36</v>
      </c>
      <c r="G17" s="199">
        <f>+E17-F17</f>
        <v>1112.6399999999999</v>
      </c>
      <c r="H17" s="200">
        <f>W27_PG_6_of_6!D53</f>
        <v>18</v>
      </c>
      <c r="I17" s="220">
        <f t="shared" si="1"/>
        <v>240330</v>
      </c>
    </row>
    <row r="18" spans="1:9">
      <c r="A18" s="216">
        <f t="shared" si="0"/>
        <v>7</v>
      </c>
      <c r="B18" s="198" t="s">
        <v>445</v>
      </c>
      <c r="I18" s="220"/>
    </row>
    <row r="19" spans="1:9">
      <c r="A19" s="216">
        <f t="shared" si="0"/>
        <v>8</v>
      </c>
      <c r="C19" s="198" t="s">
        <v>441</v>
      </c>
      <c r="E19" s="218">
        <f>W27_PG_2_of_6!E19</f>
        <v>1644.44</v>
      </c>
      <c r="F19" s="218">
        <f>W27_PG_2_of_6!F19</f>
        <v>106.8</v>
      </c>
      <c r="G19" s="199">
        <f>+E19-F19</f>
        <v>1537.64</v>
      </c>
      <c r="H19" s="200">
        <f>W27_PG_6_of_6!D42</f>
        <v>19</v>
      </c>
      <c r="I19" s="220">
        <f>ROUND(G19*H19*12,0)</f>
        <v>350582</v>
      </c>
    </row>
    <row r="20" spans="1:9">
      <c r="A20" s="216">
        <f t="shared" si="0"/>
        <v>9</v>
      </c>
      <c r="C20" s="198" t="s">
        <v>442</v>
      </c>
      <c r="E20" s="218">
        <f>E19</f>
        <v>1644.44</v>
      </c>
      <c r="F20" s="218">
        <f>W27_PG_2_of_6!F20</f>
        <v>303.49</v>
      </c>
      <c r="G20" s="199">
        <f>+E20-F20</f>
        <v>1340.95</v>
      </c>
      <c r="H20" s="200">
        <f>W27_PG_6_of_6!D43</f>
        <v>14</v>
      </c>
      <c r="I20" s="220">
        <f t="shared" ref="I20:I22" si="3">ROUND(G20*H20*12,0)</f>
        <v>225280</v>
      </c>
    </row>
    <row r="21" spans="1:9">
      <c r="A21" s="216">
        <f t="shared" si="0"/>
        <v>10</v>
      </c>
      <c r="C21" s="198" t="s">
        <v>443</v>
      </c>
      <c r="E21" s="218">
        <f t="shared" ref="E21:E22" si="4">E20</f>
        <v>1644.44</v>
      </c>
      <c r="F21" s="218">
        <f>W27_PG_2_of_6!F21</f>
        <v>252.49</v>
      </c>
      <c r="G21" s="199">
        <f>+E21-F21</f>
        <v>1391.95</v>
      </c>
      <c r="H21" s="200">
        <f>W27_PG_6_of_6!D44</f>
        <v>11</v>
      </c>
      <c r="I21" s="220">
        <f t="shared" si="3"/>
        <v>183737</v>
      </c>
    </row>
    <row r="22" spans="1:9">
      <c r="A22" s="216">
        <f t="shared" si="0"/>
        <v>11</v>
      </c>
      <c r="C22" s="198" t="s">
        <v>444</v>
      </c>
      <c r="E22" s="218">
        <f t="shared" si="4"/>
        <v>1644.44</v>
      </c>
      <c r="F22" s="218">
        <f>W27_PG_2_of_6!F22</f>
        <v>449.19</v>
      </c>
      <c r="G22" s="199">
        <f>+E22-F22</f>
        <v>1195.25</v>
      </c>
      <c r="H22" s="200">
        <f>W27_PG_6_of_6!D45</f>
        <v>34</v>
      </c>
      <c r="I22" s="220">
        <f t="shared" si="3"/>
        <v>487662</v>
      </c>
    </row>
    <row r="23" spans="1:9">
      <c r="A23" s="216">
        <f t="shared" si="0"/>
        <v>12</v>
      </c>
      <c r="B23" s="198" t="s">
        <v>446</v>
      </c>
      <c r="I23" s="220"/>
    </row>
    <row r="24" spans="1:9">
      <c r="A24" s="216">
        <f t="shared" si="0"/>
        <v>13</v>
      </c>
      <c r="C24" s="198" t="s">
        <v>441</v>
      </c>
      <c r="E24" s="218">
        <f>W27_PG_2_of_6!E24</f>
        <v>1293.6300000000001</v>
      </c>
      <c r="F24" s="218">
        <f>W27_PG_2_of_6!F24</f>
        <v>40.340000000000003</v>
      </c>
      <c r="G24" s="199">
        <f>+E24-F24</f>
        <v>1253.2900000000002</v>
      </c>
      <c r="H24" s="200">
        <f>W27_PG_6_of_6!D46</f>
        <v>18</v>
      </c>
      <c r="I24" s="220">
        <f>ROUND(G24*H24*12,0)</f>
        <v>270711</v>
      </c>
    </row>
    <row r="25" spans="1:9">
      <c r="A25" s="216">
        <f t="shared" si="0"/>
        <v>14</v>
      </c>
      <c r="C25" s="198" t="s">
        <v>442</v>
      </c>
      <c r="E25" s="218">
        <f>E24</f>
        <v>1293.6300000000001</v>
      </c>
      <c r="F25" s="218">
        <f>W27_PG_2_of_6!F25</f>
        <v>147.33000000000001</v>
      </c>
      <c r="G25" s="199">
        <f>+E25-F25</f>
        <v>1146.3000000000002</v>
      </c>
      <c r="H25" s="200">
        <f>W27_PG_6_of_6!D47</f>
        <v>2</v>
      </c>
      <c r="I25" s="220">
        <f t="shared" ref="I25:I27" si="5">ROUND(G25*H25*12,0)</f>
        <v>27511</v>
      </c>
    </row>
    <row r="26" spans="1:9">
      <c r="A26" s="216">
        <f t="shared" si="0"/>
        <v>15</v>
      </c>
      <c r="C26" s="198" t="s">
        <v>443</v>
      </c>
      <c r="E26" s="218">
        <f t="shared" ref="E26:E27" si="6">E25</f>
        <v>1293.6300000000001</v>
      </c>
      <c r="F26" s="218">
        <f>W27_PG_2_of_6!F26</f>
        <v>119.59</v>
      </c>
      <c r="G26" s="199">
        <f>+E26-F26</f>
        <v>1174.0400000000002</v>
      </c>
      <c r="H26" s="200">
        <f>W27_PG_6_of_6!D48</f>
        <v>5</v>
      </c>
      <c r="I26" s="220">
        <f t="shared" si="5"/>
        <v>70442</v>
      </c>
    </row>
    <row r="27" spans="1:9">
      <c r="A27" s="216">
        <f t="shared" si="0"/>
        <v>16</v>
      </c>
      <c r="C27" s="198" t="s">
        <v>444</v>
      </c>
      <c r="E27" s="218">
        <f t="shared" si="6"/>
        <v>1293.6300000000001</v>
      </c>
      <c r="F27" s="218">
        <f>W27_PG_2_of_6!F27</f>
        <v>226.57</v>
      </c>
      <c r="G27" s="199">
        <f>+E27-F27</f>
        <v>1067.0600000000002</v>
      </c>
      <c r="H27" s="200">
        <f>W27_PG_6_of_6!D49</f>
        <v>4</v>
      </c>
      <c r="I27" s="220">
        <f t="shared" si="5"/>
        <v>51219</v>
      </c>
    </row>
    <row r="28" spans="1:9">
      <c r="A28" s="216">
        <f t="shared" si="0"/>
        <v>17</v>
      </c>
      <c r="B28" s="198" t="s">
        <v>447</v>
      </c>
      <c r="I28" s="220"/>
    </row>
    <row r="29" spans="1:9">
      <c r="A29" s="216">
        <f t="shared" si="0"/>
        <v>18</v>
      </c>
      <c r="C29" s="198" t="s">
        <v>441</v>
      </c>
      <c r="E29" s="218">
        <f>W27_PG_2_of_6!E29</f>
        <v>79.34</v>
      </c>
      <c r="F29" s="218">
        <f>W27_PG_2_of_6!F29</f>
        <v>12.55</v>
      </c>
      <c r="G29" s="199">
        <f>+E29-F29</f>
        <v>66.790000000000006</v>
      </c>
      <c r="H29" s="200">
        <f>W27_PG_6_of_6!I30</f>
        <v>45</v>
      </c>
      <c r="I29" s="220">
        <f>ROUND(G29*H29*12,0)</f>
        <v>36067</v>
      </c>
    </row>
    <row r="30" spans="1:9">
      <c r="A30" s="216">
        <f t="shared" si="0"/>
        <v>19</v>
      </c>
      <c r="C30" s="198" t="s">
        <v>442</v>
      </c>
      <c r="E30" s="218">
        <f>E29</f>
        <v>79.34</v>
      </c>
      <c r="F30" s="218">
        <f>W27_PG_2_of_6!F30</f>
        <v>26.75</v>
      </c>
      <c r="G30" s="199">
        <f>+E30-F30</f>
        <v>52.59</v>
      </c>
      <c r="H30" s="200">
        <f>W27_PG_6_of_6!I31</f>
        <v>30</v>
      </c>
      <c r="I30" s="220">
        <f t="shared" ref="I30:I32" si="7">ROUND(G30*H30*12,0)</f>
        <v>18932</v>
      </c>
    </row>
    <row r="31" spans="1:9">
      <c r="A31" s="216">
        <f t="shared" si="0"/>
        <v>20</v>
      </c>
      <c r="C31" s="198" t="s">
        <v>443</v>
      </c>
      <c r="E31" s="218">
        <f t="shared" ref="E31:E32" si="8">E30</f>
        <v>79.34</v>
      </c>
      <c r="F31" s="218">
        <f>W27_PG_2_of_6!F31</f>
        <v>40.08</v>
      </c>
      <c r="G31" s="199">
        <f>+E31-F31</f>
        <v>39.260000000000005</v>
      </c>
      <c r="H31" s="200">
        <f>W27_PG_6_of_6!I32</f>
        <v>22</v>
      </c>
      <c r="I31" s="220">
        <f t="shared" si="7"/>
        <v>10365</v>
      </c>
    </row>
    <row r="32" spans="1:9">
      <c r="A32" s="216">
        <f t="shared" si="0"/>
        <v>21</v>
      </c>
      <c r="C32" s="198" t="s">
        <v>444</v>
      </c>
      <c r="E32" s="218">
        <f t="shared" si="8"/>
        <v>79.34</v>
      </c>
      <c r="F32" s="218">
        <f>W27_PG_2_of_6!F32</f>
        <v>54.2</v>
      </c>
      <c r="G32" s="199">
        <f>+E32-F32</f>
        <v>25.14</v>
      </c>
      <c r="H32" s="200">
        <f>W27_PG_6_of_6!I33</f>
        <v>56</v>
      </c>
      <c r="I32" s="220">
        <f t="shared" si="7"/>
        <v>16894</v>
      </c>
    </row>
    <row r="33" spans="1:9">
      <c r="A33" s="216">
        <f t="shared" si="0"/>
        <v>22</v>
      </c>
      <c r="B33" s="198" t="s">
        <v>448</v>
      </c>
      <c r="E33" s="218"/>
      <c r="I33" s="220"/>
    </row>
    <row r="34" spans="1:9">
      <c r="A34" s="216">
        <f t="shared" si="0"/>
        <v>23</v>
      </c>
      <c r="C34" s="198" t="s">
        <v>441</v>
      </c>
      <c r="E34" s="218">
        <f>W27_PG_2_of_6!E34</f>
        <v>23.43</v>
      </c>
      <c r="F34" s="218">
        <f>W27_PG_2_of_6!F34</f>
        <v>9.3699999999999992</v>
      </c>
      <c r="G34" s="199">
        <f>+E34-F34</f>
        <v>14.06</v>
      </c>
      <c r="H34" s="200">
        <f>W27_PG_6_of_6!I34</f>
        <v>5</v>
      </c>
      <c r="I34" s="220">
        <f>ROUND(G34*H34*12,0)</f>
        <v>844</v>
      </c>
    </row>
    <row r="35" spans="1:9">
      <c r="A35" s="216">
        <f t="shared" si="0"/>
        <v>24</v>
      </c>
      <c r="C35" s="198" t="s">
        <v>442</v>
      </c>
      <c r="E35" s="218">
        <f>W27_PG_2_of_6!E35</f>
        <v>46.89</v>
      </c>
      <c r="F35" s="218">
        <f>W27_PG_2_of_6!F35</f>
        <v>19.93</v>
      </c>
      <c r="G35" s="199">
        <f>+E35-F35</f>
        <v>26.96</v>
      </c>
      <c r="H35" s="225">
        <f>W27_PG_6_of_6!I35</f>
        <v>0</v>
      </c>
      <c r="I35" s="220">
        <f>ROUND(G35*H35*12,0)</f>
        <v>0</v>
      </c>
    </row>
    <row r="36" spans="1:9">
      <c r="A36" s="216">
        <f t="shared" si="0"/>
        <v>25</v>
      </c>
      <c r="C36" s="198" t="s">
        <v>443</v>
      </c>
      <c r="E36" s="218">
        <f>W27_PG_2_of_6!E36</f>
        <v>52.73</v>
      </c>
      <c r="F36" s="218">
        <f>W27_PG_2_of_6!F36</f>
        <v>22.56</v>
      </c>
      <c r="G36" s="199">
        <f t="shared" ref="G36:G37" si="9">+E36-F36</f>
        <v>30.169999999999998</v>
      </c>
      <c r="H36" s="200">
        <f>W27_PG_6_of_6!I36</f>
        <v>0</v>
      </c>
      <c r="I36" s="220">
        <f t="shared" ref="I36:I37" si="10">ROUND(G36*H36*12,0)</f>
        <v>0</v>
      </c>
    </row>
    <row r="37" spans="1:9">
      <c r="A37" s="216">
        <f t="shared" si="0"/>
        <v>26</v>
      </c>
      <c r="C37" s="198" t="s">
        <v>444</v>
      </c>
      <c r="E37" s="218">
        <f>W27_PG_2_of_6!E37</f>
        <v>76.17</v>
      </c>
      <c r="F37" s="218">
        <f>W27_PG_2_of_6!F37</f>
        <v>33.11</v>
      </c>
      <c r="G37" s="199">
        <f t="shared" si="9"/>
        <v>43.06</v>
      </c>
      <c r="H37" s="200">
        <f>W27_PG_6_of_6!I37</f>
        <v>2</v>
      </c>
      <c r="I37" s="220">
        <f t="shared" si="10"/>
        <v>1033</v>
      </c>
    </row>
    <row r="38" spans="1:9">
      <c r="A38" s="216"/>
      <c r="B38" s="198" t="s">
        <v>449</v>
      </c>
      <c r="E38" s="218"/>
      <c r="I38" s="220"/>
    </row>
    <row r="39" spans="1:9">
      <c r="A39" s="216">
        <f>A37+1</f>
        <v>27</v>
      </c>
      <c r="C39" s="198" t="s">
        <v>450</v>
      </c>
      <c r="E39" s="218">
        <f>W27_PG_2_of_6!E39</f>
        <v>1.1499999999999999</v>
      </c>
      <c r="G39" s="199">
        <f>+E39-F39</f>
        <v>1.1499999999999999</v>
      </c>
      <c r="H39" s="200">
        <f>W27_PG_6_of_6!L12</f>
        <v>173</v>
      </c>
      <c r="I39" s="220">
        <f>ROUND(G39*H39*12,0)</f>
        <v>2387</v>
      </c>
    </row>
    <row r="40" spans="1:9">
      <c r="A40" s="216">
        <f t="shared" si="0"/>
        <v>28</v>
      </c>
      <c r="C40" s="198" t="s">
        <v>451</v>
      </c>
      <c r="E40" s="218">
        <f>W27_PG_2_of_6!E40</f>
        <v>0.5</v>
      </c>
      <c r="G40" s="199">
        <f>+E40-F40</f>
        <v>0.5</v>
      </c>
      <c r="H40" s="200">
        <f>W27_PG_6_of_6!L12</f>
        <v>173</v>
      </c>
      <c r="I40" s="220">
        <f>ROUND(G40*H40*12,0)</f>
        <v>1038</v>
      </c>
    </row>
    <row r="41" spans="1:9" ht="6" customHeight="1">
      <c r="A41" s="216"/>
      <c r="I41" s="220"/>
    </row>
    <row r="42" spans="1:9">
      <c r="A42" s="216">
        <f>1+A40</f>
        <v>29</v>
      </c>
      <c r="B42" s="198" t="s">
        <v>452</v>
      </c>
      <c r="E42" s="218"/>
      <c r="I42" s="220">
        <f>+W27_PG_6_of_6!L34</f>
        <v>31400</v>
      </c>
    </row>
    <row r="43" spans="1:9">
      <c r="A43" s="216"/>
      <c r="C43" s="198" t="s">
        <v>453</v>
      </c>
      <c r="E43" s="218"/>
      <c r="I43" s="220"/>
    </row>
    <row r="44" spans="1:9" ht="6" customHeight="1">
      <c r="A44" s="216"/>
      <c r="I44" s="220"/>
    </row>
    <row r="45" spans="1:9">
      <c r="A45" s="216">
        <f>1+A42</f>
        <v>30</v>
      </c>
      <c r="B45" s="198" t="s">
        <v>454</v>
      </c>
      <c r="E45" s="218">
        <f>W27_PG_2_of_6!E45</f>
        <v>3.66</v>
      </c>
      <c r="G45" s="199">
        <f>+E45-F45</f>
        <v>3.66</v>
      </c>
      <c r="H45" s="200">
        <f>W27_PG_6_of_6!L23</f>
        <v>173</v>
      </c>
      <c r="I45" s="220">
        <f>ROUND(G45*H45*12,0)</f>
        <v>7598</v>
      </c>
    </row>
    <row r="46" spans="1:9">
      <c r="A46" s="216"/>
      <c r="I46" s="220"/>
    </row>
    <row r="47" spans="1:9">
      <c r="A47" s="216">
        <f>1+A45</f>
        <v>31</v>
      </c>
      <c r="B47" s="198" t="s">
        <v>455</v>
      </c>
      <c r="H47" s="221" t="s">
        <v>456</v>
      </c>
      <c r="I47" s="220"/>
    </row>
    <row r="48" spans="1:9">
      <c r="A48" s="216">
        <f t="shared" ref="A48:A50" si="11">1+A47</f>
        <v>32</v>
      </c>
      <c r="C48" s="198" t="s">
        <v>457</v>
      </c>
      <c r="G48" s="222">
        <f>W27_PG_2_of_6!G48</f>
        <v>0.156</v>
      </c>
      <c r="H48" s="200">
        <f>W27_PG_6_of_6!H55/1000</f>
        <v>31450</v>
      </c>
      <c r="I48" s="220">
        <f>ROUND(G48*H48*12,0)</f>
        <v>58874</v>
      </c>
    </row>
    <row r="49" spans="1:9">
      <c r="A49" s="216">
        <f t="shared" si="11"/>
        <v>33</v>
      </c>
      <c r="C49" s="198" t="s">
        <v>458</v>
      </c>
      <c r="G49" s="222">
        <f>W27_PG_2_of_6!G49</f>
        <v>1.7999999999999999E-2</v>
      </c>
      <c r="H49" s="200">
        <f>W27_PG_6_of_6!H63/1000</f>
        <v>35181</v>
      </c>
      <c r="I49" s="220">
        <f>ROUND(G49*H49*12,0)</f>
        <v>7599</v>
      </c>
    </row>
    <row r="50" spans="1:9">
      <c r="A50" s="216">
        <f t="shared" si="11"/>
        <v>34</v>
      </c>
      <c r="C50" s="198" t="s">
        <v>459</v>
      </c>
      <c r="G50" s="222">
        <f>W27_PG_2_of_6!G50</f>
        <v>2.1000000000000001E-2</v>
      </c>
      <c r="H50" s="200">
        <f>W27_PG_6_of_6!H69/1000</f>
        <v>11512</v>
      </c>
      <c r="I50" s="220">
        <f>ROUND(G50*H50*12,0)</f>
        <v>2901</v>
      </c>
    </row>
    <row r="51" spans="1:9" ht="6" customHeight="1">
      <c r="A51" s="216"/>
    </row>
    <row r="52" spans="1:9">
      <c r="A52" s="216">
        <f>1+A50</f>
        <v>35</v>
      </c>
      <c r="B52" s="198" t="s">
        <v>462</v>
      </c>
      <c r="I52" s="226">
        <f>SUM(I12:I51)</f>
        <v>2781838</v>
      </c>
    </row>
    <row r="53" spans="1:9">
      <c r="A53" s="216"/>
    </row>
    <row r="54" spans="1:9" ht="15" thickBot="1">
      <c r="A54" s="216">
        <f>1+A52</f>
        <v>36</v>
      </c>
      <c r="B54" s="198" t="s">
        <v>463</v>
      </c>
      <c r="I54" s="227">
        <f>ROUND(I52*0.5,0)</f>
        <v>1390919</v>
      </c>
    </row>
    <row r="55" spans="1:9" ht="15" thickTop="1">
      <c r="A55" s="216"/>
    </row>
    <row r="56" spans="1:9">
      <c r="A56" s="216"/>
    </row>
    <row r="57" spans="1:9">
      <c r="A57" s="707"/>
      <c r="B57" s="707"/>
      <c r="C57" s="707"/>
      <c r="D57" s="707"/>
    </row>
  </sheetData>
  <mergeCells count="11">
    <mergeCell ref="C6:H6"/>
    <mergeCell ref="B10:D10"/>
    <mergeCell ref="B11:D11"/>
    <mergeCell ref="A57:D57"/>
    <mergeCell ref="I1:J1"/>
    <mergeCell ref="C2:H2"/>
    <mergeCell ref="I2:J2"/>
    <mergeCell ref="C3:H3"/>
    <mergeCell ref="I3:J3"/>
    <mergeCell ref="C4:H4"/>
    <mergeCell ref="I4:J4"/>
  </mergeCells>
  <pageMargins left="0.3" right="0.3" top="0.5" bottom="0.3" header="0.3" footer="0.3"/>
  <pageSetup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236E-26ED-4C0E-8E54-2E4E64208325}">
  <dimension ref="F1:F5"/>
  <sheetViews>
    <sheetView topLeftCell="A42" zoomScale="160" zoomScaleNormal="160" workbookViewId="0">
      <selection activeCell="I1" sqref="I1:J1"/>
    </sheetView>
  </sheetViews>
  <sheetFormatPr defaultColWidth="8.81640625" defaultRowHeight="13"/>
  <cols>
    <col min="1" max="1" width="2.1796875" style="228" customWidth="1"/>
    <col min="2" max="2" width="27.81640625" style="228" customWidth="1"/>
    <col min="3" max="3" width="17" style="228" customWidth="1"/>
    <col min="4" max="4" width="15.26953125" style="228" bestFit="1" customWidth="1"/>
    <col min="5" max="5" width="11.81640625" style="228" customWidth="1"/>
    <col min="6" max="6" width="17.1796875" style="228" customWidth="1"/>
    <col min="7" max="7" width="2.453125" style="228" customWidth="1"/>
    <col min="8" max="16384" width="8.81640625" style="228"/>
  </cols>
  <sheetData>
    <row r="1" spans="6:6" ht="14.5">
      <c r="F1" s="202" t="s">
        <v>414</v>
      </c>
    </row>
    <row r="2" spans="6:6">
      <c r="F2" s="229" t="s">
        <v>415</v>
      </c>
    </row>
    <row r="3" spans="6:6">
      <c r="F3" s="229" t="s">
        <v>417</v>
      </c>
    </row>
    <row r="4" spans="6:6" ht="12" customHeight="1">
      <c r="F4" s="229" t="s">
        <v>419</v>
      </c>
    </row>
    <row r="5" spans="6:6" ht="12" customHeight="1"/>
  </sheetData>
  <pageMargins left="0.45" right="0.45" top="0.5" bottom="0.45" header="0.3" footer="0.3"/>
  <pageSetup scale="10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99148-C44D-46C1-A8B2-0B844C90A729}">
  <dimension ref="A1:J23"/>
  <sheetViews>
    <sheetView workbookViewId="0">
      <selection activeCell="I1" sqref="I1:J1"/>
    </sheetView>
  </sheetViews>
  <sheetFormatPr defaultColWidth="8.81640625" defaultRowHeight="13"/>
  <cols>
    <col min="1" max="1" width="19.81640625" style="228" customWidth="1"/>
    <col min="2" max="2" width="11.81640625" style="228" customWidth="1"/>
    <col min="3" max="3" width="14.1796875" style="228" customWidth="1"/>
    <col min="4" max="4" width="13.453125" style="228" customWidth="1"/>
    <col min="5" max="5" width="12" style="228" customWidth="1"/>
    <col min="6" max="9" width="8.81640625" style="228"/>
    <col min="10" max="10" width="7.26953125" style="228" customWidth="1"/>
    <col min="11" max="16384" width="8.81640625" style="228"/>
  </cols>
  <sheetData>
    <row r="1" spans="1:10" ht="14.5">
      <c r="J1" s="202" t="s">
        <v>414</v>
      </c>
    </row>
    <row r="2" spans="1:10">
      <c r="J2" s="229" t="s">
        <v>415</v>
      </c>
    </row>
    <row r="3" spans="1:10" ht="15.5">
      <c r="A3" s="230" t="s">
        <v>464</v>
      </c>
      <c r="J3" s="229" t="s">
        <v>417</v>
      </c>
    </row>
    <row r="4" spans="1:10" ht="14.5">
      <c r="J4" s="202" t="s">
        <v>419</v>
      </c>
    </row>
    <row r="5" spans="1:10" ht="13.5" thickBot="1"/>
    <row r="6" spans="1:10" ht="14.5" thickBot="1">
      <c r="A6" s="710" t="s">
        <v>465</v>
      </c>
      <c r="B6" s="711"/>
      <c r="C6" s="711"/>
      <c r="D6" s="711"/>
      <c r="E6" s="712"/>
    </row>
    <row r="7" spans="1:10" ht="14.5" thickBot="1">
      <c r="A7" s="231" t="s">
        <v>466</v>
      </c>
      <c r="B7" s="232"/>
      <c r="C7" s="232"/>
      <c r="D7" s="232"/>
      <c r="E7" s="233"/>
    </row>
    <row r="8" spans="1:10" ht="14">
      <c r="A8" s="234" t="s">
        <v>467</v>
      </c>
      <c r="B8" s="235"/>
      <c r="C8" s="235"/>
      <c r="D8" s="235"/>
      <c r="E8" s="236"/>
    </row>
    <row r="9" spans="1:10" ht="28">
      <c r="A9" s="237"/>
      <c r="B9" s="238" t="s">
        <v>468</v>
      </c>
      <c r="C9" s="238" t="s">
        <v>469</v>
      </c>
      <c r="D9" s="238" t="s">
        <v>470</v>
      </c>
      <c r="E9" s="239" t="s">
        <v>471</v>
      </c>
    </row>
    <row r="10" spans="1:10" ht="14">
      <c r="A10" s="240" t="s">
        <v>472</v>
      </c>
      <c r="B10" s="241">
        <v>185.95</v>
      </c>
      <c r="C10" s="241">
        <v>489.51</v>
      </c>
      <c r="D10" s="241">
        <v>410.81</v>
      </c>
      <c r="E10" s="242">
        <v>714.36</v>
      </c>
    </row>
    <row r="11" spans="1:10" ht="14">
      <c r="A11" s="240" t="s">
        <v>473</v>
      </c>
      <c r="B11" s="241">
        <v>106.8</v>
      </c>
      <c r="C11" s="241">
        <v>303.49</v>
      </c>
      <c r="D11" s="241">
        <v>252.49</v>
      </c>
      <c r="E11" s="242">
        <v>449.19</v>
      </c>
    </row>
    <row r="12" spans="1:10" ht="14">
      <c r="A12" s="240" t="s">
        <v>474</v>
      </c>
      <c r="B12" s="241">
        <v>40.340000000000003</v>
      </c>
      <c r="C12" s="241">
        <v>147.33000000000001</v>
      </c>
      <c r="D12" s="241">
        <v>119.59</v>
      </c>
      <c r="E12" s="242">
        <v>226.57</v>
      </c>
    </row>
    <row r="13" spans="1:10" ht="14">
      <c r="A13" s="240" t="s">
        <v>475</v>
      </c>
      <c r="B13" s="241">
        <v>12.55</v>
      </c>
      <c r="C13" s="241">
        <v>26.75</v>
      </c>
      <c r="D13" s="241">
        <v>40.08</v>
      </c>
      <c r="E13" s="242">
        <v>54.2</v>
      </c>
    </row>
    <row r="14" spans="1:10" ht="14">
      <c r="A14" s="243" t="s">
        <v>476</v>
      </c>
      <c r="B14" s="244">
        <v>9.3699999999999992</v>
      </c>
      <c r="C14" s="244">
        <v>19.93</v>
      </c>
      <c r="D14" s="244">
        <v>22.56</v>
      </c>
      <c r="E14" s="245">
        <v>33.11</v>
      </c>
    </row>
    <row r="15" spans="1:10" ht="14">
      <c r="A15" s="240" t="s">
        <v>477</v>
      </c>
      <c r="B15" s="246">
        <v>6.82</v>
      </c>
      <c r="C15" s="246">
        <v>12.93</v>
      </c>
      <c r="D15" s="246">
        <v>13.61</v>
      </c>
      <c r="E15" s="247">
        <v>20.41</v>
      </c>
      <c r="F15" s="228" t="s">
        <v>478</v>
      </c>
    </row>
    <row r="16" spans="1:10" ht="14">
      <c r="A16" s="248" t="s">
        <v>479</v>
      </c>
      <c r="B16" s="249"/>
      <c r="C16" s="249"/>
      <c r="D16" s="249"/>
      <c r="E16" s="250"/>
    </row>
    <row r="17" spans="1:6" ht="28">
      <c r="A17" s="237"/>
      <c r="B17" s="238" t="s">
        <v>468</v>
      </c>
      <c r="C17" s="238" t="s">
        <v>469</v>
      </c>
      <c r="D17" s="238" t="s">
        <v>470</v>
      </c>
      <c r="E17" s="239" t="s">
        <v>471</v>
      </c>
    </row>
    <row r="18" spans="1:6" ht="14">
      <c r="A18" s="240" t="s">
        <v>472</v>
      </c>
      <c r="B18" s="241">
        <v>464.88</v>
      </c>
      <c r="C18" s="241">
        <v>1223.76</v>
      </c>
      <c r="D18" s="241">
        <v>1027.02</v>
      </c>
      <c r="E18" s="242">
        <v>1785.9</v>
      </c>
    </row>
    <row r="19" spans="1:6" ht="14">
      <c r="A19" s="240" t="s">
        <v>473</v>
      </c>
      <c r="B19" s="241">
        <v>267</v>
      </c>
      <c r="C19" s="241">
        <v>758.71</v>
      </c>
      <c r="D19" s="241">
        <v>631.22</v>
      </c>
      <c r="E19" s="242">
        <v>1122.97</v>
      </c>
    </row>
    <row r="20" spans="1:6" ht="14">
      <c r="A20" s="240" t="s">
        <v>474</v>
      </c>
      <c r="B20" s="241">
        <v>100.85</v>
      </c>
      <c r="C20" s="241">
        <v>368.31</v>
      </c>
      <c r="D20" s="241">
        <v>298.97000000000003</v>
      </c>
      <c r="E20" s="242">
        <v>566.41999999999996</v>
      </c>
    </row>
    <row r="21" spans="1:6" ht="14">
      <c r="A21" s="240" t="s">
        <v>475</v>
      </c>
      <c r="B21" s="241">
        <v>30.52</v>
      </c>
      <c r="C21" s="241">
        <v>61.44</v>
      </c>
      <c r="D21" s="241">
        <v>89.58</v>
      </c>
      <c r="E21" s="242">
        <v>120.5</v>
      </c>
    </row>
    <row r="22" spans="1:6" ht="14">
      <c r="A22" s="243" t="s">
        <v>476</v>
      </c>
      <c r="B22" s="244">
        <v>22.76</v>
      </c>
      <c r="C22" s="244">
        <v>45.52</v>
      </c>
      <c r="D22" s="244">
        <v>51.2</v>
      </c>
      <c r="E22" s="245">
        <v>73.959999999999994</v>
      </c>
    </row>
    <row r="23" spans="1:6" ht="14.5" thickBot="1">
      <c r="A23" s="251" t="s">
        <v>477</v>
      </c>
      <c r="B23" s="252">
        <v>6.82</v>
      </c>
      <c r="C23" s="252">
        <v>12.93</v>
      </c>
      <c r="D23" s="252">
        <v>13.61</v>
      </c>
      <c r="E23" s="253">
        <v>20.41</v>
      </c>
      <c r="F23" s="228" t="s">
        <v>478</v>
      </c>
    </row>
  </sheetData>
  <mergeCells count="1">
    <mergeCell ref="A6:E6"/>
  </mergeCells>
  <pageMargins left="0.45" right="0.45" top="0.5" bottom="0.5" header="0.3" footer="0.3"/>
  <pageSetup scale="8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AEE5C-7D50-499F-A9DC-905B8E8880E6}">
  <sheetPr>
    <pageSetUpPr fitToPage="1"/>
  </sheetPr>
  <dimension ref="A1:N69"/>
  <sheetViews>
    <sheetView topLeftCell="A53" workbookViewId="0">
      <selection activeCell="I1" sqref="I1:J1"/>
    </sheetView>
  </sheetViews>
  <sheetFormatPr defaultColWidth="8.7265625" defaultRowHeight="14.5"/>
  <cols>
    <col min="1" max="1" width="19.81640625" style="255" bestFit="1" customWidth="1"/>
    <col min="2" max="2" width="9.7265625" style="255" bestFit="1" customWidth="1"/>
    <col min="3" max="3" width="14" style="255" bestFit="1" customWidth="1"/>
    <col min="4" max="4" width="5.7265625" style="255" bestFit="1" customWidth="1"/>
    <col min="5" max="5" width="3.26953125" style="255" customWidth="1"/>
    <col min="6" max="6" width="19.81640625" style="255" bestFit="1" customWidth="1"/>
    <col min="7" max="7" width="13.26953125" style="255" customWidth="1"/>
    <col min="8" max="8" width="14.26953125" style="255" bestFit="1" customWidth="1"/>
    <col min="9" max="9" width="5.7265625" style="255" bestFit="1" customWidth="1"/>
    <col min="10" max="10" width="3.26953125" style="255" customWidth="1"/>
    <col min="11" max="11" width="25.7265625" style="255" customWidth="1"/>
    <col min="12" max="12" width="13.1796875" style="255" customWidth="1"/>
    <col min="13" max="13" width="4.7265625" style="255" customWidth="1"/>
    <col min="14" max="16384" width="8.7265625" style="255"/>
  </cols>
  <sheetData>
    <row r="1" spans="1:14">
      <c r="A1" s="254" t="s">
        <v>480</v>
      </c>
      <c r="F1" s="254" t="s">
        <v>481</v>
      </c>
      <c r="M1" s="202" t="s">
        <v>414</v>
      </c>
    </row>
    <row r="2" spans="1:14">
      <c r="A2" s="256" t="s">
        <v>482</v>
      </c>
      <c r="B2" s="256" t="s">
        <v>483</v>
      </c>
      <c r="C2" s="256" t="s">
        <v>484</v>
      </c>
      <c r="D2" s="256" t="s">
        <v>485</v>
      </c>
      <c r="F2" s="257" t="s">
        <v>482</v>
      </c>
      <c r="G2" s="256" t="s">
        <v>483</v>
      </c>
      <c r="H2" s="256" t="s">
        <v>484</v>
      </c>
      <c r="I2" s="256" t="s">
        <v>485</v>
      </c>
      <c r="M2" s="202" t="s">
        <v>415</v>
      </c>
    </row>
    <row r="3" spans="1:14">
      <c r="A3" s="257">
        <v>110</v>
      </c>
      <c r="B3" s="256" t="s">
        <v>486</v>
      </c>
      <c r="C3" s="256" t="s">
        <v>487</v>
      </c>
      <c r="D3" s="256">
        <v>35</v>
      </c>
      <c r="F3" s="257">
        <v>110</v>
      </c>
      <c r="G3" s="256" t="s">
        <v>475</v>
      </c>
      <c r="H3" s="256" t="s">
        <v>487</v>
      </c>
      <c r="I3" s="256">
        <v>69</v>
      </c>
      <c r="M3" s="202" t="s">
        <v>417</v>
      </c>
    </row>
    <row r="4" spans="1:14">
      <c r="A4" s="257">
        <v>110</v>
      </c>
      <c r="B4" s="256" t="s">
        <v>486</v>
      </c>
      <c r="C4" s="256" t="s">
        <v>488</v>
      </c>
      <c r="D4" s="256">
        <v>11</v>
      </c>
      <c r="F4" s="257">
        <v>110</v>
      </c>
      <c r="G4" s="256" t="s">
        <v>475</v>
      </c>
      <c r="H4" s="256" t="s">
        <v>488</v>
      </c>
      <c r="I4" s="256">
        <v>46</v>
      </c>
      <c r="M4" s="202" t="s">
        <v>419</v>
      </c>
    </row>
    <row r="5" spans="1:14">
      <c r="A5" s="257">
        <v>110</v>
      </c>
      <c r="B5" s="256" t="s">
        <v>486</v>
      </c>
      <c r="C5" s="256" t="s">
        <v>489</v>
      </c>
      <c r="D5" s="256">
        <v>16</v>
      </c>
      <c r="F5" s="257">
        <v>110</v>
      </c>
      <c r="G5" s="256" t="s">
        <v>475</v>
      </c>
      <c r="H5" s="256" t="s">
        <v>489</v>
      </c>
      <c r="I5" s="256">
        <v>31</v>
      </c>
    </row>
    <row r="6" spans="1:14">
      <c r="A6" s="257">
        <v>110</v>
      </c>
      <c r="B6" s="256" t="s">
        <v>486</v>
      </c>
      <c r="C6" s="256" t="s">
        <v>490</v>
      </c>
      <c r="D6" s="256">
        <v>35</v>
      </c>
      <c r="F6" s="257">
        <v>110</v>
      </c>
      <c r="G6" s="256" t="s">
        <v>475</v>
      </c>
      <c r="H6" s="256" t="s">
        <v>490</v>
      </c>
      <c r="I6" s="256">
        <v>85</v>
      </c>
    </row>
    <row r="7" spans="1:14">
      <c r="A7" s="257">
        <v>110</v>
      </c>
      <c r="B7" s="256" t="s">
        <v>491</v>
      </c>
      <c r="C7" s="256" t="s">
        <v>487</v>
      </c>
      <c r="D7" s="256">
        <v>28</v>
      </c>
      <c r="F7" s="257">
        <v>110</v>
      </c>
      <c r="G7" s="256" t="s">
        <v>476</v>
      </c>
      <c r="H7" s="256" t="s">
        <v>487</v>
      </c>
      <c r="I7" s="256">
        <v>7</v>
      </c>
    </row>
    <row r="8" spans="1:14">
      <c r="A8" s="257">
        <v>110</v>
      </c>
      <c r="B8" s="256" t="s">
        <v>491</v>
      </c>
      <c r="C8" s="256" t="s">
        <v>488</v>
      </c>
      <c r="D8" s="256">
        <v>4</v>
      </c>
      <c r="F8" s="257">
        <v>110</v>
      </c>
      <c r="G8" s="256" t="s">
        <v>476</v>
      </c>
      <c r="H8" s="256" t="s">
        <v>488</v>
      </c>
      <c r="I8" s="256">
        <v>1</v>
      </c>
    </row>
    <row r="9" spans="1:14">
      <c r="A9" s="257">
        <v>110</v>
      </c>
      <c r="B9" s="256" t="s">
        <v>491</v>
      </c>
      <c r="C9" s="256" t="s">
        <v>489</v>
      </c>
      <c r="D9" s="256">
        <v>6</v>
      </c>
      <c r="F9" s="257">
        <v>110</v>
      </c>
      <c r="G9" s="256" t="s">
        <v>476</v>
      </c>
      <c r="H9" s="256" t="s">
        <v>489</v>
      </c>
      <c r="I9" s="256">
        <v>1</v>
      </c>
      <c r="K9" s="258">
        <v>110</v>
      </c>
      <c r="L9" s="198">
        <v>251</v>
      </c>
      <c r="N9" s="198"/>
    </row>
    <row r="10" spans="1:14">
      <c r="A10" s="257">
        <v>110</v>
      </c>
      <c r="B10" s="256" t="s">
        <v>491</v>
      </c>
      <c r="C10" s="256" t="s">
        <v>490</v>
      </c>
      <c r="D10" s="256">
        <v>9</v>
      </c>
      <c r="F10" s="257">
        <v>110</v>
      </c>
      <c r="G10" s="256" t="s">
        <v>476</v>
      </c>
      <c r="H10" s="256" t="s">
        <v>490</v>
      </c>
      <c r="I10" s="256">
        <v>5</v>
      </c>
      <c r="K10" s="258">
        <v>180</v>
      </c>
      <c r="L10" s="198">
        <v>7</v>
      </c>
      <c r="N10" s="198"/>
    </row>
    <row r="11" spans="1:14">
      <c r="A11" s="257">
        <v>110</v>
      </c>
      <c r="B11" s="256" t="s">
        <v>492</v>
      </c>
      <c r="C11" s="256" t="s">
        <v>487</v>
      </c>
      <c r="D11" s="256">
        <v>23</v>
      </c>
      <c r="F11" s="259" t="s">
        <v>88</v>
      </c>
      <c r="G11" s="260"/>
      <c r="H11" s="260"/>
      <c r="I11" s="260">
        <f>SUM(I3:I10)</f>
        <v>245</v>
      </c>
      <c r="K11" s="258" t="s">
        <v>493</v>
      </c>
      <c r="L11" s="198">
        <v>24</v>
      </c>
      <c r="N11" s="198"/>
    </row>
    <row r="12" spans="1:14">
      <c r="A12" s="257">
        <v>110</v>
      </c>
      <c r="B12" s="256" t="s">
        <v>492</v>
      </c>
      <c r="C12" s="256" t="s">
        <v>488</v>
      </c>
      <c r="D12" s="256">
        <v>24</v>
      </c>
      <c r="F12" s="257">
        <v>180</v>
      </c>
      <c r="G12" s="256" t="s">
        <v>475</v>
      </c>
      <c r="H12" s="256" t="s">
        <v>487</v>
      </c>
      <c r="I12" s="256">
        <v>3</v>
      </c>
      <c r="K12" s="261" t="s">
        <v>494</v>
      </c>
      <c r="L12" s="198">
        <v>173</v>
      </c>
      <c r="N12" s="198"/>
    </row>
    <row r="13" spans="1:14" ht="15" thickBot="1">
      <c r="A13" s="257">
        <v>110</v>
      </c>
      <c r="B13" s="256" t="s">
        <v>492</v>
      </c>
      <c r="C13" s="256" t="s">
        <v>489</v>
      </c>
      <c r="D13" s="256">
        <v>15</v>
      </c>
      <c r="F13" s="257">
        <v>180</v>
      </c>
      <c r="G13" s="256" t="s">
        <v>475</v>
      </c>
      <c r="H13" s="256" t="s">
        <v>488</v>
      </c>
      <c r="I13" s="256">
        <v>3</v>
      </c>
      <c r="K13" s="262" t="s">
        <v>495</v>
      </c>
      <c r="L13" s="263">
        <v>0</v>
      </c>
    </row>
    <row r="14" spans="1:14">
      <c r="A14" s="257">
        <v>110</v>
      </c>
      <c r="B14" s="256" t="s">
        <v>492</v>
      </c>
      <c r="C14" s="256" t="s">
        <v>490</v>
      </c>
      <c r="D14" s="256">
        <v>36</v>
      </c>
      <c r="F14" s="257">
        <v>180</v>
      </c>
      <c r="G14" s="256" t="s">
        <v>475</v>
      </c>
      <c r="H14" s="256" t="s">
        <v>489</v>
      </c>
      <c r="I14" s="256">
        <v>0</v>
      </c>
      <c r="K14" s="264" t="s">
        <v>496</v>
      </c>
      <c r="L14" s="264">
        <f>SUM(L9:L13)</f>
        <v>455</v>
      </c>
    </row>
    <row r="15" spans="1:14" ht="15" customHeight="1">
      <c r="A15" s="260" t="s">
        <v>88</v>
      </c>
      <c r="B15" s="260"/>
      <c r="C15" s="260"/>
      <c r="D15" s="260">
        <f>SUM(D3:D14)</f>
        <v>242</v>
      </c>
      <c r="F15" s="257">
        <v>180</v>
      </c>
      <c r="G15" s="256" t="s">
        <v>475</v>
      </c>
      <c r="H15" s="256" t="s">
        <v>490</v>
      </c>
      <c r="I15" s="256">
        <v>0</v>
      </c>
    </row>
    <row r="16" spans="1:14">
      <c r="A16" s="257">
        <v>180</v>
      </c>
      <c r="B16" s="256" t="s">
        <v>486</v>
      </c>
      <c r="C16" s="256" t="s">
        <v>487</v>
      </c>
      <c r="D16" s="256">
        <v>1</v>
      </c>
      <c r="F16" s="257">
        <v>180</v>
      </c>
      <c r="G16" s="256" t="s">
        <v>476</v>
      </c>
      <c r="H16" s="256" t="s">
        <v>487</v>
      </c>
      <c r="I16" s="256">
        <v>0</v>
      </c>
    </row>
    <row r="17" spans="1:12">
      <c r="A17" s="257">
        <v>180</v>
      </c>
      <c r="B17" s="256" t="s">
        <v>486</v>
      </c>
      <c r="C17" s="256" t="s">
        <v>488</v>
      </c>
      <c r="D17" s="256">
        <v>1</v>
      </c>
      <c r="F17" s="257">
        <v>180</v>
      </c>
      <c r="G17" s="256" t="s">
        <v>476</v>
      </c>
      <c r="H17" s="256" t="s">
        <v>488</v>
      </c>
      <c r="I17" s="256">
        <v>0</v>
      </c>
      <c r="K17" s="254" t="s">
        <v>454</v>
      </c>
    </row>
    <row r="18" spans="1:12" ht="29">
      <c r="A18" s="257">
        <v>180</v>
      </c>
      <c r="B18" s="256" t="s">
        <v>486</v>
      </c>
      <c r="C18" s="256" t="s">
        <v>489</v>
      </c>
      <c r="D18" s="256">
        <v>0</v>
      </c>
      <c r="F18" s="257">
        <v>180</v>
      </c>
      <c r="G18" s="256" t="s">
        <v>476</v>
      </c>
      <c r="H18" s="256" t="s">
        <v>489</v>
      </c>
      <c r="I18" s="256">
        <v>0</v>
      </c>
      <c r="K18" s="265" t="s">
        <v>482</v>
      </c>
      <c r="L18" s="266" t="s">
        <v>497</v>
      </c>
    </row>
    <row r="19" spans="1:12">
      <c r="A19" s="257">
        <v>180</v>
      </c>
      <c r="B19" s="256" t="s">
        <v>486</v>
      </c>
      <c r="C19" s="256" t="s">
        <v>490</v>
      </c>
      <c r="D19" s="256">
        <v>0</v>
      </c>
      <c r="F19" s="257">
        <v>180</v>
      </c>
      <c r="G19" s="256" t="s">
        <v>476</v>
      </c>
      <c r="H19" s="256" t="s">
        <v>490</v>
      </c>
      <c r="I19" s="256">
        <v>0</v>
      </c>
      <c r="K19" s="267"/>
      <c r="L19" s="268"/>
    </row>
    <row r="20" spans="1:12">
      <c r="A20" s="257">
        <v>180</v>
      </c>
      <c r="B20" s="256" t="s">
        <v>491</v>
      </c>
      <c r="C20" s="256" t="s">
        <v>487</v>
      </c>
      <c r="D20" s="256">
        <v>1</v>
      </c>
      <c r="F20" s="259" t="s">
        <v>88</v>
      </c>
      <c r="G20" s="260"/>
      <c r="H20" s="260"/>
      <c r="I20" s="260">
        <f>SUM(I12:I19)</f>
        <v>6</v>
      </c>
      <c r="K20" s="257">
        <v>110</v>
      </c>
      <c r="L20" s="269">
        <v>251</v>
      </c>
    </row>
    <row r="21" spans="1:12">
      <c r="A21" s="257">
        <v>180</v>
      </c>
      <c r="B21" s="256" t="s">
        <v>491</v>
      </c>
      <c r="C21" s="256" t="s">
        <v>488</v>
      </c>
      <c r="D21" s="256">
        <v>0</v>
      </c>
      <c r="F21" s="257" t="s">
        <v>493</v>
      </c>
      <c r="G21" s="256" t="s">
        <v>475</v>
      </c>
      <c r="H21" s="256" t="s">
        <v>487</v>
      </c>
      <c r="I21" s="256">
        <v>2</v>
      </c>
      <c r="K21" s="257">
        <v>180</v>
      </c>
      <c r="L21" s="269">
        <v>7</v>
      </c>
    </row>
    <row r="22" spans="1:12">
      <c r="A22" s="257">
        <v>180</v>
      </c>
      <c r="B22" s="256" t="s">
        <v>491</v>
      </c>
      <c r="C22" s="256" t="s">
        <v>489</v>
      </c>
      <c r="D22" s="256">
        <v>0</v>
      </c>
      <c r="F22" s="257" t="s">
        <v>493</v>
      </c>
      <c r="G22" s="256" t="s">
        <v>475</v>
      </c>
      <c r="H22" s="256" t="s">
        <v>488</v>
      </c>
      <c r="I22" s="256">
        <v>8</v>
      </c>
      <c r="K22" s="257" t="s">
        <v>493</v>
      </c>
      <c r="L22" s="269">
        <v>24</v>
      </c>
    </row>
    <row r="23" spans="1:12">
      <c r="A23" s="257">
        <v>180</v>
      </c>
      <c r="B23" s="256" t="s">
        <v>491</v>
      </c>
      <c r="C23" s="256" t="s">
        <v>490</v>
      </c>
      <c r="D23" s="256">
        <v>0</v>
      </c>
      <c r="F23" s="257" t="s">
        <v>493</v>
      </c>
      <c r="G23" s="256" t="s">
        <v>475</v>
      </c>
      <c r="H23" s="256" t="s">
        <v>489</v>
      </c>
      <c r="I23" s="256">
        <v>2</v>
      </c>
      <c r="K23" s="270" t="s">
        <v>494</v>
      </c>
      <c r="L23" s="269">
        <v>173</v>
      </c>
    </row>
    <row r="24" spans="1:12">
      <c r="A24" s="257">
        <v>180</v>
      </c>
      <c r="B24" s="256" t="s">
        <v>492</v>
      </c>
      <c r="C24" s="256" t="s">
        <v>487</v>
      </c>
      <c r="D24" s="256">
        <v>2</v>
      </c>
      <c r="F24" s="257" t="s">
        <v>493</v>
      </c>
      <c r="G24" s="256" t="s">
        <v>475</v>
      </c>
      <c r="H24" s="256" t="s">
        <v>490</v>
      </c>
      <c r="I24" s="256">
        <v>11</v>
      </c>
      <c r="K24" s="270" t="s">
        <v>495</v>
      </c>
      <c r="L24" s="256">
        <v>0</v>
      </c>
    </row>
    <row r="25" spans="1:12">
      <c r="A25" s="257">
        <v>180</v>
      </c>
      <c r="B25" s="256" t="s">
        <v>492</v>
      </c>
      <c r="C25" s="256" t="s">
        <v>488</v>
      </c>
      <c r="D25" s="256">
        <v>2</v>
      </c>
      <c r="F25" s="257" t="s">
        <v>493</v>
      </c>
      <c r="G25" s="256" t="s">
        <v>476</v>
      </c>
      <c r="H25" s="256" t="s">
        <v>487</v>
      </c>
      <c r="I25" s="256">
        <v>0</v>
      </c>
    </row>
    <row r="26" spans="1:12">
      <c r="A26" s="257">
        <v>180</v>
      </c>
      <c r="B26" s="256" t="s">
        <v>492</v>
      </c>
      <c r="C26" s="256" t="s">
        <v>489</v>
      </c>
      <c r="D26" s="256">
        <v>0</v>
      </c>
      <c r="F26" s="257" t="s">
        <v>493</v>
      </c>
      <c r="G26" s="256" t="s">
        <v>476</v>
      </c>
      <c r="H26" s="256" t="s">
        <v>488</v>
      </c>
      <c r="I26" s="256">
        <v>0</v>
      </c>
    </row>
    <row r="27" spans="1:12">
      <c r="A27" s="257">
        <v>180</v>
      </c>
      <c r="B27" s="256" t="s">
        <v>492</v>
      </c>
      <c r="C27" s="256" t="s">
        <v>490</v>
      </c>
      <c r="D27" s="256">
        <v>0</v>
      </c>
      <c r="F27" s="257" t="s">
        <v>493</v>
      </c>
      <c r="G27" s="256" t="s">
        <v>476</v>
      </c>
      <c r="H27" s="256" t="s">
        <v>489</v>
      </c>
      <c r="I27" s="256">
        <v>0</v>
      </c>
    </row>
    <row r="28" spans="1:12">
      <c r="A28" s="260" t="s">
        <v>88</v>
      </c>
      <c r="B28" s="260"/>
      <c r="C28" s="260"/>
      <c r="D28" s="260">
        <f>SUM(D16:D27)</f>
        <v>7</v>
      </c>
      <c r="F28" s="257" t="s">
        <v>493</v>
      </c>
      <c r="G28" s="256" t="s">
        <v>476</v>
      </c>
      <c r="H28" s="256" t="s">
        <v>490</v>
      </c>
      <c r="I28" s="256">
        <v>0</v>
      </c>
      <c r="K28" s="254" t="s">
        <v>498</v>
      </c>
    </row>
    <row r="29" spans="1:12">
      <c r="A29" s="256" t="s">
        <v>493</v>
      </c>
      <c r="B29" s="256" t="s">
        <v>486</v>
      </c>
      <c r="C29" s="256" t="s">
        <v>487</v>
      </c>
      <c r="D29" s="256">
        <v>2</v>
      </c>
      <c r="F29" s="259" t="s">
        <v>88</v>
      </c>
      <c r="G29" s="260"/>
      <c r="H29" s="260"/>
      <c r="I29" s="260">
        <f>SUM(I21:I28)</f>
        <v>23</v>
      </c>
      <c r="K29" s="265" t="s">
        <v>482</v>
      </c>
      <c r="L29" s="271" t="s">
        <v>499</v>
      </c>
    </row>
    <row r="30" spans="1:12">
      <c r="A30" s="256" t="s">
        <v>493</v>
      </c>
      <c r="B30" s="256" t="s">
        <v>486</v>
      </c>
      <c r="C30" s="256" t="s">
        <v>488</v>
      </c>
      <c r="D30" s="256">
        <v>2</v>
      </c>
      <c r="F30" s="269" t="s">
        <v>494</v>
      </c>
      <c r="G30" s="269" t="s">
        <v>475</v>
      </c>
      <c r="H30" s="269" t="s">
        <v>487</v>
      </c>
      <c r="I30" s="269">
        <v>45</v>
      </c>
      <c r="K30" s="267"/>
      <c r="L30" s="267"/>
    </row>
    <row r="31" spans="1:12">
      <c r="A31" s="256" t="s">
        <v>493</v>
      </c>
      <c r="B31" s="256" t="s">
        <v>486</v>
      </c>
      <c r="C31" s="256" t="s">
        <v>489</v>
      </c>
      <c r="D31" s="256">
        <v>3</v>
      </c>
      <c r="F31" s="269" t="s">
        <v>494</v>
      </c>
      <c r="G31" s="269" t="s">
        <v>475</v>
      </c>
      <c r="H31" s="269" t="s">
        <v>488</v>
      </c>
      <c r="I31" s="269">
        <v>30</v>
      </c>
      <c r="K31" s="257">
        <v>110</v>
      </c>
      <c r="L31" s="272">
        <v>44725</v>
      </c>
    </row>
    <row r="32" spans="1:12">
      <c r="A32" s="256" t="s">
        <v>493</v>
      </c>
      <c r="B32" s="256" t="s">
        <v>486</v>
      </c>
      <c r="C32" s="256" t="s">
        <v>490</v>
      </c>
      <c r="D32" s="256">
        <v>6</v>
      </c>
      <c r="F32" s="269" t="s">
        <v>494</v>
      </c>
      <c r="G32" s="269" t="s">
        <v>475</v>
      </c>
      <c r="H32" s="269" t="s">
        <v>489</v>
      </c>
      <c r="I32" s="269">
        <v>22</v>
      </c>
      <c r="K32" s="257">
        <v>180</v>
      </c>
      <c r="L32" s="272">
        <v>925</v>
      </c>
    </row>
    <row r="33" spans="1:12">
      <c r="A33" s="256" t="s">
        <v>493</v>
      </c>
      <c r="B33" s="256" t="s">
        <v>491</v>
      </c>
      <c r="C33" s="256" t="s">
        <v>487</v>
      </c>
      <c r="D33" s="256">
        <v>1</v>
      </c>
      <c r="F33" s="269" t="s">
        <v>494</v>
      </c>
      <c r="G33" s="269" t="s">
        <v>475</v>
      </c>
      <c r="H33" s="269" t="s">
        <v>490</v>
      </c>
      <c r="I33" s="269">
        <v>56</v>
      </c>
      <c r="K33" s="257" t="s">
        <v>493</v>
      </c>
      <c r="L33" s="272">
        <v>4850</v>
      </c>
    </row>
    <row r="34" spans="1:12">
      <c r="A34" s="256" t="s">
        <v>493</v>
      </c>
      <c r="B34" s="256" t="s">
        <v>491</v>
      </c>
      <c r="C34" s="256" t="s">
        <v>488</v>
      </c>
      <c r="D34" s="256">
        <v>3</v>
      </c>
      <c r="F34" s="269" t="s">
        <v>494</v>
      </c>
      <c r="G34" s="269" t="s">
        <v>476</v>
      </c>
      <c r="H34" s="269" t="s">
        <v>487</v>
      </c>
      <c r="I34" s="269">
        <v>5</v>
      </c>
      <c r="K34" s="270" t="s">
        <v>494</v>
      </c>
      <c r="L34" s="273">
        <v>31400</v>
      </c>
    </row>
    <row r="35" spans="1:12">
      <c r="A35" s="256" t="s">
        <v>493</v>
      </c>
      <c r="B35" s="256" t="s">
        <v>491</v>
      </c>
      <c r="C35" s="256" t="s">
        <v>489</v>
      </c>
      <c r="D35" s="256">
        <v>0</v>
      </c>
      <c r="F35" s="269" t="s">
        <v>494</v>
      </c>
      <c r="G35" s="269" t="s">
        <v>476</v>
      </c>
      <c r="H35" s="269" t="s">
        <v>488</v>
      </c>
      <c r="I35" s="269">
        <v>0</v>
      </c>
      <c r="K35" s="270" t="s">
        <v>495</v>
      </c>
      <c r="L35" s="274">
        <v>0</v>
      </c>
    </row>
    <row r="36" spans="1:12">
      <c r="A36" s="256" t="s">
        <v>493</v>
      </c>
      <c r="B36" s="256" t="s">
        <v>491</v>
      </c>
      <c r="C36" s="256" t="s">
        <v>490</v>
      </c>
      <c r="D36" s="256">
        <v>0</v>
      </c>
      <c r="F36" s="269" t="s">
        <v>494</v>
      </c>
      <c r="G36" s="269" t="s">
        <v>476</v>
      </c>
      <c r="H36" s="269" t="s">
        <v>489</v>
      </c>
      <c r="I36" s="269">
        <v>0</v>
      </c>
    </row>
    <row r="37" spans="1:12">
      <c r="A37" s="256" t="s">
        <v>493</v>
      </c>
      <c r="B37" s="256" t="s">
        <v>492</v>
      </c>
      <c r="C37" s="256" t="s">
        <v>487</v>
      </c>
      <c r="D37" s="256">
        <v>0</v>
      </c>
      <c r="F37" s="269" t="s">
        <v>494</v>
      </c>
      <c r="G37" s="269" t="s">
        <v>476</v>
      </c>
      <c r="H37" s="269" t="s">
        <v>490</v>
      </c>
      <c r="I37" s="269">
        <v>2</v>
      </c>
    </row>
    <row r="38" spans="1:12">
      <c r="A38" s="256" t="s">
        <v>493</v>
      </c>
      <c r="B38" s="256" t="s">
        <v>492</v>
      </c>
      <c r="C38" s="256" t="s">
        <v>488</v>
      </c>
      <c r="D38" s="256">
        <v>3</v>
      </c>
      <c r="F38" s="275" t="s">
        <v>88</v>
      </c>
      <c r="G38" s="276"/>
      <c r="H38" s="276"/>
      <c r="I38" s="276">
        <f>SUM(I30:I37)</f>
        <v>160</v>
      </c>
    </row>
    <row r="39" spans="1:12">
      <c r="A39" s="256" t="s">
        <v>493</v>
      </c>
      <c r="B39" s="256" t="s">
        <v>492</v>
      </c>
      <c r="C39" s="256" t="s">
        <v>489</v>
      </c>
      <c r="D39" s="256">
        <v>0</v>
      </c>
      <c r="F39" s="269" t="s">
        <v>495</v>
      </c>
      <c r="G39" s="269" t="s">
        <v>475</v>
      </c>
      <c r="H39" s="269" t="s">
        <v>487</v>
      </c>
      <c r="I39" s="269">
        <v>0</v>
      </c>
    </row>
    <row r="40" spans="1:12">
      <c r="A40" s="256" t="s">
        <v>493</v>
      </c>
      <c r="B40" s="256" t="s">
        <v>492</v>
      </c>
      <c r="C40" s="256" t="s">
        <v>490</v>
      </c>
      <c r="D40" s="256">
        <v>3</v>
      </c>
      <c r="F40" s="269" t="s">
        <v>495</v>
      </c>
      <c r="G40" s="269" t="s">
        <v>475</v>
      </c>
      <c r="H40" s="269" t="s">
        <v>488</v>
      </c>
      <c r="I40" s="269">
        <v>0</v>
      </c>
    </row>
    <row r="41" spans="1:12">
      <c r="A41" s="260" t="s">
        <v>88</v>
      </c>
      <c r="B41" s="277"/>
      <c r="C41" s="277"/>
      <c r="D41" s="260">
        <f>SUM(D29:D40)</f>
        <v>23</v>
      </c>
      <c r="F41" s="269" t="s">
        <v>495</v>
      </c>
      <c r="G41" s="269" t="s">
        <v>475</v>
      </c>
      <c r="H41" s="269" t="s">
        <v>489</v>
      </c>
      <c r="I41" s="269">
        <v>0</v>
      </c>
    </row>
    <row r="42" spans="1:12">
      <c r="A42" s="269" t="s">
        <v>494</v>
      </c>
      <c r="B42" s="269" t="s">
        <v>486</v>
      </c>
      <c r="C42" s="269" t="s">
        <v>487</v>
      </c>
      <c r="D42" s="269">
        <v>19</v>
      </c>
      <c r="F42" s="269" t="s">
        <v>495</v>
      </c>
      <c r="G42" s="269" t="s">
        <v>475</v>
      </c>
      <c r="H42" s="269" t="s">
        <v>490</v>
      </c>
      <c r="I42" s="269">
        <v>0</v>
      </c>
    </row>
    <row r="43" spans="1:12">
      <c r="A43" s="269" t="s">
        <v>494</v>
      </c>
      <c r="B43" s="269" t="s">
        <v>486</v>
      </c>
      <c r="C43" s="269" t="s">
        <v>488</v>
      </c>
      <c r="D43" s="269">
        <v>14</v>
      </c>
      <c r="F43" s="269" t="s">
        <v>495</v>
      </c>
      <c r="G43" s="269" t="s">
        <v>476</v>
      </c>
      <c r="H43" s="269" t="s">
        <v>487</v>
      </c>
      <c r="I43" s="269">
        <v>0</v>
      </c>
    </row>
    <row r="44" spans="1:12">
      <c r="A44" s="269" t="s">
        <v>494</v>
      </c>
      <c r="B44" s="269" t="s">
        <v>486</v>
      </c>
      <c r="C44" s="269" t="s">
        <v>489</v>
      </c>
      <c r="D44" s="269">
        <v>11</v>
      </c>
      <c r="F44" s="269" t="s">
        <v>495</v>
      </c>
      <c r="G44" s="269" t="s">
        <v>476</v>
      </c>
      <c r="H44" s="269" t="s">
        <v>488</v>
      </c>
      <c r="I44" s="269">
        <v>0</v>
      </c>
    </row>
    <row r="45" spans="1:12">
      <c r="A45" s="269" t="s">
        <v>494</v>
      </c>
      <c r="B45" s="269" t="s">
        <v>486</v>
      </c>
      <c r="C45" s="269" t="s">
        <v>490</v>
      </c>
      <c r="D45" s="269">
        <v>34</v>
      </c>
      <c r="F45" s="269" t="s">
        <v>495</v>
      </c>
      <c r="G45" s="269" t="s">
        <v>476</v>
      </c>
      <c r="H45" s="269" t="s">
        <v>489</v>
      </c>
      <c r="I45" s="269">
        <v>0</v>
      </c>
    </row>
    <row r="46" spans="1:12">
      <c r="A46" s="269" t="s">
        <v>494</v>
      </c>
      <c r="B46" s="269" t="s">
        <v>491</v>
      </c>
      <c r="C46" s="269" t="s">
        <v>487</v>
      </c>
      <c r="D46" s="269">
        <v>18</v>
      </c>
      <c r="F46" s="269" t="s">
        <v>495</v>
      </c>
      <c r="G46" s="269" t="s">
        <v>476</v>
      </c>
      <c r="H46" s="269" t="s">
        <v>490</v>
      </c>
      <c r="I46" s="269">
        <v>0</v>
      </c>
    </row>
    <row r="47" spans="1:12">
      <c r="A47" s="269" t="s">
        <v>494</v>
      </c>
      <c r="B47" s="269" t="s">
        <v>491</v>
      </c>
      <c r="C47" s="269" t="s">
        <v>488</v>
      </c>
      <c r="D47" s="269">
        <v>2</v>
      </c>
      <c r="F47" s="275" t="s">
        <v>88</v>
      </c>
      <c r="G47" s="276"/>
      <c r="H47" s="276"/>
      <c r="I47" s="276">
        <f>SUM(I39:I46)</f>
        <v>0</v>
      </c>
    </row>
    <row r="48" spans="1:12">
      <c r="A48" s="269" t="s">
        <v>494</v>
      </c>
      <c r="B48" s="269" t="s">
        <v>491</v>
      </c>
      <c r="C48" s="269" t="s">
        <v>489</v>
      </c>
      <c r="D48" s="269">
        <v>5</v>
      </c>
      <c r="H48" s="278"/>
    </row>
    <row r="49" spans="1:11">
      <c r="A49" s="269" t="s">
        <v>494</v>
      </c>
      <c r="B49" s="269" t="s">
        <v>491</v>
      </c>
      <c r="C49" s="269" t="s">
        <v>490</v>
      </c>
      <c r="D49" s="269">
        <v>4</v>
      </c>
    </row>
    <row r="50" spans="1:11">
      <c r="A50" s="269" t="s">
        <v>494</v>
      </c>
      <c r="B50" s="269" t="s">
        <v>492</v>
      </c>
      <c r="C50" s="269" t="s">
        <v>487</v>
      </c>
      <c r="D50" s="269">
        <v>17</v>
      </c>
      <c r="F50" s="254" t="s">
        <v>500</v>
      </c>
    </row>
    <row r="51" spans="1:11">
      <c r="A51" s="269" t="s">
        <v>494</v>
      </c>
      <c r="B51" s="269" t="s">
        <v>492</v>
      </c>
      <c r="C51" s="269" t="s">
        <v>488</v>
      </c>
      <c r="D51" s="269">
        <v>14</v>
      </c>
      <c r="F51" s="257" t="s">
        <v>482</v>
      </c>
      <c r="G51" s="256" t="s">
        <v>485</v>
      </c>
      <c r="H51" s="256" t="s">
        <v>501</v>
      </c>
      <c r="I51" s="719" t="s">
        <v>502</v>
      </c>
      <c r="J51" s="720"/>
      <c r="K51" s="721"/>
    </row>
    <row r="52" spans="1:11">
      <c r="A52" s="269" t="s">
        <v>494</v>
      </c>
      <c r="B52" s="269" t="s">
        <v>492</v>
      </c>
      <c r="C52" s="269" t="s">
        <v>489</v>
      </c>
      <c r="D52" s="269">
        <v>7</v>
      </c>
      <c r="F52" s="257">
        <v>110</v>
      </c>
      <c r="G52" s="279">
        <v>251</v>
      </c>
      <c r="H52" s="280">
        <v>44397000</v>
      </c>
      <c r="I52" s="713" t="s">
        <v>503</v>
      </c>
      <c r="J52" s="714"/>
      <c r="K52" s="715"/>
    </row>
    <row r="53" spans="1:11">
      <c r="A53" s="269" t="s">
        <v>494</v>
      </c>
      <c r="B53" s="269" t="s">
        <v>492</v>
      </c>
      <c r="C53" s="269" t="s">
        <v>490</v>
      </c>
      <c r="D53" s="269">
        <v>18</v>
      </c>
      <c r="F53" s="257">
        <v>180</v>
      </c>
      <c r="G53" s="279">
        <v>7</v>
      </c>
      <c r="H53" s="280">
        <v>706000</v>
      </c>
      <c r="I53" s="722"/>
      <c r="J53" s="723"/>
      <c r="K53" s="724"/>
    </row>
    <row r="54" spans="1:11">
      <c r="A54" s="276" t="s">
        <v>88</v>
      </c>
      <c r="B54" s="281"/>
      <c r="C54" s="281"/>
      <c r="D54" s="276">
        <f>SUM(D42:D53)</f>
        <v>163</v>
      </c>
      <c r="F54" s="257" t="s">
        <v>493</v>
      </c>
      <c r="G54" s="279">
        <v>24</v>
      </c>
      <c r="H54" s="280">
        <v>4459000</v>
      </c>
      <c r="I54" s="722"/>
      <c r="J54" s="723"/>
      <c r="K54" s="724"/>
    </row>
    <row r="55" spans="1:11">
      <c r="A55" s="269" t="s">
        <v>495</v>
      </c>
      <c r="B55" s="269" t="s">
        <v>486</v>
      </c>
      <c r="C55" s="269" t="s">
        <v>487</v>
      </c>
      <c r="D55" s="269">
        <v>0</v>
      </c>
      <c r="F55" s="270" t="s">
        <v>494</v>
      </c>
      <c r="G55" s="282">
        <v>173</v>
      </c>
      <c r="H55" s="283">
        <v>31450000</v>
      </c>
      <c r="I55" s="722"/>
      <c r="J55" s="723"/>
      <c r="K55" s="724"/>
    </row>
    <row r="56" spans="1:11">
      <c r="A56" s="269" t="s">
        <v>504</v>
      </c>
      <c r="B56" s="269" t="s">
        <v>486</v>
      </c>
      <c r="C56" s="269" t="s">
        <v>488</v>
      </c>
      <c r="D56" s="269">
        <v>0</v>
      </c>
      <c r="F56" s="270" t="s">
        <v>495</v>
      </c>
      <c r="G56" s="282">
        <v>0</v>
      </c>
      <c r="H56" s="283">
        <v>0</v>
      </c>
      <c r="I56" s="716"/>
      <c r="J56" s="717"/>
      <c r="K56" s="718"/>
    </row>
    <row r="57" spans="1:11">
      <c r="A57" s="269" t="s">
        <v>505</v>
      </c>
      <c r="B57" s="269" t="s">
        <v>486</v>
      </c>
      <c r="C57" s="269" t="s">
        <v>489</v>
      </c>
      <c r="D57" s="269">
        <v>0</v>
      </c>
    </row>
    <row r="58" spans="1:11">
      <c r="A58" s="269" t="s">
        <v>506</v>
      </c>
      <c r="B58" s="269" t="s">
        <v>486</v>
      </c>
      <c r="C58" s="269" t="s">
        <v>490</v>
      </c>
      <c r="D58" s="269">
        <v>0</v>
      </c>
      <c r="F58" s="254" t="s">
        <v>507</v>
      </c>
    </row>
    <row r="59" spans="1:11">
      <c r="A59" s="269" t="s">
        <v>508</v>
      </c>
      <c r="B59" s="269" t="s">
        <v>491</v>
      </c>
      <c r="C59" s="269" t="s">
        <v>487</v>
      </c>
      <c r="D59" s="269">
        <v>0</v>
      </c>
      <c r="F59" s="257" t="s">
        <v>482</v>
      </c>
      <c r="G59" s="256" t="s">
        <v>485</v>
      </c>
      <c r="H59" s="256" t="s">
        <v>501</v>
      </c>
      <c r="I59" s="719" t="s">
        <v>502</v>
      </c>
      <c r="J59" s="720"/>
      <c r="K59" s="721"/>
    </row>
    <row r="60" spans="1:11">
      <c r="A60" s="269" t="s">
        <v>509</v>
      </c>
      <c r="B60" s="269" t="s">
        <v>491</v>
      </c>
      <c r="C60" s="269" t="s">
        <v>488</v>
      </c>
      <c r="D60" s="269">
        <v>0</v>
      </c>
      <c r="F60" s="257">
        <v>110</v>
      </c>
      <c r="G60" s="279">
        <v>251</v>
      </c>
      <c r="H60" s="280">
        <v>50187000</v>
      </c>
      <c r="I60" s="713" t="s">
        <v>510</v>
      </c>
      <c r="J60" s="714"/>
      <c r="K60" s="715"/>
    </row>
    <row r="61" spans="1:11">
      <c r="A61" s="269" t="s">
        <v>511</v>
      </c>
      <c r="B61" s="269" t="s">
        <v>491</v>
      </c>
      <c r="C61" s="269" t="s">
        <v>489</v>
      </c>
      <c r="D61" s="269">
        <v>0</v>
      </c>
      <c r="F61" s="257">
        <v>180</v>
      </c>
      <c r="G61" s="279">
        <v>7</v>
      </c>
      <c r="H61" s="280">
        <v>1036000</v>
      </c>
      <c r="I61" s="722"/>
      <c r="J61" s="723"/>
      <c r="K61" s="724"/>
    </row>
    <row r="62" spans="1:11">
      <c r="A62" s="269" t="s">
        <v>512</v>
      </c>
      <c r="B62" s="269" t="s">
        <v>491</v>
      </c>
      <c r="C62" s="269" t="s">
        <v>490</v>
      </c>
      <c r="D62" s="269">
        <v>0</v>
      </c>
      <c r="F62" s="257" t="s">
        <v>493</v>
      </c>
      <c r="G62" s="279">
        <v>24</v>
      </c>
      <c r="H62" s="284">
        <v>4872000</v>
      </c>
      <c r="I62" s="722"/>
      <c r="J62" s="723"/>
      <c r="K62" s="724"/>
    </row>
    <row r="63" spans="1:11">
      <c r="A63" s="269" t="s">
        <v>513</v>
      </c>
      <c r="B63" s="269" t="s">
        <v>492</v>
      </c>
      <c r="C63" s="269" t="s">
        <v>487</v>
      </c>
      <c r="D63" s="269">
        <v>0</v>
      </c>
      <c r="F63" s="270" t="s">
        <v>494</v>
      </c>
      <c r="G63" s="282">
        <v>173</v>
      </c>
      <c r="H63" s="283">
        <v>35181000</v>
      </c>
      <c r="I63" s="722"/>
      <c r="J63" s="723"/>
      <c r="K63" s="724"/>
    </row>
    <row r="64" spans="1:11">
      <c r="A64" s="269" t="s">
        <v>514</v>
      </c>
      <c r="B64" s="269" t="s">
        <v>492</v>
      </c>
      <c r="C64" s="269" t="s">
        <v>488</v>
      </c>
      <c r="D64" s="269">
        <v>0</v>
      </c>
      <c r="F64" s="270" t="s">
        <v>495</v>
      </c>
      <c r="G64" s="282">
        <v>0</v>
      </c>
      <c r="H64" s="283">
        <v>0</v>
      </c>
      <c r="I64" s="716"/>
      <c r="J64" s="717"/>
      <c r="K64" s="718"/>
    </row>
    <row r="65" spans="1:11">
      <c r="A65" s="269" t="s">
        <v>515</v>
      </c>
      <c r="B65" s="269" t="s">
        <v>492</v>
      </c>
      <c r="C65" s="269" t="s">
        <v>489</v>
      </c>
      <c r="D65" s="269">
        <v>0</v>
      </c>
    </row>
    <row r="66" spans="1:11">
      <c r="A66" s="269" t="s">
        <v>516</v>
      </c>
      <c r="B66" s="269" t="s">
        <v>492</v>
      </c>
      <c r="C66" s="269" t="s">
        <v>490</v>
      </c>
      <c r="D66" s="269">
        <v>0</v>
      </c>
      <c r="F66" s="285" t="s">
        <v>517</v>
      </c>
    </row>
    <row r="67" spans="1:11">
      <c r="A67" s="276" t="s">
        <v>88</v>
      </c>
      <c r="B67" s="281"/>
      <c r="C67" s="281"/>
      <c r="D67" s="276">
        <f>SUM(D55:D66)</f>
        <v>0</v>
      </c>
      <c r="F67" s="257" t="s">
        <v>482</v>
      </c>
      <c r="G67" s="256" t="s">
        <v>485</v>
      </c>
      <c r="H67" s="256" t="s">
        <v>501</v>
      </c>
      <c r="I67" s="719" t="s">
        <v>502</v>
      </c>
      <c r="J67" s="720"/>
      <c r="K67" s="721"/>
    </row>
    <row r="68" spans="1:11">
      <c r="F68" s="257" t="s">
        <v>493</v>
      </c>
      <c r="G68" s="279">
        <v>6</v>
      </c>
      <c r="H68" s="284">
        <v>1371000</v>
      </c>
      <c r="I68" s="713" t="s">
        <v>518</v>
      </c>
      <c r="J68" s="714"/>
      <c r="K68" s="715"/>
    </row>
    <row r="69" spans="1:11">
      <c r="F69" s="270" t="s">
        <v>494</v>
      </c>
      <c r="G69" s="282">
        <v>52</v>
      </c>
      <c r="H69" s="283">
        <v>11512000</v>
      </c>
      <c r="I69" s="716"/>
      <c r="J69" s="717"/>
      <c r="K69" s="718"/>
    </row>
  </sheetData>
  <mergeCells count="6">
    <mergeCell ref="I68:K69"/>
    <mergeCell ref="I51:K51"/>
    <mergeCell ref="I52:K56"/>
    <mergeCell ref="I59:K59"/>
    <mergeCell ref="I60:K64"/>
    <mergeCell ref="I67:K67"/>
  </mergeCells>
  <pageMargins left="0.7" right="0.7" top="0.75" bottom="0.75" header="0.3" footer="0.3"/>
  <pageSetup scale="59" fitToHeight="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3AB34-C4C6-4766-9924-5650A24C9BBA}">
  <dimension ref="A1:I22"/>
  <sheetViews>
    <sheetView showRuler="0" workbookViewId="0">
      <selection activeCell="G9" sqref="G9:G11"/>
    </sheetView>
  </sheetViews>
  <sheetFormatPr defaultColWidth="13.7265625" defaultRowHeight="12.5"/>
  <cols>
    <col min="1" max="1" width="9.1796875" style="2" customWidth="1"/>
    <col min="2" max="5" width="17.26953125" style="2" customWidth="1"/>
    <col min="6" max="7" width="23.26953125" style="2" customWidth="1"/>
    <col min="8" max="16384" width="13.7265625" style="2"/>
  </cols>
  <sheetData>
    <row r="1" spans="1:9" ht="15" customHeight="1">
      <c r="A1" s="671" t="s">
        <v>51</v>
      </c>
      <c r="B1" s="670"/>
      <c r="C1" s="670"/>
      <c r="D1" s="670"/>
    </row>
    <row r="2" spans="1:9" ht="15" customHeight="1">
      <c r="A2" s="672" t="s">
        <v>529</v>
      </c>
      <c r="B2" s="670"/>
      <c r="C2" s="670"/>
      <c r="D2" s="670"/>
      <c r="E2" s="670"/>
      <c r="F2" s="670"/>
    </row>
    <row r="3" spans="1:9" ht="15" customHeight="1">
      <c r="A3" s="671" t="s">
        <v>528</v>
      </c>
      <c r="B3" s="670"/>
      <c r="C3" s="670"/>
      <c r="D3" s="670"/>
      <c r="E3" s="670"/>
      <c r="F3" s="670"/>
    </row>
    <row r="4" spans="1:9" ht="15" customHeight="1">
      <c r="A4" s="671" t="s">
        <v>527</v>
      </c>
      <c r="B4" s="670"/>
      <c r="C4" s="670"/>
      <c r="D4" s="670"/>
    </row>
    <row r="5" spans="1:9" ht="15" customHeight="1"/>
    <row r="6" spans="1:9" ht="15" customHeight="1">
      <c r="F6" s="725">
        <v>45808</v>
      </c>
      <c r="G6" s="725"/>
      <c r="H6" s="725"/>
      <c r="I6" s="18"/>
    </row>
    <row r="7" spans="1:9" ht="39.25" customHeight="1">
      <c r="A7" s="124" t="s">
        <v>103</v>
      </c>
      <c r="B7" s="678" t="s">
        <v>397</v>
      </c>
      <c r="C7" s="678"/>
      <c r="D7" s="678"/>
      <c r="E7" s="678"/>
      <c r="F7" s="170" t="s">
        <v>526</v>
      </c>
      <c r="G7" s="170" t="s">
        <v>525</v>
      </c>
      <c r="H7" s="27" t="s">
        <v>88</v>
      </c>
      <c r="I7" s="18"/>
    </row>
    <row r="8" spans="1:9" ht="15" customHeight="1">
      <c r="A8" s="288"/>
      <c r="B8" s="17"/>
      <c r="C8" s="17"/>
      <c r="D8" s="17"/>
      <c r="E8" s="17"/>
      <c r="F8" s="17"/>
      <c r="G8" s="17"/>
      <c r="H8" s="17"/>
    </row>
    <row r="9" spans="1:9" ht="39.25" customHeight="1">
      <c r="A9" s="108">
        <v>1</v>
      </c>
      <c r="B9" s="672" t="s">
        <v>524</v>
      </c>
      <c r="C9" s="672"/>
      <c r="D9" s="672"/>
      <c r="E9" s="672"/>
      <c r="F9" s="166">
        <v>13137.48</v>
      </c>
      <c r="G9" s="166">
        <v>42716.86</v>
      </c>
      <c r="H9" s="166">
        <f>SUM(F9:G9)</f>
        <v>55854.34</v>
      </c>
    </row>
    <row r="10" spans="1:9" ht="15" customHeight="1">
      <c r="B10" s="13"/>
      <c r="C10" s="13"/>
      <c r="D10" s="13"/>
      <c r="E10" s="13"/>
      <c r="F10" s="143"/>
      <c r="G10" s="143"/>
      <c r="H10" s="143"/>
    </row>
    <row r="11" spans="1:9" ht="39.25" customHeight="1">
      <c r="A11" s="108">
        <v>2</v>
      </c>
      <c r="B11" s="672" t="s">
        <v>523</v>
      </c>
      <c r="C11" s="672"/>
      <c r="D11" s="672"/>
      <c r="E11" s="672"/>
      <c r="F11" s="166">
        <v>357697.02</v>
      </c>
      <c r="G11" s="166">
        <v>1205929.5</v>
      </c>
      <c r="H11" s="166">
        <f>SUM(F11:G11)</f>
        <v>1563626.52</v>
      </c>
    </row>
    <row r="12" spans="1:9" ht="15" customHeight="1">
      <c r="F12" s="143"/>
      <c r="G12" s="143"/>
      <c r="H12" s="143"/>
    </row>
    <row r="13" spans="1:9" ht="30" customHeight="1">
      <c r="A13" s="108">
        <v>3</v>
      </c>
      <c r="B13" s="672" t="s">
        <v>522</v>
      </c>
      <c r="C13" s="670"/>
      <c r="D13" s="670"/>
      <c r="E13" s="670"/>
      <c r="F13" s="166">
        <v>482153.12</v>
      </c>
      <c r="G13" s="166">
        <v>1689764.1</v>
      </c>
      <c r="H13" s="166">
        <f>SUM(F13:G13)</f>
        <v>2171917.2200000002</v>
      </c>
      <c r="I13" s="13"/>
    </row>
    <row r="14" spans="1:9" ht="15" customHeight="1"/>
    <row r="15" spans="1:9" ht="15" customHeight="1">
      <c r="A15" s="108">
        <v>4</v>
      </c>
      <c r="B15" s="694" t="s">
        <v>521</v>
      </c>
      <c r="C15" s="670"/>
      <c r="D15" s="670"/>
      <c r="E15" s="670"/>
      <c r="F15" s="287">
        <f>F9+F11+F13</f>
        <v>852987.62</v>
      </c>
      <c r="G15" s="287">
        <f>G9+G11+G13</f>
        <v>2938410.46</v>
      </c>
      <c r="H15" s="287">
        <f>H9+H11+H13</f>
        <v>3791398.08</v>
      </c>
      <c r="I15" s="13"/>
    </row>
    <row r="16" spans="1:9" ht="15" customHeight="1">
      <c r="F16" s="17"/>
      <c r="G16" s="17"/>
      <c r="H16" s="17"/>
      <c r="I16" s="13"/>
    </row>
    <row r="17" spans="1:7" ht="15" customHeight="1">
      <c r="A17" s="108">
        <v>6</v>
      </c>
      <c r="B17" s="672" t="s">
        <v>520</v>
      </c>
      <c r="C17" s="670"/>
      <c r="D17" s="670"/>
      <c r="E17" s="670"/>
      <c r="F17" s="111" t="s">
        <v>519</v>
      </c>
      <c r="G17" s="286">
        <v>404</v>
      </c>
    </row>
    <row r="18" spans="1:7" ht="15" customHeight="1"/>
    <row r="19" spans="1:7" ht="15" customHeight="1"/>
    <row r="20" spans="1:7" ht="15" customHeight="1">
      <c r="A20" s="13" t="s">
        <v>53</v>
      </c>
      <c r="B20" s="671" t="s">
        <v>54</v>
      </c>
      <c r="C20" s="670"/>
      <c r="D20" s="670"/>
      <c r="E20" s="670"/>
    </row>
    <row r="21" spans="1:7" ht="15" customHeight="1"/>
    <row r="22" spans="1:7" ht="15" customHeight="1"/>
  </sheetData>
  <mergeCells count="12">
    <mergeCell ref="A1:D1"/>
    <mergeCell ref="A2:F2"/>
    <mergeCell ref="A3:F3"/>
    <mergeCell ref="A4:D4"/>
    <mergeCell ref="B7:E7"/>
    <mergeCell ref="F6:H6"/>
    <mergeCell ref="B11:E11"/>
    <mergeCell ref="B9:E9"/>
    <mergeCell ref="B13:E13"/>
    <mergeCell ref="B15:E15"/>
    <mergeCell ref="B20:E20"/>
    <mergeCell ref="B17:E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AE99B-758C-49DA-AC95-8FA569CEFE6A}">
  <dimension ref="A1:M136"/>
  <sheetViews>
    <sheetView showRuler="0" topLeftCell="A129" workbookViewId="0">
      <selection sqref="A1:D1"/>
    </sheetView>
  </sheetViews>
  <sheetFormatPr defaultColWidth="13.7265625" defaultRowHeight="12.5"/>
  <cols>
    <col min="1" max="10" width="13.7265625" style="2"/>
    <col min="11" max="11" width="3.7265625" style="2" customWidth="1"/>
    <col min="12" max="12" width="13.7265625" style="2"/>
    <col min="13" max="13" width="27.453125" style="2" customWidth="1"/>
    <col min="14" max="16384" width="13.7265625" style="2"/>
  </cols>
  <sheetData>
    <row r="1" spans="1:13" ht="15" customHeight="1">
      <c r="A1" s="671" t="s">
        <v>51</v>
      </c>
      <c r="B1" s="670"/>
      <c r="C1" s="670"/>
      <c r="D1" s="670"/>
    </row>
    <row r="2" spans="1:13" ht="15" customHeight="1">
      <c r="A2" s="672" t="s">
        <v>529</v>
      </c>
      <c r="B2" s="670"/>
      <c r="C2" s="670"/>
      <c r="D2" s="670"/>
      <c r="E2" s="670"/>
    </row>
    <row r="3" spans="1:13" ht="15" customHeight="1">
      <c r="A3" s="672" t="s">
        <v>550</v>
      </c>
      <c r="B3" s="670"/>
      <c r="C3" s="670"/>
      <c r="D3" s="670"/>
    </row>
    <row r="4" spans="1:13" ht="15" customHeight="1">
      <c r="A4" s="671" t="s">
        <v>549</v>
      </c>
      <c r="B4" s="670"/>
      <c r="C4" s="670"/>
    </row>
    <row r="5" spans="1:13" ht="15" customHeight="1">
      <c r="K5" s="143"/>
      <c r="L5" s="143"/>
      <c r="M5" s="143"/>
    </row>
    <row r="6" spans="1:13" ht="15" customHeight="1">
      <c r="K6" s="143"/>
      <c r="L6" s="143"/>
      <c r="M6" s="143"/>
    </row>
    <row r="7" spans="1:13" ht="15" customHeight="1">
      <c r="A7" s="186" t="s">
        <v>264</v>
      </c>
      <c r="B7" s="727" t="s">
        <v>548</v>
      </c>
      <c r="C7" s="727"/>
      <c r="D7" s="727"/>
      <c r="E7" s="727"/>
      <c r="F7" s="727"/>
      <c r="G7" s="727"/>
      <c r="H7" s="727"/>
      <c r="I7" s="727"/>
      <c r="J7" s="727"/>
      <c r="K7" s="290"/>
      <c r="L7" s="177"/>
      <c r="M7" s="177"/>
    </row>
    <row r="8" spans="1:13" ht="32.5" customHeight="1">
      <c r="A8" s="124" t="s">
        <v>547</v>
      </c>
      <c r="B8" s="702" t="s">
        <v>546</v>
      </c>
      <c r="C8" s="702"/>
      <c r="D8" s="702"/>
      <c r="E8" s="702"/>
      <c r="F8" s="702"/>
      <c r="G8" s="702"/>
      <c r="H8" s="702"/>
      <c r="I8" s="702"/>
      <c r="J8" s="702"/>
      <c r="K8" s="162"/>
      <c r="L8" s="143"/>
      <c r="M8" s="143"/>
    </row>
    <row r="9" spans="1:13" ht="15" customHeight="1">
      <c r="A9" s="17"/>
      <c r="B9" s="17"/>
      <c r="C9" s="17"/>
      <c r="D9" s="17"/>
      <c r="E9" s="17"/>
      <c r="F9" s="17"/>
      <c r="G9" s="17"/>
      <c r="H9" s="17"/>
      <c r="I9" s="17"/>
      <c r="J9" s="17"/>
      <c r="K9" s="143"/>
      <c r="L9" s="143"/>
      <c r="M9" s="143"/>
    </row>
    <row r="10" spans="1:13" ht="15" customHeight="1">
      <c r="K10" s="143"/>
      <c r="L10" s="143"/>
      <c r="M10" s="143"/>
    </row>
    <row r="11" spans="1:13" ht="15" customHeight="1">
      <c r="C11" s="726" t="s">
        <v>545</v>
      </c>
      <c r="D11" s="726"/>
      <c r="E11" s="726"/>
      <c r="F11" s="726"/>
      <c r="G11" s="726" t="s">
        <v>545</v>
      </c>
      <c r="H11" s="726"/>
      <c r="I11" s="726"/>
      <c r="J11" s="726"/>
      <c r="K11" s="314"/>
      <c r="L11" s="313"/>
      <c r="M11" s="313"/>
    </row>
    <row r="12" spans="1:13" ht="23.25" customHeight="1">
      <c r="C12" s="726" t="s">
        <v>544</v>
      </c>
      <c r="D12" s="726"/>
      <c r="E12" s="726"/>
      <c r="F12" s="726"/>
      <c r="G12" s="726" t="s">
        <v>543</v>
      </c>
      <c r="H12" s="726"/>
      <c r="I12" s="726"/>
      <c r="J12" s="726"/>
      <c r="K12" s="314"/>
      <c r="L12" s="313"/>
      <c r="M12" s="313"/>
    </row>
    <row r="13" spans="1:13" ht="15" customHeight="1">
      <c r="A13" s="188" t="s">
        <v>542</v>
      </c>
      <c r="B13" s="188" t="s">
        <v>541</v>
      </c>
      <c r="C13" s="316">
        <v>4040001</v>
      </c>
      <c r="D13" s="316">
        <v>4040001</v>
      </c>
      <c r="E13" s="316">
        <v>4040001</v>
      </c>
      <c r="F13" s="316">
        <v>1823538</v>
      </c>
      <c r="G13" s="316">
        <v>4040001</v>
      </c>
      <c r="H13" s="316">
        <v>4040001</v>
      </c>
      <c r="I13" s="316">
        <v>4040001</v>
      </c>
      <c r="J13" s="316">
        <v>1823538</v>
      </c>
      <c r="K13" s="314"/>
      <c r="L13" s="313"/>
      <c r="M13" s="313"/>
    </row>
    <row r="14" spans="1:13" ht="15" customHeight="1">
      <c r="A14" s="188" t="s">
        <v>482</v>
      </c>
      <c r="B14" s="188"/>
      <c r="C14" s="316">
        <v>110</v>
      </c>
      <c r="D14" s="316">
        <v>117</v>
      </c>
      <c r="E14" s="316">
        <v>180</v>
      </c>
      <c r="F14" s="315" t="s">
        <v>88</v>
      </c>
      <c r="G14" s="316">
        <v>110</v>
      </c>
      <c r="H14" s="316">
        <v>117</v>
      </c>
      <c r="I14" s="316">
        <v>180</v>
      </c>
      <c r="J14" s="315" t="s">
        <v>88</v>
      </c>
      <c r="K14" s="314"/>
      <c r="L14" s="313"/>
      <c r="M14" s="313"/>
    </row>
    <row r="15" spans="1:13" ht="15" customHeight="1">
      <c r="A15" s="312">
        <v>2021</v>
      </c>
      <c r="B15" s="311">
        <v>1</v>
      </c>
      <c r="C15" s="310">
        <v>712.1</v>
      </c>
      <c r="D15" s="14">
        <v>1291.1500000000001</v>
      </c>
      <c r="E15" s="14">
        <v>359.81</v>
      </c>
      <c r="F15" s="309">
        <v>-2363.06</v>
      </c>
      <c r="G15" s="190"/>
      <c r="H15" s="17"/>
      <c r="I15" s="17"/>
      <c r="J15" s="308">
        <v>0</v>
      </c>
      <c r="K15" s="162"/>
      <c r="L15" s="143"/>
      <c r="M15" s="143"/>
    </row>
    <row r="16" spans="1:13" ht="15" customHeight="1">
      <c r="A16" s="107"/>
      <c r="B16" s="298">
        <v>2</v>
      </c>
      <c r="C16" s="296">
        <v>1698.08</v>
      </c>
      <c r="D16" s="10">
        <v>3078.9</v>
      </c>
      <c r="E16" s="10">
        <v>858.01</v>
      </c>
      <c r="F16" s="297">
        <v>-5634.99</v>
      </c>
      <c r="G16" s="18"/>
      <c r="H16" s="13"/>
      <c r="I16" s="13"/>
      <c r="J16" s="307">
        <v>0</v>
      </c>
      <c r="K16" s="18"/>
    </row>
    <row r="17" spans="1:11" ht="15" customHeight="1">
      <c r="A17" s="107"/>
      <c r="B17" s="298">
        <v>3</v>
      </c>
      <c r="C17" s="296">
        <v>1698.08</v>
      </c>
      <c r="D17" s="10">
        <v>3078.9</v>
      </c>
      <c r="E17" s="10">
        <v>858.01</v>
      </c>
      <c r="F17" s="297">
        <v>-5634.99</v>
      </c>
      <c r="G17" s="18"/>
      <c r="H17" s="13"/>
      <c r="I17" s="13"/>
      <c r="J17" s="307">
        <v>0</v>
      </c>
      <c r="K17" s="18"/>
    </row>
    <row r="18" spans="1:11" ht="15" customHeight="1">
      <c r="A18" s="107"/>
      <c r="B18" s="298">
        <v>4</v>
      </c>
      <c r="C18" s="296">
        <v>1698.08</v>
      </c>
      <c r="D18" s="10">
        <v>3078.9</v>
      </c>
      <c r="E18" s="10">
        <v>858.01</v>
      </c>
      <c r="F18" s="297">
        <v>-5634.99</v>
      </c>
      <c r="G18" s="18"/>
      <c r="H18" s="13"/>
      <c r="I18" s="13"/>
      <c r="J18" s="307">
        <v>0</v>
      </c>
      <c r="K18" s="18"/>
    </row>
    <row r="19" spans="1:11" ht="15" customHeight="1">
      <c r="A19" s="107"/>
      <c r="B19" s="298">
        <v>5</v>
      </c>
      <c r="C19" s="296">
        <v>1698.08</v>
      </c>
      <c r="D19" s="10">
        <v>3078.9</v>
      </c>
      <c r="E19" s="10">
        <v>858.01</v>
      </c>
      <c r="F19" s="297">
        <v>-5634.99</v>
      </c>
      <c r="G19" s="18"/>
      <c r="H19" s="13"/>
      <c r="I19" s="13"/>
      <c r="J19" s="307">
        <v>0</v>
      </c>
      <c r="K19" s="18"/>
    </row>
    <row r="20" spans="1:11" ht="15" customHeight="1">
      <c r="A20" s="107"/>
      <c r="B20" s="298">
        <v>6</v>
      </c>
      <c r="C20" s="296">
        <v>1698.08</v>
      </c>
      <c r="D20" s="10">
        <v>3078.9</v>
      </c>
      <c r="E20" s="10">
        <v>858.01</v>
      </c>
      <c r="F20" s="297">
        <v>-5634.99</v>
      </c>
      <c r="G20" s="18"/>
      <c r="H20" s="13"/>
      <c r="I20" s="13"/>
      <c r="J20" s="307">
        <v>0</v>
      </c>
      <c r="K20" s="18"/>
    </row>
    <row r="21" spans="1:11" ht="15" customHeight="1">
      <c r="A21" s="107"/>
      <c r="B21" s="298">
        <v>7</v>
      </c>
      <c r="C21" s="296">
        <v>1698.08</v>
      </c>
      <c r="D21" s="10">
        <v>3078.9</v>
      </c>
      <c r="E21" s="10">
        <v>858.01</v>
      </c>
      <c r="F21" s="297">
        <v>-5634.99</v>
      </c>
      <c r="G21" s="18"/>
      <c r="H21" s="13"/>
      <c r="I21" s="13"/>
      <c r="J21" s="307">
        <v>0</v>
      </c>
      <c r="K21" s="18"/>
    </row>
    <row r="22" spans="1:11" ht="15" customHeight="1">
      <c r="A22" s="107"/>
      <c r="B22" s="298">
        <v>8</v>
      </c>
      <c r="C22" s="296">
        <v>1698.08</v>
      </c>
      <c r="D22" s="10">
        <v>3078.9</v>
      </c>
      <c r="E22" s="10">
        <v>858.01</v>
      </c>
      <c r="F22" s="297">
        <v>-5634.99</v>
      </c>
      <c r="G22" s="18"/>
      <c r="H22" s="13"/>
      <c r="I22" s="13"/>
      <c r="J22" s="307">
        <v>0</v>
      </c>
      <c r="K22" s="18"/>
    </row>
    <row r="23" spans="1:11" ht="15" customHeight="1">
      <c r="A23" s="107"/>
      <c r="B23" s="298">
        <v>9</v>
      </c>
      <c r="C23" s="296">
        <v>1698.08</v>
      </c>
      <c r="D23" s="10">
        <v>3078.9</v>
      </c>
      <c r="E23" s="10">
        <v>858.01</v>
      </c>
      <c r="F23" s="297">
        <v>-5634.99</v>
      </c>
      <c r="G23" s="18"/>
      <c r="H23" s="13"/>
      <c r="I23" s="13"/>
      <c r="J23" s="307">
        <v>0</v>
      </c>
      <c r="K23" s="18"/>
    </row>
    <row r="24" spans="1:11" ht="15" customHeight="1">
      <c r="A24" s="107"/>
      <c r="B24" s="298">
        <v>10</v>
      </c>
      <c r="C24" s="296">
        <v>1698.08</v>
      </c>
      <c r="D24" s="10">
        <v>3078.9</v>
      </c>
      <c r="E24" s="10">
        <v>858.01</v>
      </c>
      <c r="F24" s="297">
        <v>-5634.99</v>
      </c>
      <c r="G24" s="18"/>
      <c r="H24" s="13"/>
      <c r="I24" s="13"/>
      <c r="J24" s="307">
        <v>0</v>
      </c>
      <c r="K24" s="18"/>
    </row>
    <row r="25" spans="1:11" ht="15" customHeight="1">
      <c r="A25" s="107"/>
      <c r="B25" s="298">
        <v>11</v>
      </c>
      <c r="C25" s="296">
        <v>1698.08</v>
      </c>
      <c r="D25" s="10">
        <v>3078.9</v>
      </c>
      <c r="E25" s="10">
        <v>858.01</v>
      </c>
      <c r="F25" s="297">
        <v>-5634.99</v>
      </c>
      <c r="G25" s="18"/>
      <c r="H25" s="13"/>
      <c r="I25" s="13"/>
      <c r="J25" s="307">
        <v>0</v>
      </c>
      <c r="K25" s="18"/>
    </row>
    <row r="26" spans="1:11" ht="15" customHeight="1">
      <c r="A26" s="107"/>
      <c r="B26" s="298">
        <v>12</v>
      </c>
      <c r="C26" s="296">
        <v>1698.08</v>
      </c>
      <c r="D26" s="10">
        <v>3078.9</v>
      </c>
      <c r="E26" s="10">
        <v>858.01</v>
      </c>
      <c r="F26" s="294">
        <v>-5634.99</v>
      </c>
      <c r="G26" s="18"/>
      <c r="H26" s="13"/>
      <c r="I26" s="13"/>
      <c r="J26" s="307">
        <v>0</v>
      </c>
      <c r="K26" s="18"/>
    </row>
    <row r="27" spans="1:11" ht="15" customHeight="1" thickBot="1">
      <c r="A27" s="107" t="s">
        <v>540</v>
      </c>
      <c r="B27" s="295"/>
      <c r="C27" s="303"/>
      <c r="D27" s="302"/>
      <c r="E27" s="302"/>
      <c r="F27" s="301">
        <v>-64347.9</v>
      </c>
      <c r="G27" s="18"/>
      <c r="H27" s="13"/>
      <c r="I27" s="13"/>
      <c r="J27" s="307">
        <v>0</v>
      </c>
      <c r="K27" s="18"/>
    </row>
    <row r="28" spans="1:11" ht="15" customHeight="1" thickTop="1">
      <c r="A28" s="300">
        <v>2022</v>
      </c>
      <c r="B28" s="298">
        <v>1</v>
      </c>
      <c r="C28" s="296">
        <v>1698.08</v>
      </c>
      <c r="D28" s="10">
        <v>3078.9</v>
      </c>
      <c r="E28" s="10">
        <v>858.01</v>
      </c>
      <c r="F28" s="299">
        <v>-5634.99</v>
      </c>
      <c r="G28" s="18"/>
      <c r="H28" s="13"/>
      <c r="I28" s="13"/>
      <c r="J28" s="307">
        <v>0</v>
      </c>
      <c r="K28" s="18"/>
    </row>
    <row r="29" spans="1:11" ht="15" customHeight="1">
      <c r="A29" s="107"/>
      <c r="B29" s="298">
        <v>2</v>
      </c>
      <c r="C29" s="296">
        <v>1698.08</v>
      </c>
      <c r="D29" s="10">
        <v>3078.9</v>
      </c>
      <c r="E29" s="10">
        <v>858.01</v>
      </c>
      <c r="F29" s="297">
        <v>-5634.99</v>
      </c>
      <c r="G29" s="18"/>
      <c r="H29" s="13"/>
      <c r="I29" s="13"/>
      <c r="J29" s="307">
        <v>0</v>
      </c>
      <c r="K29" s="18"/>
    </row>
    <row r="30" spans="1:11" ht="15" customHeight="1">
      <c r="A30" s="107"/>
      <c r="B30" s="298">
        <v>3</v>
      </c>
      <c r="C30" s="296">
        <v>1698.08</v>
      </c>
      <c r="D30" s="10">
        <v>3078.9</v>
      </c>
      <c r="E30" s="10">
        <v>858.01</v>
      </c>
      <c r="F30" s="297">
        <v>-5634.99</v>
      </c>
      <c r="G30" s="18"/>
      <c r="H30" s="13"/>
      <c r="I30" s="13"/>
      <c r="J30" s="307">
        <v>0</v>
      </c>
      <c r="K30" s="18"/>
    </row>
    <row r="31" spans="1:11" ht="15" customHeight="1">
      <c r="A31" s="107"/>
      <c r="B31" s="298">
        <v>4</v>
      </c>
      <c r="C31" s="296">
        <v>1698.08</v>
      </c>
      <c r="D31" s="10">
        <v>3078.9</v>
      </c>
      <c r="E31" s="10">
        <v>858.01</v>
      </c>
      <c r="F31" s="297">
        <v>-5634.99</v>
      </c>
      <c r="G31" s="18"/>
      <c r="H31" s="13"/>
      <c r="I31" s="13"/>
      <c r="J31" s="307">
        <v>0</v>
      </c>
      <c r="K31" s="18"/>
    </row>
    <row r="32" spans="1:11" ht="15" customHeight="1">
      <c r="A32" s="107"/>
      <c r="B32" s="298">
        <v>5</v>
      </c>
      <c r="C32" s="296">
        <v>1698.08</v>
      </c>
      <c r="D32" s="10">
        <v>3078.9</v>
      </c>
      <c r="E32" s="10">
        <v>858.01</v>
      </c>
      <c r="F32" s="297">
        <v>-5634.99</v>
      </c>
      <c r="G32" s="18"/>
      <c r="H32" s="13"/>
      <c r="I32" s="13"/>
      <c r="J32" s="307">
        <v>0</v>
      </c>
      <c r="K32" s="18"/>
    </row>
    <row r="33" spans="1:11" ht="15" customHeight="1">
      <c r="A33" s="107"/>
      <c r="B33" s="298">
        <v>6</v>
      </c>
      <c r="C33" s="296">
        <v>1698.08</v>
      </c>
      <c r="D33" s="10">
        <v>3078.9</v>
      </c>
      <c r="E33" s="10">
        <v>858.01</v>
      </c>
      <c r="F33" s="297">
        <v>-5634.99</v>
      </c>
      <c r="G33" s="18"/>
      <c r="H33" s="13"/>
      <c r="I33" s="13"/>
      <c r="J33" s="307">
        <v>0</v>
      </c>
      <c r="K33" s="18"/>
    </row>
    <row r="34" spans="1:11" ht="15" customHeight="1">
      <c r="A34" s="107"/>
      <c r="B34" s="298">
        <v>7</v>
      </c>
      <c r="C34" s="296">
        <v>1698.08</v>
      </c>
      <c r="D34" s="10">
        <v>3078.9</v>
      </c>
      <c r="E34" s="10">
        <v>858.01</v>
      </c>
      <c r="F34" s="297">
        <v>-5634.99</v>
      </c>
      <c r="G34" s="18"/>
      <c r="H34" s="13"/>
      <c r="I34" s="13"/>
      <c r="J34" s="307">
        <v>0</v>
      </c>
      <c r="K34" s="18"/>
    </row>
    <row r="35" spans="1:11" ht="15" customHeight="1">
      <c r="A35" s="107"/>
      <c r="B35" s="298">
        <v>8</v>
      </c>
      <c r="C35" s="296">
        <v>1698.08</v>
      </c>
      <c r="D35" s="10">
        <v>3078.9</v>
      </c>
      <c r="E35" s="10">
        <v>858.01</v>
      </c>
      <c r="F35" s="297">
        <v>-5634.99</v>
      </c>
      <c r="G35" s="18"/>
      <c r="H35" s="13"/>
      <c r="I35" s="13"/>
      <c r="J35" s="307">
        <v>0</v>
      </c>
      <c r="K35" s="18"/>
    </row>
    <row r="36" spans="1:11" ht="15" customHeight="1">
      <c r="A36" s="107"/>
      <c r="B36" s="298">
        <v>9</v>
      </c>
      <c r="C36" s="296">
        <v>1698.08</v>
      </c>
      <c r="D36" s="10">
        <v>3078.9</v>
      </c>
      <c r="E36" s="10">
        <v>858.01</v>
      </c>
      <c r="F36" s="297">
        <v>-5634.99</v>
      </c>
      <c r="G36" s="18"/>
      <c r="H36" s="13"/>
      <c r="I36" s="13"/>
      <c r="J36" s="307">
        <v>0</v>
      </c>
      <c r="K36" s="18"/>
    </row>
    <row r="37" spans="1:11" ht="15" customHeight="1">
      <c r="A37" s="107"/>
      <c r="B37" s="298">
        <v>10</v>
      </c>
      <c r="C37" s="296">
        <v>1698.08</v>
      </c>
      <c r="D37" s="10">
        <v>3078.9</v>
      </c>
      <c r="E37" s="10">
        <v>858.01</v>
      </c>
      <c r="F37" s="297">
        <v>-5634.99</v>
      </c>
      <c r="G37" s="18"/>
      <c r="H37" s="13"/>
      <c r="I37" s="13"/>
      <c r="J37" s="307">
        <v>0</v>
      </c>
      <c r="K37" s="18"/>
    </row>
    <row r="38" spans="1:11" ht="15" customHeight="1">
      <c r="A38" s="107"/>
      <c r="B38" s="298">
        <v>11</v>
      </c>
      <c r="C38" s="296">
        <v>1698.08</v>
      </c>
      <c r="D38" s="10">
        <v>3078.9</v>
      </c>
      <c r="E38" s="10">
        <v>858.01</v>
      </c>
      <c r="F38" s="297">
        <v>-5634.99</v>
      </c>
      <c r="G38" s="18"/>
      <c r="H38" s="13"/>
      <c r="I38" s="13"/>
      <c r="J38" s="307">
        <v>0</v>
      </c>
      <c r="K38" s="18"/>
    </row>
    <row r="39" spans="1:11" ht="15" customHeight="1">
      <c r="A39" s="107"/>
      <c r="B39" s="298">
        <v>12</v>
      </c>
      <c r="C39" s="296">
        <v>1698.08</v>
      </c>
      <c r="D39" s="10">
        <v>3078.9</v>
      </c>
      <c r="E39" s="10">
        <v>858.01</v>
      </c>
      <c r="F39" s="294">
        <v>-5634.99</v>
      </c>
      <c r="G39" s="18"/>
      <c r="H39" s="13"/>
      <c r="I39" s="13"/>
      <c r="J39" s="307">
        <v>0</v>
      </c>
      <c r="K39" s="18"/>
    </row>
    <row r="40" spans="1:11" ht="15" customHeight="1" thickBot="1">
      <c r="A40" s="107" t="s">
        <v>539</v>
      </c>
      <c r="B40" s="295"/>
      <c r="C40" s="303"/>
      <c r="D40" s="302"/>
      <c r="E40" s="302"/>
      <c r="F40" s="301">
        <v>-67619.820000000007</v>
      </c>
      <c r="G40" s="18"/>
      <c r="H40" s="13"/>
      <c r="I40" s="13"/>
      <c r="J40" s="307">
        <v>0</v>
      </c>
      <c r="K40" s="18"/>
    </row>
    <row r="41" spans="1:11" ht="15" customHeight="1" thickTop="1">
      <c r="A41" s="300">
        <v>2023</v>
      </c>
      <c r="B41" s="298">
        <v>1</v>
      </c>
      <c r="C41" s="296">
        <v>1698.08</v>
      </c>
      <c r="D41" s="10">
        <v>3078.9</v>
      </c>
      <c r="E41" s="10">
        <v>858.01</v>
      </c>
      <c r="F41" s="299">
        <v>-5634.99</v>
      </c>
      <c r="G41" s="18"/>
      <c r="H41" s="13"/>
      <c r="I41" s="13"/>
      <c r="J41" s="307">
        <v>0</v>
      </c>
      <c r="K41" s="18"/>
    </row>
    <row r="42" spans="1:11" ht="15" customHeight="1">
      <c r="A42" s="107"/>
      <c r="B42" s="298">
        <v>2</v>
      </c>
      <c r="C42" s="296">
        <v>1698.08</v>
      </c>
      <c r="D42" s="10">
        <v>3078.9</v>
      </c>
      <c r="E42" s="10">
        <v>858.01</v>
      </c>
      <c r="F42" s="297">
        <v>-5634.99</v>
      </c>
      <c r="G42" s="18"/>
      <c r="H42" s="13"/>
      <c r="I42" s="13"/>
      <c r="J42" s="307">
        <v>0</v>
      </c>
      <c r="K42" s="18"/>
    </row>
    <row r="43" spans="1:11" ht="15" customHeight="1">
      <c r="A43" s="107"/>
      <c r="B43" s="298">
        <v>3</v>
      </c>
      <c r="C43" s="296">
        <v>1698.08</v>
      </c>
      <c r="D43" s="10">
        <v>3078.9</v>
      </c>
      <c r="E43" s="10">
        <v>858.01</v>
      </c>
      <c r="F43" s="297">
        <v>-5634.99</v>
      </c>
      <c r="G43" s="18"/>
      <c r="H43" s="13"/>
      <c r="I43" s="13"/>
      <c r="J43" s="307">
        <v>0</v>
      </c>
      <c r="K43" s="18"/>
    </row>
    <row r="44" spans="1:11" ht="15" customHeight="1">
      <c r="A44" s="107"/>
      <c r="B44" s="298">
        <v>4</v>
      </c>
      <c r="C44" s="296">
        <v>1698.08</v>
      </c>
      <c r="D44" s="10">
        <v>3078.9</v>
      </c>
      <c r="E44" s="10">
        <v>858.01</v>
      </c>
      <c r="F44" s="297">
        <v>-5634.99</v>
      </c>
      <c r="G44" s="18"/>
      <c r="H44" s="13"/>
      <c r="I44" s="13"/>
      <c r="J44" s="307">
        <v>0</v>
      </c>
      <c r="K44" s="18"/>
    </row>
    <row r="45" spans="1:11" ht="15" customHeight="1">
      <c r="A45" s="107"/>
      <c r="B45" s="298">
        <v>5</v>
      </c>
      <c r="C45" s="296">
        <v>1698.08</v>
      </c>
      <c r="D45" s="10">
        <v>3078.9</v>
      </c>
      <c r="E45" s="10">
        <v>858.01</v>
      </c>
      <c r="F45" s="297">
        <v>-5634.99</v>
      </c>
      <c r="G45" s="18"/>
      <c r="H45" s="13"/>
      <c r="I45" s="13"/>
      <c r="J45" s="307">
        <v>0</v>
      </c>
      <c r="K45" s="18"/>
    </row>
    <row r="46" spans="1:11" ht="15" customHeight="1">
      <c r="A46" s="107"/>
      <c r="B46" s="298">
        <v>6</v>
      </c>
      <c r="C46" s="296">
        <v>1698.08</v>
      </c>
      <c r="D46" s="10">
        <v>3078.9</v>
      </c>
      <c r="E46" s="10">
        <v>858.01</v>
      </c>
      <c r="F46" s="297">
        <v>-5634.99</v>
      </c>
      <c r="G46" s="18"/>
      <c r="H46" s="13"/>
      <c r="I46" s="13"/>
      <c r="J46" s="307">
        <v>0</v>
      </c>
      <c r="K46" s="18"/>
    </row>
    <row r="47" spans="1:11" ht="15" customHeight="1">
      <c r="A47" s="107"/>
      <c r="B47" s="298">
        <v>7</v>
      </c>
      <c r="C47" s="296">
        <v>1698.08</v>
      </c>
      <c r="D47" s="10">
        <v>3078.9</v>
      </c>
      <c r="E47" s="10">
        <v>858.01</v>
      </c>
      <c r="F47" s="297">
        <v>-5634.99</v>
      </c>
      <c r="G47" s="18"/>
      <c r="H47" s="13"/>
      <c r="I47" s="13"/>
      <c r="J47" s="307">
        <v>0</v>
      </c>
      <c r="K47" s="18"/>
    </row>
    <row r="48" spans="1:11" ht="15" customHeight="1">
      <c r="A48" s="107"/>
      <c r="B48" s="298">
        <v>8</v>
      </c>
      <c r="C48" s="296">
        <v>1698.08</v>
      </c>
      <c r="D48" s="10">
        <v>3078.9</v>
      </c>
      <c r="E48" s="10">
        <v>858.01</v>
      </c>
      <c r="F48" s="297">
        <v>-5634.99</v>
      </c>
      <c r="G48" s="18"/>
      <c r="H48" s="13"/>
      <c r="I48" s="13"/>
      <c r="J48" s="307">
        <v>0</v>
      </c>
      <c r="K48" s="18"/>
    </row>
    <row r="49" spans="1:13" ht="15" customHeight="1">
      <c r="A49" s="107"/>
      <c r="B49" s="298">
        <v>9</v>
      </c>
      <c r="C49" s="296">
        <v>1698.08</v>
      </c>
      <c r="D49" s="10">
        <v>3078.9</v>
      </c>
      <c r="E49" s="10">
        <v>858.01</v>
      </c>
      <c r="F49" s="297">
        <v>-5634.99</v>
      </c>
      <c r="G49" s="18"/>
      <c r="H49" s="13"/>
      <c r="I49" s="13"/>
      <c r="J49" s="307">
        <v>0</v>
      </c>
      <c r="K49" s="18"/>
    </row>
    <row r="50" spans="1:13" ht="15" customHeight="1">
      <c r="A50" s="107"/>
      <c r="B50" s="298">
        <v>10</v>
      </c>
      <c r="C50" s="296">
        <v>1698.08</v>
      </c>
      <c r="D50" s="10">
        <v>3078.9</v>
      </c>
      <c r="E50" s="10">
        <v>858.01</v>
      </c>
      <c r="F50" s="297">
        <v>-5634.99</v>
      </c>
      <c r="G50" s="18"/>
      <c r="H50" s="13"/>
      <c r="I50" s="13"/>
      <c r="J50" s="307">
        <v>0</v>
      </c>
      <c r="K50" s="18"/>
    </row>
    <row r="51" spans="1:13" ht="15" customHeight="1">
      <c r="A51" s="107"/>
      <c r="B51" s="298">
        <v>11</v>
      </c>
      <c r="C51" s="296">
        <v>1698.08</v>
      </c>
      <c r="D51" s="10">
        <v>3078.9</v>
      </c>
      <c r="E51" s="10">
        <v>858.01</v>
      </c>
      <c r="F51" s="297">
        <v>-5634.99</v>
      </c>
      <c r="G51" s="18"/>
      <c r="H51" s="13"/>
      <c r="I51" s="13"/>
      <c r="J51" s="307">
        <v>0</v>
      </c>
      <c r="K51" s="18"/>
    </row>
    <row r="52" spans="1:13" ht="15" customHeight="1">
      <c r="A52" s="107"/>
      <c r="B52" s="298">
        <v>12</v>
      </c>
      <c r="C52" s="296">
        <v>1698.08</v>
      </c>
      <c r="D52" s="10">
        <v>3078.9</v>
      </c>
      <c r="E52" s="10">
        <v>858.01</v>
      </c>
      <c r="F52" s="294">
        <v>-5634.99</v>
      </c>
      <c r="G52" s="18"/>
      <c r="H52" s="13"/>
      <c r="I52" s="13"/>
      <c r="J52" s="307">
        <v>0</v>
      </c>
      <c r="K52" s="18"/>
    </row>
    <row r="53" spans="1:13" ht="15" customHeight="1" thickBot="1">
      <c r="A53" s="107" t="s">
        <v>538</v>
      </c>
      <c r="B53" s="295"/>
      <c r="C53" s="303"/>
      <c r="D53" s="302"/>
      <c r="E53" s="302"/>
      <c r="F53" s="301">
        <v>-67619.820000000007</v>
      </c>
      <c r="G53" s="18"/>
      <c r="H53" s="13"/>
      <c r="I53" s="13"/>
      <c r="J53" s="307">
        <v>0</v>
      </c>
      <c r="K53" s="18"/>
    </row>
    <row r="54" spans="1:13" ht="15" customHeight="1" thickTop="1">
      <c r="A54" s="300">
        <v>2024</v>
      </c>
      <c r="B54" s="298">
        <v>1</v>
      </c>
      <c r="C54" s="296">
        <v>1698.08</v>
      </c>
      <c r="D54" s="10">
        <v>3078.9</v>
      </c>
      <c r="E54" s="10">
        <v>858.01</v>
      </c>
      <c r="F54" s="299">
        <v>-5634.99</v>
      </c>
      <c r="G54" s="296">
        <v>3529.75</v>
      </c>
      <c r="H54" s="10">
        <v>8215.5400000000009</v>
      </c>
      <c r="I54" s="10">
        <v>2568.41</v>
      </c>
      <c r="J54" s="297">
        <v>-14313.7</v>
      </c>
      <c r="K54" s="18"/>
      <c r="L54" s="143"/>
    </row>
    <row r="55" spans="1:13" ht="15" customHeight="1">
      <c r="A55" s="107"/>
      <c r="B55" s="298">
        <v>2</v>
      </c>
      <c r="C55" s="296">
        <v>1698.08</v>
      </c>
      <c r="D55" s="10">
        <v>3078.9</v>
      </c>
      <c r="E55" s="10">
        <v>858.01</v>
      </c>
      <c r="F55" s="297">
        <v>-5634.99</v>
      </c>
      <c r="G55" s="296">
        <f>(410333.46/5)/12</f>
        <v>6838.8910000000005</v>
      </c>
      <c r="H55" s="10">
        <f>(955056.17/5)/12</f>
        <v>15917.602833333332</v>
      </c>
      <c r="I55" s="10">
        <f>(298578.08/5)/12</f>
        <v>4976.3013333333338</v>
      </c>
      <c r="J55" s="297">
        <v>-27732.799999999999</v>
      </c>
      <c r="K55" s="18"/>
      <c r="L55" s="143"/>
    </row>
    <row r="56" spans="1:13" ht="15" customHeight="1">
      <c r="A56" s="107"/>
      <c r="B56" s="298">
        <v>3</v>
      </c>
      <c r="C56" s="296">
        <v>1698.08</v>
      </c>
      <c r="D56" s="10">
        <v>3078.9</v>
      </c>
      <c r="E56" s="10">
        <v>858.01</v>
      </c>
      <c r="F56" s="297">
        <v>-5634.99</v>
      </c>
      <c r="G56" s="296">
        <f t="shared" ref="G56:G65" si="0">+G55</f>
        <v>6838.8910000000005</v>
      </c>
      <c r="H56" s="10">
        <f t="shared" ref="H56:H65" si="1">+H55</f>
        <v>15917.602833333332</v>
      </c>
      <c r="I56" s="10">
        <f t="shared" ref="I56:I65" si="2">+I55</f>
        <v>4976.3013333333338</v>
      </c>
      <c r="J56" s="297">
        <v>-27732.799999999999</v>
      </c>
      <c r="K56" s="18"/>
      <c r="L56" s="143"/>
    </row>
    <row r="57" spans="1:13" ht="15" customHeight="1">
      <c r="A57" s="107"/>
      <c r="B57" s="298">
        <v>4</v>
      </c>
      <c r="C57" s="296">
        <v>1698.08</v>
      </c>
      <c r="D57" s="10">
        <v>3078.9</v>
      </c>
      <c r="E57" s="10">
        <v>858.01</v>
      </c>
      <c r="F57" s="297">
        <v>-5634.99</v>
      </c>
      <c r="G57" s="296">
        <f t="shared" si="0"/>
        <v>6838.8910000000005</v>
      </c>
      <c r="H57" s="10">
        <f t="shared" si="1"/>
        <v>15917.602833333332</v>
      </c>
      <c r="I57" s="10">
        <f t="shared" si="2"/>
        <v>4976.3013333333338</v>
      </c>
      <c r="J57" s="297">
        <v>-27732.799999999999</v>
      </c>
      <c r="K57" s="18"/>
      <c r="L57" s="143"/>
    </row>
    <row r="58" spans="1:13" ht="15" customHeight="1">
      <c r="A58" s="107"/>
      <c r="B58" s="298">
        <v>5</v>
      </c>
      <c r="C58" s="296">
        <v>1698.08</v>
      </c>
      <c r="D58" s="10">
        <v>3078.9</v>
      </c>
      <c r="E58" s="10">
        <v>858.01</v>
      </c>
      <c r="F58" s="297">
        <v>-5634.99</v>
      </c>
      <c r="G58" s="296">
        <f t="shared" si="0"/>
        <v>6838.8910000000005</v>
      </c>
      <c r="H58" s="10">
        <f t="shared" si="1"/>
        <v>15917.602833333332</v>
      </c>
      <c r="I58" s="10">
        <f t="shared" si="2"/>
        <v>4976.3013333333338</v>
      </c>
      <c r="J58" s="297">
        <v>-27732.799999999999</v>
      </c>
      <c r="K58" s="18"/>
      <c r="L58" s="143"/>
    </row>
    <row r="59" spans="1:13" ht="15" customHeight="1">
      <c r="A59" s="107"/>
      <c r="B59" s="298">
        <v>6</v>
      </c>
      <c r="C59" s="296">
        <v>1698.08</v>
      </c>
      <c r="D59" s="10">
        <v>3078.9</v>
      </c>
      <c r="E59" s="10">
        <v>858.01</v>
      </c>
      <c r="F59" s="297">
        <v>-5634.99</v>
      </c>
      <c r="G59" s="296">
        <f t="shared" si="0"/>
        <v>6838.8910000000005</v>
      </c>
      <c r="H59" s="10">
        <f t="shared" si="1"/>
        <v>15917.602833333332</v>
      </c>
      <c r="I59" s="10">
        <f t="shared" si="2"/>
        <v>4976.3013333333338</v>
      </c>
      <c r="J59" s="297">
        <v>-27732.799999999999</v>
      </c>
      <c r="K59" s="18"/>
      <c r="L59" s="305">
        <f t="shared" ref="L59:L65" si="3">F59+J59</f>
        <v>-33367.79</v>
      </c>
    </row>
    <row r="60" spans="1:13" ht="15" customHeight="1">
      <c r="A60" s="107"/>
      <c r="B60" s="298">
        <v>7</v>
      </c>
      <c r="C60" s="296">
        <v>1698.08</v>
      </c>
      <c r="D60" s="10">
        <v>3078.9</v>
      </c>
      <c r="E60" s="10">
        <v>858.01</v>
      </c>
      <c r="F60" s="297">
        <v>-5634.99</v>
      </c>
      <c r="G60" s="296">
        <f t="shared" si="0"/>
        <v>6838.8910000000005</v>
      </c>
      <c r="H60" s="10">
        <f t="shared" si="1"/>
        <v>15917.602833333332</v>
      </c>
      <c r="I60" s="10">
        <f t="shared" si="2"/>
        <v>4976.3013333333338</v>
      </c>
      <c r="J60" s="297">
        <v>-27732.799999999999</v>
      </c>
      <c r="K60" s="18"/>
      <c r="L60" s="305">
        <f t="shared" si="3"/>
        <v>-33367.79</v>
      </c>
    </row>
    <row r="61" spans="1:13" ht="15" customHeight="1">
      <c r="A61" s="107"/>
      <c r="B61" s="298">
        <v>8</v>
      </c>
      <c r="C61" s="296">
        <v>1698.08</v>
      </c>
      <c r="D61" s="10">
        <v>3078.9</v>
      </c>
      <c r="E61" s="10">
        <v>858.01</v>
      </c>
      <c r="F61" s="297">
        <v>-5634.99</v>
      </c>
      <c r="G61" s="296">
        <f t="shared" si="0"/>
        <v>6838.8910000000005</v>
      </c>
      <c r="H61" s="10">
        <f t="shared" si="1"/>
        <v>15917.602833333332</v>
      </c>
      <c r="I61" s="10">
        <f t="shared" si="2"/>
        <v>4976.3013333333338</v>
      </c>
      <c r="J61" s="297">
        <v>-27732.799999999999</v>
      </c>
      <c r="K61" s="18"/>
      <c r="L61" s="305">
        <f t="shared" si="3"/>
        <v>-33367.79</v>
      </c>
    </row>
    <row r="62" spans="1:13" ht="15" customHeight="1">
      <c r="A62" s="107"/>
      <c r="B62" s="298">
        <v>9</v>
      </c>
      <c r="C62" s="296">
        <v>1698.08</v>
      </c>
      <c r="D62" s="10">
        <v>3078.9</v>
      </c>
      <c r="E62" s="10">
        <v>858.01</v>
      </c>
      <c r="F62" s="297">
        <v>-5634.99</v>
      </c>
      <c r="G62" s="296">
        <f t="shared" si="0"/>
        <v>6838.8910000000005</v>
      </c>
      <c r="H62" s="10">
        <f t="shared" si="1"/>
        <v>15917.602833333332</v>
      </c>
      <c r="I62" s="10">
        <f t="shared" si="2"/>
        <v>4976.3013333333338</v>
      </c>
      <c r="J62" s="297">
        <v>-27732.799999999999</v>
      </c>
      <c r="K62" s="18"/>
      <c r="L62" s="305">
        <f t="shared" si="3"/>
        <v>-33367.79</v>
      </c>
    </row>
    <row r="63" spans="1:13" ht="15" customHeight="1">
      <c r="A63" s="107"/>
      <c r="B63" s="298">
        <v>10</v>
      </c>
      <c r="C63" s="296">
        <v>1698.08</v>
      </c>
      <c r="D63" s="10">
        <v>3078.9</v>
      </c>
      <c r="E63" s="10">
        <v>858.01</v>
      </c>
      <c r="F63" s="297">
        <v>-5634.99</v>
      </c>
      <c r="G63" s="296">
        <f t="shared" si="0"/>
        <v>6838.8910000000005</v>
      </c>
      <c r="H63" s="10">
        <f t="shared" si="1"/>
        <v>15917.602833333332</v>
      </c>
      <c r="I63" s="10">
        <f t="shared" si="2"/>
        <v>4976.3013333333338</v>
      </c>
      <c r="J63" s="297">
        <v>-27732.799999999999</v>
      </c>
      <c r="K63" s="162"/>
      <c r="L63" s="305">
        <f t="shared" si="3"/>
        <v>-33367.79</v>
      </c>
      <c r="M63" s="143"/>
    </row>
    <row r="64" spans="1:13" ht="15" customHeight="1">
      <c r="A64" s="107"/>
      <c r="B64" s="298">
        <v>11</v>
      </c>
      <c r="C64" s="296">
        <v>1698.08</v>
      </c>
      <c r="D64" s="10">
        <v>3078.9</v>
      </c>
      <c r="E64" s="10">
        <v>858.01</v>
      </c>
      <c r="F64" s="297">
        <v>-5634.99</v>
      </c>
      <c r="G64" s="296">
        <f t="shared" si="0"/>
        <v>6838.8910000000005</v>
      </c>
      <c r="H64" s="10">
        <f t="shared" si="1"/>
        <v>15917.602833333332</v>
      </c>
      <c r="I64" s="10">
        <f t="shared" si="2"/>
        <v>4976.3013333333338</v>
      </c>
      <c r="J64" s="297">
        <v>-27732.799999999999</v>
      </c>
      <c r="K64" s="162"/>
      <c r="L64" s="305">
        <f t="shared" si="3"/>
        <v>-33367.79</v>
      </c>
      <c r="M64" s="143"/>
    </row>
    <row r="65" spans="1:13" ht="15" customHeight="1">
      <c r="A65" s="107"/>
      <c r="B65" s="298">
        <v>12</v>
      </c>
      <c r="C65" s="296">
        <v>1698.08</v>
      </c>
      <c r="D65" s="10">
        <v>3078.9</v>
      </c>
      <c r="E65" s="10">
        <v>858.01</v>
      </c>
      <c r="F65" s="294">
        <v>-5634.99</v>
      </c>
      <c r="G65" s="296">
        <f t="shared" si="0"/>
        <v>6838.8910000000005</v>
      </c>
      <c r="H65" s="10">
        <f t="shared" si="1"/>
        <v>15917.602833333332</v>
      </c>
      <c r="I65" s="10">
        <f t="shared" si="2"/>
        <v>4976.3013333333338</v>
      </c>
      <c r="J65" s="294">
        <v>-27732.799999999999</v>
      </c>
      <c r="K65" s="162"/>
      <c r="L65" s="305">
        <f t="shared" si="3"/>
        <v>-33367.79</v>
      </c>
      <c r="M65" s="143"/>
    </row>
    <row r="66" spans="1:13" ht="15" customHeight="1" thickBot="1">
      <c r="A66" s="107" t="s">
        <v>537</v>
      </c>
      <c r="B66" s="295"/>
      <c r="C66" s="303"/>
      <c r="D66" s="302"/>
      <c r="E66" s="302"/>
      <c r="F66" s="301">
        <v>-67619.820000000007</v>
      </c>
      <c r="G66" s="303"/>
      <c r="H66" s="302"/>
      <c r="I66" s="302"/>
      <c r="J66" s="301">
        <v>-319374.5</v>
      </c>
      <c r="K66" s="290"/>
      <c r="L66" s="143"/>
      <c r="M66" s="304"/>
    </row>
    <row r="67" spans="1:13" ht="15" customHeight="1" thickTop="1">
      <c r="A67" s="300">
        <v>2025</v>
      </c>
      <c r="B67" s="298">
        <v>1</v>
      </c>
      <c r="C67" s="296">
        <v>1698.08</v>
      </c>
      <c r="D67" s="10">
        <v>3078.9</v>
      </c>
      <c r="E67" s="10">
        <v>858.01</v>
      </c>
      <c r="F67" s="299">
        <v>-5634.99</v>
      </c>
      <c r="G67" s="296">
        <f>+G65</f>
        <v>6838.8910000000005</v>
      </c>
      <c r="H67" s="10">
        <f>+H65</f>
        <v>15917.602833333332</v>
      </c>
      <c r="I67" s="10">
        <f>+I65</f>
        <v>4976.3013333333338</v>
      </c>
      <c r="J67" s="299">
        <v>-27732.799999999999</v>
      </c>
      <c r="K67" s="162"/>
      <c r="L67" s="305">
        <f>F67+J67</f>
        <v>-33367.79</v>
      </c>
      <c r="M67" s="143"/>
    </row>
    <row r="68" spans="1:13" ht="15" customHeight="1">
      <c r="A68" s="107"/>
      <c r="B68" s="298">
        <v>2</v>
      </c>
      <c r="C68" s="296">
        <v>1698.08</v>
      </c>
      <c r="D68" s="10">
        <v>3078.9</v>
      </c>
      <c r="E68" s="10">
        <v>858.01</v>
      </c>
      <c r="F68" s="297">
        <v>-5634.99</v>
      </c>
      <c r="G68" s="296">
        <f t="shared" ref="G68:G78" si="4">+G67</f>
        <v>6838.8910000000005</v>
      </c>
      <c r="H68" s="10">
        <f t="shared" ref="H68:H78" si="5">+H67</f>
        <v>15917.602833333332</v>
      </c>
      <c r="I68" s="10">
        <f t="shared" ref="I68:I78" si="6">+I67</f>
        <v>4976.3013333333338</v>
      </c>
      <c r="J68" s="297">
        <v>-27732.799999999999</v>
      </c>
      <c r="K68" s="162"/>
      <c r="L68" s="305">
        <f>F68+J68</f>
        <v>-33367.79</v>
      </c>
      <c r="M68" s="143"/>
    </row>
    <row r="69" spans="1:13" ht="15" customHeight="1">
      <c r="A69" s="107"/>
      <c r="B69" s="298">
        <v>3</v>
      </c>
      <c r="C69" s="296">
        <v>1698.08</v>
      </c>
      <c r="D69" s="10">
        <v>3078.9</v>
      </c>
      <c r="E69" s="10">
        <v>858.01</v>
      </c>
      <c r="F69" s="297">
        <v>-5634.99</v>
      </c>
      <c r="G69" s="296">
        <f t="shared" si="4"/>
        <v>6838.8910000000005</v>
      </c>
      <c r="H69" s="10">
        <f t="shared" si="5"/>
        <v>15917.602833333332</v>
      </c>
      <c r="I69" s="10">
        <f t="shared" si="6"/>
        <v>4976.3013333333338</v>
      </c>
      <c r="J69" s="297">
        <v>-27732.799999999999</v>
      </c>
      <c r="K69" s="162"/>
      <c r="L69" s="305">
        <f>F69+J69</f>
        <v>-33367.79</v>
      </c>
      <c r="M69" s="143"/>
    </row>
    <row r="70" spans="1:13" ht="15" customHeight="1">
      <c r="A70" s="107"/>
      <c r="B70" s="298">
        <v>4</v>
      </c>
      <c r="C70" s="296">
        <v>1698.08</v>
      </c>
      <c r="D70" s="10">
        <v>3078.9</v>
      </c>
      <c r="E70" s="10">
        <v>858.01</v>
      </c>
      <c r="F70" s="297">
        <v>-5634.99</v>
      </c>
      <c r="G70" s="296">
        <f t="shared" si="4"/>
        <v>6838.8910000000005</v>
      </c>
      <c r="H70" s="10">
        <f t="shared" si="5"/>
        <v>15917.602833333332</v>
      </c>
      <c r="I70" s="10">
        <f t="shared" si="6"/>
        <v>4976.3013333333338</v>
      </c>
      <c r="J70" s="297">
        <v>-27732.799999999999</v>
      </c>
      <c r="K70" s="162"/>
      <c r="L70" s="305">
        <f>F70+J70</f>
        <v>-33367.79</v>
      </c>
      <c r="M70" s="143"/>
    </row>
    <row r="71" spans="1:13" ht="15" customHeight="1">
      <c r="A71" s="107"/>
      <c r="B71" s="298">
        <v>5</v>
      </c>
      <c r="C71" s="296">
        <v>1698.08</v>
      </c>
      <c r="D71" s="10">
        <v>3078.9</v>
      </c>
      <c r="E71" s="10">
        <v>858.01</v>
      </c>
      <c r="F71" s="297">
        <v>-5634.99</v>
      </c>
      <c r="G71" s="296">
        <f t="shared" si="4"/>
        <v>6838.8910000000005</v>
      </c>
      <c r="H71" s="10">
        <f t="shared" si="5"/>
        <v>15917.602833333332</v>
      </c>
      <c r="I71" s="10">
        <f t="shared" si="6"/>
        <v>4976.3013333333338</v>
      </c>
      <c r="J71" s="297">
        <v>-27732.799999999999</v>
      </c>
      <c r="K71" s="162"/>
      <c r="L71" s="305">
        <f>F71+J71</f>
        <v>-33367.79</v>
      </c>
      <c r="M71" s="143"/>
    </row>
    <row r="72" spans="1:13" ht="15" customHeight="1" thickBot="1">
      <c r="A72" s="107"/>
      <c r="B72" s="298">
        <v>6</v>
      </c>
      <c r="C72" s="296">
        <v>1698.08</v>
      </c>
      <c r="D72" s="10">
        <v>3078.9</v>
      </c>
      <c r="E72" s="10">
        <v>858.01</v>
      </c>
      <c r="F72" s="297">
        <v>-5634.99</v>
      </c>
      <c r="G72" s="296">
        <f t="shared" si="4"/>
        <v>6838.8910000000005</v>
      </c>
      <c r="H72" s="10">
        <f t="shared" si="5"/>
        <v>15917.602833333332</v>
      </c>
      <c r="I72" s="10">
        <f t="shared" si="6"/>
        <v>4976.3013333333338</v>
      </c>
      <c r="J72" s="297">
        <v>-27732.799999999999</v>
      </c>
      <c r="K72" s="162"/>
      <c r="L72" s="306">
        <f>SUM(L59:L71)</f>
        <v>-400413.47999999992</v>
      </c>
      <c r="M72" s="304" t="s">
        <v>536</v>
      </c>
    </row>
    <row r="73" spans="1:13" ht="15" customHeight="1" thickTop="1">
      <c r="A73" s="107"/>
      <c r="B73" s="298">
        <v>7</v>
      </c>
      <c r="C73" s="296">
        <v>1698.08</v>
      </c>
      <c r="D73" s="10">
        <v>3078.9</v>
      </c>
      <c r="E73" s="10">
        <v>858.01</v>
      </c>
      <c r="F73" s="297">
        <v>-5634.99</v>
      </c>
      <c r="G73" s="296">
        <f t="shared" si="4"/>
        <v>6838.8910000000005</v>
      </c>
      <c r="H73" s="10">
        <f t="shared" si="5"/>
        <v>15917.602833333332</v>
      </c>
      <c r="I73" s="10">
        <f t="shared" si="6"/>
        <v>4976.3013333333338</v>
      </c>
      <c r="J73" s="297">
        <v>-27732.799999999999</v>
      </c>
      <c r="K73" s="162"/>
      <c r="L73" s="161"/>
      <c r="M73" s="143"/>
    </row>
    <row r="74" spans="1:13" ht="15" customHeight="1">
      <c r="A74" s="107"/>
      <c r="B74" s="298">
        <v>8</v>
      </c>
      <c r="C74" s="296">
        <v>1698.08</v>
      </c>
      <c r="D74" s="10">
        <v>3078.9</v>
      </c>
      <c r="E74" s="10">
        <v>858.01</v>
      </c>
      <c r="F74" s="297">
        <v>-5634.99</v>
      </c>
      <c r="G74" s="296">
        <f t="shared" si="4"/>
        <v>6838.8910000000005</v>
      </c>
      <c r="H74" s="10">
        <f t="shared" si="5"/>
        <v>15917.602833333332</v>
      </c>
      <c r="I74" s="10">
        <f t="shared" si="6"/>
        <v>4976.3013333333338</v>
      </c>
      <c r="J74" s="297">
        <v>-27732.799999999999</v>
      </c>
      <c r="K74" s="162"/>
      <c r="L74" s="143"/>
      <c r="M74" s="143"/>
    </row>
    <row r="75" spans="1:13" ht="15" customHeight="1">
      <c r="A75" s="107"/>
      <c r="B75" s="298">
        <v>9</v>
      </c>
      <c r="C75" s="296">
        <v>1698.08</v>
      </c>
      <c r="D75" s="10">
        <v>3078.9</v>
      </c>
      <c r="E75" s="10">
        <v>858.01</v>
      </c>
      <c r="F75" s="297">
        <v>-5634.99</v>
      </c>
      <c r="G75" s="296">
        <f t="shared" si="4"/>
        <v>6838.8910000000005</v>
      </c>
      <c r="H75" s="10">
        <f t="shared" si="5"/>
        <v>15917.602833333332</v>
      </c>
      <c r="I75" s="10">
        <f t="shared" si="6"/>
        <v>4976.3013333333338</v>
      </c>
      <c r="J75" s="297">
        <v>-27732.799999999999</v>
      </c>
      <c r="K75" s="162"/>
      <c r="L75" s="143"/>
      <c r="M75" s="143"/>
    </row>
    <row r="76" spans="1:13" ht="15" customHeight="1">
      <c r="A76" s="107"/>
      <c r="B76" s="298">
        <v>10</v>
      </c>
      <c r="C76" s="296">
        <v>1698.08</v>
      </c>
      <c r="D76" s="10">
        <v>3078.9</v>
      </c>
      <c r="E76" s="10">
        <v>858.01</v>
      </c>
      <c r="F76" s="297">
        <v>-5634.99</v>
      </c>
      <c r="G76" s="296">
        <f t="shared" si="4"/>
        <v>6838.8910000000005</v>
      </c>
      <c r="H76" s="10">
        <f t="shared" si="5"/>
        <v>15917.602833333332</v>
      </c>
      <c r="I76" s="10">
        <f t="shared" si="6"/>
        <v>4976.3013333333338</v>
      </c>
      <c r="J76" s="297">
        <v>-27732.799999999999</v>
      </c>
      <c r="K76" s="162"/>
      <c r="L76" s="143"/>
      <c r="M76" s="143"/>
    </row>
    <row r="77" spans="1:13" ht="15" customHeight="1">
      <c r="A77" s="107"/>
      <c r="B77" s="298">
        <v>11</v>
      </c>
      <c r="C77" s="296">
        <v>1698.08</v>
      </c>
      <c r="D77" s="10">
        <v>3078.9</v>
      </c>
      <c r="E77" s="10">
        <v>858.01</v>
      </c>
      <c r="F77" s="297">
        <v>-5634.99</v>
      </c>
      <c r="G77" s="296">
        <f t="shared" si="4"/>
        <v>6838.8910000000005</v>
      </c>
      <c r="H77" s="10">
        <f t="shared" si="5"/>
        <v>15917.602833333332</v>
      </c>
      <c r="I77" s="10">
        <f t="shared" si="6"/>
        <v>4976.3013333333338</v>
      </c>
      <c r="J77" s="297">
        <v>-27732.799999999999</v>
      </c>
      <c r="K77" s="162"/>
      <c r="L77" s="143"/>
      <c r="M77" s="143"/>
    </row>
    <row r="78" spans="1:13" ht="15" customHeight="1">
      <c r="A78" s="107"/>
      <c r="B78" s="298">
        <v>12</v>
      </c>
      <c r="C78" s="296">
        <v>1698.08</v>
      </c>
      <c r="D78" s="10">
        <v>3078.9</v>
      </c>
      <c r="E78" s="10">
        <v>858.01</v>
      </c>
      <c r="F78" s="294">
        <v>-5634.99</v>
      </c>
      <c r="G78" s="296">
        <f t="shared" si="4"/>
        <v>6838.8910000000005</v>
      </c>
      <c r="H78" s="10">
        <f t="shared" si="5"/>
        <v>15917.602833333332</v>
      </c>
      <c r="I78" s="10">
        <f t="shared" si="6"/>
        <v>4976.3013333333338</v>
      </c>
      <c r="J78" s="294">
        <v>-27732.799999999999</v>
      </c>
      <c r="K78" s="162"/>
      <c r="L78" s="143"/>
      <c r="M78" s="143"/>
    </row>
    <row r="79" spans="1:13" ht="15" customHeight="1" thickBot="1">
      <c r="A79" s="107" t="s">
        <v>535</v>
      </c>
      <c r="B79" s="295"/>
      <c r="C79" s="303"/>
      <c r="D79" s="302"/>
      <c r="E79" s="302"/>
      <c r="F79" s="301">
        <v>-67619.820000000007</v>
      </c>
      <c r="G79" s="303"/>
      <c r="H79" s="302"/>
      <c r="I79" s="302"/>
      <c r="J79" s="301">
        <v>-332793.59999999998</v>
      </c>
      <c r="K79" s="290"/>
      <c r="L79" s="305">
        <f>+J79+W28_PG_3_of_4!J78+W28_PG_4_of_4!J80</f>
        <v>-431505.24</v>
      </c>
      <c r="M79" s="304" t="s">
        <v>534</v>
      </c>
    </row>
    <row r="80" spans="1:13" ht="15" customHeight="1" thickTop="1">
      <c r="A80" s="300">
        <v>2026</v>
      </c>
      <c r="B80" s="298">
        <v>1</v>
      </c>
      <c r="C80" s="296">
        <v>985.98</v>
      </c>
      <c r="D80" s="10">
        <v>1787.75</v>
      </c>
      <c r="E80" s="10">
        <v>498.2</v>
      </c>
      <c r="F80" s="299">
        <v>-3271.93</v>
      </c>
      <c r="G80" s="296">
        <f>+G78</f>
        <v>6838.8910000000005</v>
      </c>
      <c r="H80" s="10">
        <f>+H78</f>
        <v>15917.602833333332</v>
      </c>
      <c r="I80" s="10">
        <f>+I78</f>
        <v>4976.3013333333338</v>
      </c>
      <c r="J80" s="299">
        <v>-27732.799999999999</v>
      </c>
      <c r="K80" s="162"/>
      <c r="L80" s="143"/>
      <c r="M80" s="143"/>
    </row>
    <row r="81" spans="1:13" ht="15" customHeight="1">
      <c r="A81" s="107"/>
      <c r="B81" s="298">
        <v>2</v>
      </c>
      <c r="C81" s="296">
        <v>0</v>
      </c>
      <c r="D81" s="10">
        <v>0</v>
      </c>
      <c r="E81" s="10">
        <v>0</v>
      </c>
      <c r="F81" s="297">
        <v>0</v>
      </c>
      <c r="G81" s="296">
        <f t="shared" ref="G81:G91" si="7">+G80</f>
        <v>6838.8910000000005</v>
      </c>
      <c r="H81" s="10">
        <f t="shared" ref="H81:H91" si="8">+H80</f>
        <v>15917.602833333332</v>
      </c>
      <c r="I81" s="10">
        <f t="shared" ref="I81:I91" si="9">+I80</f>
        <v>4976.3013333333338</v>
      </c>
      <c r="J81" s="297">
        <v>-27732.799999999999</v>
      </c>
      <c r="K81" s="162"/>
      <c r="L81" s="143"/>
      <c r="M81" s="143"/>
    </row>
    <row r="82" spans="1:13" ht="15" customHeight="1">
      <c r="A82" s="107"/>
      <c r="B82" s="298">
        <v>3</v>
      </c>
      <c r="C82" s="296">
        <v>0</v>
      </c>
      <c r="D82" s="10">
        <v>0</v>
      </c>
      <c r="E82" s="10">
        <v>0</v>
      </c>
      <c r="F82" s="297">
        <v>0</v>
      </c>
      <c r="G82" s="296">
        <f t="shared" si="7"/>
        <v>6838.8910000000005</v>
      </c>
      <c r="H82" s="10">
        <f t="shared" si="8"/>
        <v>15917.602833333332</v>
      </c>
      <c r="I82" s="10">
        <f t="shared" si="9"/>
        <v>4976.3013333333338</v>
      </c>
      <c r="J82" s="297">
        <v>-27732.799999999999</v>
      </c>
      <c r="K82" s="162"/>
      <c r="L82" s="143"/>
      <c r="M82" s="143"/>
    </row>
    <row r="83" spans="1:13" ht="15" customHeight="1">
      <c r="A83" s="107"/>
      <c r="B83" s="298">
        <v>4</v>
      </c>
      <c r="C83" s="296">
        <v>0</v>
      </c>
      <c r="D83" s="10">
        <v>0</v>
      </c>
      <c r="E83" s="10">
        <v>0</v>
      </c>
      <c r="F83" s="297">
        <v>0</v>
      </c>
      <c r="G83" s="296">
        <f t="shared" si="7"/>
        <v>6838.8910000000005</v>
      </c>
      <c r="H83" s="10">
        <f t="shared" si="8"/>
        <v>15917.602833333332</v>
      </c>
      <c r="I83" s="10">
        <f t="shared" si="9"/>
        <v>4976.3013333333338</v>
      </c>
      <c r="J83" s="297">
        <v>-27732.799999999999</v>
      </c>
      <c r="K83" s="162"/>
      <c r="L83" s="143"/>
      <c r="M83" s="304"/>
    </row>
    <row r="84" spans="1:13" ht="15" customHeight="1">
      <c r="A84" s="107"/>
      <c r="B84" s="298">
        <v>5</v>
      </c>
      <c r="C84" s="296">
        <v>0</v>
      </c>
      <c r="D84" s="10">
        <v>0</v>
      </c>
      <c r="E84" s="10">
        <v>0</v>
      </c>
      <c r="F84" s="297">
        <v>0</v>
      </c>
      <c r="G84" s="296">
        <f t="shared" si="7"/>
        <v>6838.8910000000005</v>
      </c>
      <c r="H84" s="10">
        <f t="shared" si="8"/>
        <v>15917.602833333332</v>
      </c>
      <c r="I84" s="10">
        <f t="shared" si="9"/>
        <v>4976.3013333333338</v>
      </c>
      <c r="J84" s="297">
        <v>-27732.799999999999</v>
      </c>
      <c r="K84" s="162"/>
      <c r="L84" s="143"/>
      <c r="M84" s="304"/>
    </row>
    <row r="85" spans="1:13" ht="15" customHeight="1">
      <c r="A85" s="107"/>
      <c r="B85" s="298">
        <v>6</v>
      </c>
      <c r="C85" s="296">
        <v>0</v>
      </c>
      <c r="D85" s="10">
        <v>0</v>
      </c>
      <c r="E85" s="10">
        <v>0</v>
      </c>
      <c r="F85" s="297">
        <v>0</v>
      </c>
      <c r="G85" s="296">
        <f t="shared" si="7"/>
        <v>6838.8910000000005</v>
      </c>
      <c r="H85" s="10">
        <f t="shared" si="8"/>
        <v>15917.602833333332</v>
      </c>
      <c r="I85" s="10">
        <f t="shared" si="9"/>
        <v>4976.3013333333338</v>
      </c>
      <c r="J85" s="297">
        <v>-27732.799999999999</v>
      </c>
      <c r="K85" s="162"/>
      <c r="L85" s="143"/>
      <c r="M85" s="304"/>
    </row>
    <row r="86" spans="1:13" ht="15" customHeight="1">
      <c r="A86" s="107"/>
      <c r="B86" s="298">
        <v>7</v>
      </c>
      <c r="C86" s="296">
        <v>0</v>
      </c>
      <c r="D86" s="10">
        <v>0</v>
      </c>
      <c r="E86" s="10">
        <v>0</v>
      </c>
      <c r="F86" s="297">
        <v>0</v>
      </c>
      <c r="G86" s="296">
        <f t="shared" si="7"/>
        <v>6838.8910000000005</v>
      </c>
      <c r="H86" s="10">
        <f t="shared" si="8"/>
        <v>15917.602833333332</v>
      </c>
      <c r="I86" s="10">
        <f t="shared" si="9"/>
        <v>4976.3013333333338</v>
      </c>
      <c r="J86" s="297">
        <v>-27732.799999999999</v>
      </c>
      <c r="K86" s="162"/>
      <c r="L86" s="143"/>
      <c r="M86" s="304"/>
    </row>
    <row r="87" spans="1:13" ht="15" customHeight="1">
      <c r="A87" s="107"/>
      <c r="B87" s="298">
        <v>8</v>
      </c>
      <c r="C87" s="296">
        <v>0</v>
      </c>
      <c r="D87" s="10">
        <v>0</v>
      </c>
      <c r="E87" s="10">
        <v>0</v>
      </c>
      <c r="F87" s="297">
        <v>0</v>
      </c>
      <c r="G87" s="296">
        <f t="shared" si="7"/>
        <v>6838.8910000000005</v>
      </c>
      <c r="H87" s="10">
        <f t="shared" si="8"/>
        <v>15917.602833333332</v>
      </c>
      <c r="I87" s="10">
        <f t="shared" si="9"/>
        <v>4976.3013333333338</v>
      </c>
      <c r="J87" s="297">
        <v>-27732.799999999999</v>
      </c>
      <c r="K87" s="162"/>
      <c r="L87" s="143"/>
      <c r="M87" s="304"/>
    </row>
    <row r="88" spans="1:13" ht="15" customHeight="1">
      <c r="A88" s="107"/>
      <c r="B88" s="298">
        <v>9</v>
      </c>
      <c r="C88" s="296">
        <v>0</v>
      </c>
      <c r="D88" s="10">
        <v>0</v>
      </c>
      <c r="E88" s="10">
        <v>0</v>
      </c>
      <c r="F88" s="297">
        <v>0</v>
      </c>
      <c r="G88" s="296">
        <f t="shared" si="7"/>
        <v>6838.8910000000005</v>
      </c>
      <c r="H88" s="10">
        <f t="shared" si="8"/>
        <v>15917.602833333332</v>
      </c>
      <c r="I88" s="10">
        <f t="shared" si="9"/>
        <v>4976.3013333333338</v>
      </c>
      <c r="J88" s="297">
        <v>-27732.799999999999</v>
      </c>
      <c r="K88" s="162"/>
      <c r="L88" s="143"/>
      <c r="M88" s="304"/>
    </row>
    <row r="89" spans="1:13" ht="15" customHeight="1">
      <c r="A89" s="107"/>
      <c r="B89" s="298">
        <v>10</v>
      </c>
      <c r="C89" s="296">
        <v>0</v>
      </c>
      <c r="D89" s="10">
        <v>0</v>
      </c>
      <c r="E89" s="10">
        <v>0</v>
      </c>
      <c r="F89" s="297">
        <v>0</v>
      </c>
      <c r="G89" s="296">
        <f t="shared" si="7"/>
        <v>6838.8910000000005</v>
      </c>
      <c r="H89" s="10">
        <f t="shared" si="8"/>
        <v>15917.602833333332</v>
      </c>
      <c r="I89" s="10">
        <f t="shared" si="9"/>
        <v>4976.3013333333338</v>
      </c>
      <c r="J89" s="297">
        <v>-27732.799999999999</v>
      </c>
      <c r="K89" s="162"/>
      <c r="L89" s="143"/>
      <c r="M89" s="304"/>
    </row>
    <row r="90" spans="1:13" ht="15" customHeight="1">
      <c r="A90" s="107"/>
      <c r="B90" s="298">
        <v>11</v>
      </c>
      <c r="C90" s="296">
        <v>0</v>
      </c>
      <c r="D90" s="10">
        <v>0</v>
      </c>
      <c r="E90" s="10">
        <v>0</v>
      </c>
      <c r="F90" s="297">
        <v>0</v>
      </c>
      <c r="G90" s="296">
        <f t="shared" si="7"/>
        <v>6838.8910000000005</v>
      </c>
      <c r="H90" s="10">
        <f t="shared" si="8"/>
        <v>15917.602833333332</v>
      </c>
      <c r="I90" s="10">
        <f t="shared" si="9"/>
        <v>4976.3013333333338</v>
      </c>
      <c r="J90" s="297">
        <v>-27732.799999999999</v>
      </c>
      <c r="K90" s="162"/>
      <c r="L90" s="143"/>
      <c r="M90" s="304"/>
    </row>
    <row r="91" spans="1:13" ht="15" customHeight="1">
      <c r="A91" s="107"/>
      <c r="B91" s="298">
        <v>12</v>
      </c>
      <c r="C91" s="296">
        <v>0</v>
      </c>
      <c r="D91" s="10">
        <v>0</v>
      </c>
      <c r="E91" s="10">
        <v>0</v>
      </c>
      <c r="F91" s="294">
        <v>0</v>
      </c>
      <c r="G91" s="296">
        <f t="shared" si="7"/>
        <v>6838.8910000000005</v>
      </c>
      <c r="H91" s="10">
        <f t="shared" si="8"/>
        <v>15917.602833333332</v>
      </c>
      <c r="I91" s="10">
        <f t="shared" si="9"/>
        <v>4976.3013333333338</v>
      </c>
      <c r="J91" s="294">
        <v>-27732.799999999999</v>
      </c>
      <c r="K91" s="162"/>
      <c r="L91" s="143"/>
      <c r="M91" s="304"/>
    </row>
    <row r="92" spans="1:13" ht="15" customHeight="1" thickBot="1">
      <c r="A92" s="107" t="s">
        <v>533</v>
      </c>
      <c r="B92" s="295"/>
      <c r="C92" s="303"/>
      <c r="D92" s="302"/>
      <c r="E92" s="302"/>
      <c r="F92" s="301">
        <v>-3271.93</v>
      </c>
      <c r="G92" s="303"/>
      <c r="H92" s="302"/>
      <c r="I92" s="302"/>
      <c r="J92" s="301">
        <v>-332793.59999999998</v>
      </c>
      <c r="K92" s="290"/>
      <c r="L92" s="13"/>
      <c r="M92" s="13"/>
    </row>
    <row r="93" spans="1:13" ht="15" customHeight="1" thickTop="1">
      <c r="A93" s="300">
        <v>2027</v>
      </c>
      <c r="B93" s="298">
        <v>1</v>
      </c>
      <c r="C93" s="296">
        <v>0</v>
      </c>
      <c r="D93" s="10">
        <v>0</v>
      </c>
      <c r="E93" s="10">
        <v>0</v>
      </c>
      <c r="F93" s="299">
        <v>0</v>
      </c>
      <c r="G93" s="296">
        <f>+G91</f>
        <v>6838.8910000000005</v>
      </c>
      <c r="H93" s="10">
        <f>+H91</f>
        <v>15917.602833333332</v>
      </c>
      <c r="I93" s="10">
        <f>+I91</f>
        <v>4976.3013333333338</v>
      </c>
      <c r="J93" s="299">
        <v>-27732.799999999999</v>
      </c>
      <c r="K93" s="162"/>
      <c r="L93" s="143"/>
      <c r="M93" s="304"/>
    </row>
    <row r="94" spans="1:13" ht="15" customHeight="1">
      <c r="A94" s="107"/>
      <c r="B94" s="298">
        <v>2</v>
      </c>
      <c r="C94" s="296">
        <v>0</v>
      </c>
      <c r="D94" s="10">
        <v>0</v>
      </c>
      <c r="E94" s="10">
        <v>0</v>
      </c>
      <c r="F94" s="297">
        <v>0</v>
      </c>
      <c r="G94" s="296">
        <f t="shared" ref="G94:G104" si="10">+G93</f>
        <v>6838.8910000000005</v>
      </c>
      <c r="H94" s="10">
        <f t="shared" ref="H94:H104" si="11">+H93</f>
        <v>15917.602833333332</v>
      </c>
      <c r="I94" s="10">
        <f t="shared" ref="I94:I104" si="12">+I93</f>
        <v>4976.3013333333338</v>
      </c>
      <c r="J94" s="297">
        <v>-27732.799999999999</v>
      </c>
      <c r="K94" s="162"/>
      <c r="L94" s="143"/>
      <c r="M94" s="143"/>
    </row>
    <row r="95" spans="1:13" ht="15" customHeight="1">
      <c r="A95" s="107"/>
      <c r="B95" s="298">
        <v>3</v>
      </c>
      <c r="C95" s="296">
        <v>0</v>
      </c>
      <c r="D95" s="10">
        <v>0</v>
      </c>
      <c r="E95" s="10">
        <v>0</v>
      </c>
      <c r="F95" s="297">
        <v>0</v>
      </c>
      <c r="G95" s="296">
        <f t="shared" si="10"/>
        <v>6838.8910000000005</v>
      </c>
      <c r="H95" s="10">
        <f t="shared" si="11"/>
        <v>15917.602833333332</v>
      </c>
      <c r="I95" s="10">
        <f t="shared" si="12"/>
        <v>4976.3013333333338</v>
      </c>
      <c r="J95" s="297">
        <v>-27732.799999999999</v>
      </c>
      <c r="K95" s="162"/>
      <c r="L95" s="143"/>
      <c r="M95" s="143"/>
    </row>
    <row r="96" spans="1:13" ht="15" customHeight="1">
      <c r="A96" s="107"/>
      <c r="B96" s="298">
        <v>4</v>
      </c>
      <c r="C96" s="296">
        <v>0</v>
      </c>
      <c r="D96" s="10">
        <v>0</v>
      </c>
      <c r="E96" s="10">
        <v>0</v>
      </c>
      <c r="F96" s="297">
        <v>0</v>
      </c>
      <c r="G96" s="296">
        <f t="shared" si="10"/>
        <v>6838.8910000000005</v>
      </c>
      <c r="H96" s="10">
        <f t="shared" si="11"/>
        <v>15917.602833333332</v>
      </c>
      <c r="I96" s="10">
        <f t="shared" si="12"/>
        <v>4976.3013333333338</v>
      </c>
      <c r="J96" s="297">
        <v>-27732.799999999999</v>
      </c>
      <c r="K96" s="162"/>
      <c r="L96" s="143"/>
      <c r="M96" s="143"/>
    </row>
    <row r="97" spans="1:13" ht="15" customHeight="1">
      <c r="A97" s="107"/>
      <c r="B97" s="298">
        <v>5</v>
      </c>
      <c r="C97" s="296">
        <v>0</v>
      </c>
      <c r="D97" s="10">
        <v>0</v>
      </c>
      <c r="E97" s="10">
        <v>0</v>
      </c>
      <c r="F97" s="297">
        <v>0</v>
      </c>
      <c r="G97" s="296">
        <f t="shared" si="10"/>
        <v>6838.8910000000005</v>
      </c>
      <c r="H97" s="10">
        <f t="shared" si="11"/>
        <v>15917.602833333332</v>
      </c>
      <c r="I97" s="10">
        <f t="shared" si="12"/>
        <v>4976.3013333333338</v>
      </c>
      <c r="J97" s="297">
        <v>-27732.799999999999</v>
      </c>
      <c r="K97" s="162"/>
      <c r="L97" s="143"/>
      <c r="M97" s="143"/>
    </row>
    <row r="98" spans="1:13" ht="15" customHeight="1">
      <c r="A98" s="107"/>
      <c r="B98" s="298">
        <v>6</v>
      </c>
      <c r="C98" s="296">
        <v>0</v>
      </c>
      <c r="D98" s="10">
        <v>0</v>
      </c>
      <c r="E98" s="10">
        <v>0</v>
      </c>
      <c r="F98" s="297">
        <v>0</v>
      </c>
      <c r="G98" s="296">
        <f t="shared" si="10"/>
        <v>6838.8910000000005</v>
      </c>
      <c r="H98" s="10">
        <f t="shared" si="11"/>
        <v>15917.602833333332</v>
      </c>
      <c r="I98" s="10">
        <f t="shared" si="12"/>
        <v>4976.3013333333338</v>
      </c>
      <c r="J98" s="297">
        <v>-27732.799999999999</v>
      </c>
      <c r="K98" s="162"/>
      <c r="L98" s="143"/>
      <c r="M98" s="143"/>
    </row>
    <row r="99" spans="1:13" ht="15" customHeight="1">
      <c r="A99" s="107"/>
      <c r="B99" s="298">
        <v>7</v>
      </c>
      <c r="C99" s="296">
        <v>0</v>
      </c>
      <c r="D99" s="10">
        <v>0</v>
      </c>
      <c r="E99" s="10">
        <v>0</v>
      </c>
      <c r="F99" s="297">
        <v>0</v>
      </c>
      <c r="G99" s="296">
        <f t="shared" si="10"/>
        <v>6838.8910000000005</v>
      </c>
      <c r="H99" s="10">
        <f t="shared" si="11"/>
        <v>15917.602833333332</v>
      </c>
      <c r="I99" s="10">
        <f t="shared" si="12"/>
        <v>4976.3013333333338</v>
      </c>
      <c r="J99" s="297">
        <v>-27732.799999999999</v>
      </c>
      <c r="K99" s="162"/>
      <c r="L99" s="143"/>
      <c r="M99" s="143"/>
    </row>
    <row r="100" spans="1:13" ht="15" customHeight="1">
      <c r="A100" s="107"/>
      <c r="B100" s="298">
        <v>8</v>
      </c>
      <c r="C100" s="296">
        <v>0</v>
      </c>
      <c r="D100" s="10">
        <v>0</v>
      </c>
      <c r="E100" s="10">
        <v>0</v>
      </c>
      <c r="F100" s="297">
        <v>0</v>
      </c>
      <c r="G100" s="296">
        <f t="shared" si="10"/>
        <v>6838.8910000000005</v>
      </c>
      <c r="H100" s="10">
        <f t="shared" si="11"/>
        <v>15917.602833333332</v>
      </c>
      <c r="I100" s="10">
        <f t="shared" si="12"/>
        <v>4976.3013333333338</v>
      </c>
      <c r="J100" s="297">
        <v>-27732.799999999999</v>
      </c>
      <c r="K100" s="162"/>
      <c r="L100" s="143"/>
      <c r="M100" s="143"/>
    </row>
    <row r="101" spans="1:13" ht="15" customHeight="1">
      <c r="A101" s="107"/>
      <c r="B101" s="298">
        <v>9</v>
      </c>
      <c r="C101" s="296">
        <v>0</v>
      </c>
      <c r="D101" s="10">
        <v>0</v>
      </c>
      <c r="E101" s="10">
        <v>0</v>
      </c>
      <c r="F101" s="297">
        <v>0</v>
      </c>
      <c r="G101" s="296">
        <f t="shared" si="10"/>
        <v>6838.8910000000005</v>
      </c>
      <c r="H101" s="10">
        <f t="shared" si="11"/>
        <v>15917.602833333332</v>
      </c>
      <c r="I101" s="10">
        <f t="shared" si="12"/>
        <v>4976.3013333333338</v>
      </c>
      <c r="J101" s="297">
        <v>-27732.799999999999</v>
      </c>
      <c r="K101" s="162"/>
      <c r="L101" s="143"/>
      <c r="M101" s="143"/>
    </row>
    <row r="102" spans="1:13" ht="15" customHeight="1">
      <c r="A102" s="107"/>
      <c r="B102" s="298">
        <v>10</v>
      </c>
      <c r="C102" s="296">
        <v>0</v>
      </c>
      <c r="D102" s="10">
        <v>0</v>
      </c>
      <c r="E102" s="10">
        <v>0</v>
      </c>
      <c r="F102" s="297">
        <v>0</v>
      </c>
      <c r="G102" s="296">
        <f t="shared" si="10"/>
        <v>6838.8910000000005</v>
      </c>
      <c r="H102" s="10">
        <f t="shared" si="11"/>
        <v>15917.602833333332</v>
      </c>
      <c r="I102" s="10">
        <f t="shared" si="12"/>
        <v>4976.3013333333338</v>
      </c>
      <c r="J102" s="297">
        <v>-27732.799999999999</v>
      </c>
      <c r="K102" s="162"/>
      <c r="L102" s="143"/>
      <c r="M102" s="143"/>
    </row>
    <row r="103" spans="1:13" ht="15" customHeight="1">
      <c r="A103" s="107"/>
      <c r="B103" s="298">
        <v>11</v>
      </c>
      <c r="C103" s="296">
        <v>0</v>
      </c>
      <c r="D103" s="10">
        <v>0</v>
      </c>
      <c r="E103" s="10">
        <v>0</v>
      </c>
      <c r="F103" s="297">
        <v>0</v>
      </c>
      <c r="G103" s="296">
        <f t="shared" si="10"/>
        <v>6838.8910000000005</v>
      </c>
      <c r="H103" s="10">
        <f t="shared" si="11"/>
        <v>15917.602833333332</v>
      </c>
      <c r="I103" s="10">
        <f t="shared" si="12"/>
        <v>4976.3013333333338</v>
      </c>
      <c r="J103" s="297">
        <v>-27732.799999999999</v>
      </c>
      <c r="K103" s="162"/>
      <c r="L103" s="143"/>
      <c r="M103" s="143"/>
    </row>
    <row r="104" spans="1:13" ht="15" customHeight="1">
      <c r="A104" s="107"/>
      <c r="B104" s="298">
        <v>12</v>
      </c>
      <c r="C104" s="296">
        <v>0</v>
      </c>
      <c r="D104" s="10">
        <v>0</v>
      </c>
      <c r="E104" s="10">
        <v>0</v>
      </c>
      <c r="F104" s="297">
        <v>0</v>
      </c>
      <c r="G104" s="296">
        <f t="shared" si="10"/>
        <v>6838.8910000000005</v>
      </c>
      <c r="H104" s="10">
        <f t="shared" si="11"/>
        <v>15917.602833333332</v>
      </c>
      <c r="I104" s="10">
        <f t="shared" si="12"/>
        <v>4976.3013333333338</v>
      </c>
      <c r="J104" s="294">
        <v>-27732.799999999999</v>
      </c>
      <c r="K104" s="162"/>
      <c r="L104" s="143"/>
      <c r="M104" s="143"/>
    </row>
    <row r="105" spans="1:13" ht="15" customHeight="1" thickBot="1">
      <c r="A105" s="107" t="s">
        <v>532</v>
      </c>
      <c r="B105" s="295"/>
      <c r="C105" s="18"/>
      <c r="D105" s="13"/>
      <c r="E105" s="13"/>
      <c r="F105" s="297">
        <v>0</v>
      </c>
      <c r="G105" s="303"/>
      <c r="H105" s="302"/>
      <c r="I105" s="302"/>
      <c r="J105" s="301">
        <v>-332793.59999999998</v>
      </c>
      <c r="K105" s="290"/>
      <c r="L105" s="177"/>
      <c r="M105" s="177"/>
    </row>
    <row r="106" spans="1:13" ht="15" customHeight="1" thickTop="1">
      <c r="A106" s="300">
        <v>2028</v>
      </c>
      <c r="B106" s="298">
        <v>1</v>
      </c>
      <c r="C106" s="296">
        <v>0</v>
      </c>
      <c r="D106" s="10">
        <v>0</v>
      </c>
      <c r="E106" s="10">
        <v>0</v>
      </c>
      <c r="F106" s="297">
        <v>0</v>
      </c>
      <c r="G106" s="296">
        <f>+G104</f>
        <v>6838.8910000000005</v>
      </c>
      <c r="H106" s="10">
        <f>+H104</f>
        <v>15917.602833333332</v>
      </c>
      <c r="I106" s="10">
        <f>+I104</f>
        <v>4976.3013333333338</v>
      </c>
      <c r="J106" s="299">
        <v>-27732.799999999999</v>
      </c>
      <c r="K106" s="162"/>
      <c r="L106" s="143"/>
      <c r="M106" s="143"/>
    </row>
    <row r="107" spans="1:13" ht="15" customHeight="1">
      <c r="A107" s="107"/>
      <c r="B107" s="298">
        <v>2</v>
      </c>
      <c r="C107" s="296">
        <v>0</v>
      </c>
      <c r="D107" s="10">
        <v>0</v>
      </c>
      <c r="E107" s="10">
        <v>0</v>
      </c>
      <c r="F107" s="297">
        <v>0</v>
      </c>
      <c r="G107" s="296">
        <f t="shared" ref="G107:G117" si="13">+G106</f>
        <v>6838.8910000000005</v>
      </c>
      <c r="H107" s="10">
        <f t="shared" ref="H107:H117" si="14">+H106</f>
        <v>15917.602833333332</v>
      </c>
      <c r="I107" s="10">
        <f t="shared" ref="I107:I117" si="15">+I106</f>
        <v>4976.3013333333338</v>
      </c>
      <c r="J107" s="297">
        <v>-27732.799999999999</v>
      </c>
      <c r="K107" s="162"/>
      <c r="L107" s="143"/>
      <c r="M107" s="143"/>
    </row>
    <row r="108" spans="1:13" ht="15" customHeight="1">
      <c r="A108" s="107"/>
      <c r="B108" s="298">
        <v>3</v>
      </c>
      <c r="C108" s="296">
        <v>0</v>
      </c>
      <c r="D108" s="10">
        <v>0</v>
      </c>
      <c r="E108" s="10">
        <v>0</v>
      </c>
      <c r="F108" s="297">
        <v>0</v>
      </c>
      <c r="G108" s="296">
        <f t="shared" si="13"/>
        <v>6838.8910000000005</v>
      </c>
      <c r="H108" s="10">
        <f t="shared" si="14"/>
        <v>15917.602833333332</v>
      </c>
      <c r="I108" s="10">
        <f t="shared" si="15"/>
        <v>4976.3013333333338</v>
      </c>
      <c r="J108" s="297">
        <v>-27732.799999999999</v>
      </c>
      <c r="K108" s="162"/>
      <c r="L108" s="143"/>
      <c r="M108" s="143"/>
    </row>
    <row r="109" spans="1:13" ht="15" customHeight="1">
      <c r="A109" s="107"/>
      <c r="B109" s="298">
        <v>4</v>
      </c>
      <c r="C109" s="296">
        <v>0</v>
      </c>
      <c r="D109" s="10">
        <v>0</v>
      </c>
      <c r="E109" s="10">
        <v>0</v>
      </c>
      <c r="F109" s="297">
        <v>0</v>
      </c>
      <c r="G109" s="296">
        <f t="shared" si="13"/>
        <v>6838.8910000000005</v>
      </c>
      <c r="H109" s="10">
        <f t="shared" si="14"/>
        <v>15917.602833333332</v>
      </c>
      <c r="I109" s="10">
        <f t="shared" si="15"/>
        <v>4976.3013333333338</v>
      </c>
      <c r="J109" s="297">
        <v>-27732.799999999999</v>
      </c>
      <c r="K109" s="162"/>
      <c r="L109" s="143"/>
      <c r="M109" s="143"/>
    </row>
    <row r="110" spans="1:13" ht="15" customHeight="1">
      <c r="A110" s="107"/>
      <c r="B110" s="298">
        <v>5</v>
      </c>
      <c r="C110" s="296">
        <v>0</v>
      </c>
      <c r="D110" s="10">
        <v>0</v>
      </c>
      <c r="E110" s="10">
        <v>0</v>
      </c>
      <c r="F110" s="297">
        <v>0</v>
      </c>
      <c r="G110" s="296">
        <f t="shared" si="13"/>
        <v>6838.8910000000005</v>
      </c>
      <c r="H110" s="10">
        <f t="shared" si="14"/>
        <v>15917.602833333332</v>
      </c>
      <c r="I110" s="10">
        <f t="shared" si="15"/>
        <v>4976.3013333333338</v>
      </c>
      <c r="J110" s="297">
        <v>-27732.799999999999</v>
      </c>
      <c r="K110" s="162"/>
      <c r="L110" s="143"/>
      <c r="M110" s="143"/>
    </row>
    <row r="111" spans="1:13" ht="15" customHeight="1">
      <c r="A111" s="107"/>
      <c r="B111" s="298">
        <v>6</v>
      </c>
      <c r="C111" s="296">
        <v>0</v>
      </c>
      <c r="D111" s="10">
        <v>0</v>
      </c>
      <c r="E111" s="10">
        <v>0</v>
      </c>
      <c r="F111" s="297">
        <v>0</v>
      </c>
      <c r="G111" s="296">
        <f t="shared" si="13"/>
        <v>6838.8910000000005</v>
      </c>
      <c r="H111" s="10">
        <f t="shared" si="14"/>
        <v>15917.602833333332</v>
      </c>
      <c r="I111" s="10">
        <f t="shared" si="15"/>
        <v>4976.3013333333338</v>
      </c>
      <c r="J111" s="297">
        <v>-27732.799999999999</v>
      </c>
      <c r="K111" s="162"/>
      <c r="L111" s="143"/>
      <c r="M111" s="143"/>
    </row>
    <row r="112" spans="1:13" ht="15" customHeight="1">
      <c r="A112" s="107"/>
      <c r="B112" s="298">
        <v>7</v>
      </c>
      <c r="C112" s="296">
        <v>0</v>
      </c>
      <c r="D112" s="10">
        <v>0</v>
      </c>
      <c r="E112" s="10">
        <v>0</v>
      </c>
      <c r="F112" s="297">
        <v>0</v>
      </c>
      <c r="G112" s="296">
        <f t="shared" si="13"/>
        <v>6838.8910000000005</v>
      </c>
      <c r="H112" s="10">
        <f t="shared" si="14"/>
        <v>15917.602833333332</v>
      </c>
      <c r="I112" s="10">
        <f t="shared" si="15"/>
        <v>4976.3013333333338</v>
      </c>
      <c r="J112" s="297">
        <v>-27732.799999999999</v>
      </c>
      <c r="K112" s="162"/>
      <c r="L112" s="143"/>
      <c r="M112" s="143"/>
    </row>
    <row r="113" spans="1:13" ht="15" customHeight="1">
      <c r="A113" s="107"/>
      <c r="B113" s="298">
        <v>8</v>
      </c>
      <c r="C113" s="296">
        <v>0</v>
      </c>
      <c r="D113" s="10">
        <v>0</v>
      </c>
      <c r="E113" s="10">
        <v>0</v>
      </c>
      <c r="F113" s="297">
        <v>0</v>
      </c>
      <c r="G113" s="296">
        <f t="shared" si="13"/>
        <v>6838.8910000000005</v>
      </c>
      <c r="H113" s="10">
        <f t="shared" si="14"/>
        <v>15917.602833333332</v>
      </c>
      <c r="I113" s="10">
        <f t="shared" si="15"/>
        <v>4976.3013333333338</v>
      </c>
      <c r="J113" s="297">
        <v>-27732.799999999999</v>
      </c>
      <c r="K113" s="162"/>
      <c r="L113" s="143"/>
      <c r="M113" s="143"/>
    </row>
    <row r="114" spans="1:13" ht="15" customHeight="1">
      <c r="A114" s="107"/>
      <c r="B114" s="298">
        <v>9</v>
      </c>
      <c r="C114" s="296">
        <v>0</v>
      </c>
      <c r="D114" s="10">
        <v>0</v>
      </c>
      <c r="E114" s="10">
        <v>0</v>
      </c>
      <c r="F114" s="297">
        <v>0</v>
      </c>
      <c r="G114" s="296">
        <f t="shared" si="13"/>
        <v>6838.8910000000005</v>
      </c>
      <c r="H114" s="10">
        <f t="shared" si="14"/>
        <v>15917.602833333332</v>
      </c>
      <c r="I114" s="10">
        <f t="shared" si="15"/>
        <v>4976.3013333333338</v>
      </c>
      <c r="J114" s="297">
        <v>-27732.799999999999</v>
      </c>
      <c r="K114" s="162"/>
      <c r="L114" s="143"/>
      <c r="M114" s="143"/>
    </row>
    <row r="115" spans="1:13" ht="15" customHeight="1">
      <c r="A115" s="107"/>
      <c r="B115" s="298">
        <v>10</v>
      </c>
      <c r="C115" s="296">
        <v>0</v>
      </c>
      <c r="D115" s="10">
        <v>0</v>
      </c>
      <c r="E115" s="10">
        <v>0</v>
      </c>
      <c r="F115" s="297">
        <v>0</v>
      </c>
      <c r="G115" s="296">
        <f t="shared" si="13"/>
        <v>6838.8910000000005</v>
      </c>
      <c r="H115" s="10">
        <f t="shared" si="14"/>
        <v>15917.602833333332</v>
      </c>
      <c r="I115" s="10">
        <f t="shared" si="15"/>
        <v>4976.3013333333338</v>
      </c>
      <c r="J115" s="297">
        <v>-27732.799999999999</v>
      </c>
      <c r="K115" s="162"/>
      <c r="L115" s="143"/>
      <c r="M115" s="143"/>
    </row>
    <row r="116" spans="1:13" ht="15" customHeight="1">
      <c r="A116" s="107"/>
      <c r="B116" s="298">
        <v>11</v>
      </c>
      <c r="C116" s="296">
        <v>0</v>
      </c>
      <c r="D116" s="10">
        <v>0</v>
      </c>
      <c r="E116" s="10">
        <v>0</v>
      </c>
      <c r="F116" s="297">
        <v>0</v>
      </c>
      <c r="G116" s="296">
        <f t="shared" si="13"/>
        <v>6838.8910000000005</v>
      </c>
      <c r="H116" s="10">
        <f t="shared" si="14"/>
        <v>15917.602833333332</v>
      </c>
      <c r="I116" s="10">
        <f t="shared" si="15"/>
        <v>4976.3013333333338</v>
      </c>
      <c r="J116" s="297">
        <v>-27732.799999999999</v>
      </c>
      <c r="K116" s="162"/>
      <c r="L116" s="143"/>
      <c r="M116" s="143"/>
    </row>
    <row r="117" spans="1:13" ht="15" customHeight="1">
      <c r="A117" s="107"/>
      <c r="B117" s="298">
        <v>12</v>
      </c>
      <c r="C117" s="296">
        <v>0</v>
      </c>
      <c r="D117" s="10">
        <v>0</v>
      </c>
      <c r="E117" s="10">
        <v>0</v>
      </c>
      <c r="F117" s="297">
        <v>0</v>
      </c>
      <c r="G117" s="296">
        <f t="shared" si="13"/>
        <v>6838.8910000000005</v>
      </c>
      <c r="H117" s="10">
        <f t="shared" si="14"/>
        <v>15917.602833333332</v>
      </c>
      <c r="I117" s="10">
        <f t="shared" si="15"/>
        <v>4976.3013333333338</v>
      </c>
      <c r="J117" s="294">
        <v>-27732.799999999999</v>
      </c>
      <c r="K117" s="162"/>
      <c r="L117" s="143"/>
      <c r="M117" s="143"/>
    </row>
    <row r="118" spans="1:13" ht="15" customHeight="1" thickBot="1">
      <c r="A118" s="107" t="s">
        <v>531</v>
      </c>
      <c r="B118" s="295"/>
      <c r="C118" s="18"/>
      <c r="D118" s="13"/>
      <c r="E118" s="13"/>
      <c r="F118" s="297">
        <v>0</v>
      </c>
      <c r="G118" s="303"/>
      <c r="H118" s="302"/>
      <c r="I118" s="302"/>
      <c r="J118" s="301">
        <v>-332793.59999999998</v>
      </c>
      <c r="K118" s="290"/>
      <c r="L118" s="177"/>
      <c r="M118" s="177"/>
    </row>
    <row r="119" spans="1:13" ht="15" customHeight="1" thickTop="1">
      <c r="A119" s="300">
        <v>2029</v>
      </c>
      <c r="B119" s="298">
        <v>1</v>
      </c>
      <c r="C119" s="296">
        <v>0</v>
      </c>
      <c r="D119" s="10">
        <v>0</v>
      </c>
      <c r="E119" s="10">
        <v>0</v>
      </c>
      <c r="F119" s="297">
        <v>0</v>
      </c>
      <c r="G119" s="296">
        <f>+G117-G54</f>
        <v>3309.1410000000005</v>
      </c>
      <c r="H119" s="10">
        <f>+H117-H54</f>
        <v>7702.0628333333316</v>
      </c>
      <c r="I119" s="10">
        <f>+I117-I54</f>
        <v>2407.8913333333339</v>
      </c>
      <c r="J119" s="299">
        <v>-13419.1</v>
      </c>
      <c r="K119" s="162"/>
      <c r="L119" s="143"/>
      <c r="M119" s="143"/>
    </row>
    <row r="120" spans="1:13" ht="15" customHeight="1">
      <c r="A120" s="107"/>
      <c r="B120" s="298">
        <v>2</v>
      </c>
      <c r="C120" s="296">
        <v>0</v>
      </c>
      <c r="D120" s="10">
        <v>0</v>
      </c>
      <c r="E120" s="10">
        <v>0</v>
      </c>
      <c r="F120" s="297">
        <v>0</v>
      </c>
      <c r="G120" s="18"/>
      <c r="H120" s="10">
        <v>0</v>
      </c>
      <c r="I120" s="10">
        <v>0</v>
      </c>
      <c r="J120" s="297">
        <v>0</v>
      </c>
      <c r="K120" s="162"/>
      <c r="L120" s="143"/>
      <c r="M120" s="143"/>
    </row>
    <row r="121" spans="1:13" ht="15" customHeight="1">
      <c r="A121" s="107"/>
      <c r="B121" s="298">
        <v>3</v>
      </c>
      <c r="C121" s="296">
        <v>0</v>
      </c>
      <c r="D121" s="10">
        <v>0</v>
      </c>
      <c r="E121" s="10">
        <v>0</v>
      </c>
      <c r="F121" s="297">
        <v>0</v>
      </c>
      <c r="G121" s="296">
        <v>0</v>
      </c>
      <c r="H121" s="10">
        <v>0</v>
      </c>
      <c r="I121" s="10">
        <v>0</v>
      </c>
      <c r="J121" s="297">
        <v>0</v>
      </c>
      <c r="K121" s="162"/>
      <c r="L121" s="143"/>
      <c r="M121" s="143"/>
    </row>
    <row r="122" spans="1:13" ht="15" customHeight="1">
      <c r="A122" s="107"/>
      <c r="B122" s="298">
        <v>4</v>
      </c>
      <c r="C122" s="296">
        <v>0</v>
      </c>
      <c r="D122" s="10">
        <v>0</v>
      </c>
      <c r="E122" s="10">
        <v>0</v>
      </c>
      <c r="F122" s="297">
        <v>0</v>
      </c>
      <c r="G122" s="296">
        <v>0</v>
      </c>
      <c r="H122" s="10">
        <v>0</v>
      </c>
      <c r="I122" s="10">
        <v>0</v>
      </c>
      <c r="J122" s="297">
        <v>0</v>
      </c>
      <c r="K122" s="162"/>
      <c r="L122" s="143"/>
      <c r="M122" s="143"/>
    </row>
    <row r="123" spans="1:13" ht="15" customHeight="1">
      <c r="A123" s="107"/>
      <c r="B123" s="298">
        <v>5</v>
      </c>
      <c r="C123" s="296">
        <v>0</v>
      </c>
      <c r="D123" s="10">
        <v>0</v>
      </c>
      <c r="E123" s="10">
        <v>0</v>
      </c>
      <c r="F123" s="297">
        <v>0</v>
      </c>
      <c r="G123" s="296">
        <v>0</v>
      </c>
      <c r="H123" s="10">
        <v>0</v>
      </c>
      <c r="I123" s="10">
        <v>0</v>
      </c>
      <c r="J123" s="297">
        <v>0</v>
      </c>
      <c r="K123" s="162"/>
      <c r="L123" s="143"/>
      <c r="M123" s="143"/>
    </row>
    <row r="124" spans="1:13" ht="15" customHeight="1">
      <c r="A124" s="107"/>
      <c r="B124" s="298">
        <v>6</v>
      </c>
      <c r="C124" s="296">
        <v>0</v>
      </c>
      <c r="D124" s="10">
        <v>0</v>
      </c>
      <c r="E124" s="10">
        <v>0</v>
      </c>
      <c r="F124" s="297">
        <v>0</v>
      </c>
      <c r="G124" s="296">
        <v>0</v>
      </c>
      <c r="H124" s="10">
        <v>0</v>
      </c>
      <c r="I124" s="10">
        <v>0</v>
      </c>
      <c r="J124" s="297">
        <v>0</v>
      </c>
      <c r="K124" s="162"/>
      <c r="L124" s="143"/>
      <c r="M124" s="143"/>
    </row>
    <row r="125" spans="1:13" ht="15" customHeight="1">
      <c r="A125" s="107"/>
      <c r="B125" s="298">
        <v>7</v>
      </c>
      <c r="C125" s="296">
        <v>0</v>
      </c>
      <c r="D125" s="10">
        <v>0</v>
      </c>
      <c r="E125" s="10">
        <v>0</v>
      </c>
      <c r="F125" s="297">
        <v>0</v>
      </c>
      <c r="G125" s="296">
        <v>0</v>
      </c>
      <c r="H125" s="10">
        <v>0</v>
      </c>
      <c r="I125" s="10">
        <v>0</v>
      </c>
      <c r="J125" s="297">
        <v>0</v>
      </c>
      <c r="K125" s="162"/>
      <c r="L125" s="143"/>
      <c r="M125" s="143"/>
    </row>
    <row r="126" spans="1:13" ht="15" customHeight="1">
      <c r="A126" s="107"/>
      <c r="B126" s="298">
        <v>8</v>
      </c>
      <c r="C126" s="296">
        <v>0</v>
      </c>
      <c r="D126" s="10">
        <v>0</v>
      </c>
      <c r="E126" s="10">
        <v>0</v>
      </c>
      <c r="F126" s="297">
        <v>0</v>
      </c>
      <c r="G126" s="296">
        <v>0</v>
      </c>
      <c r="H126" s="10">
        <v>0</v>
      </c>
      <c r="I126" s="10">
        <v>0</v>
      </c>
      <c r="J126" s="297">
        <v>0</v>
      </c>
      <c r="K126" s="162"/>
      <c r="L126" s="143"/>
      <c r="M126" s="143"/>
    </row>
    <row r="127" spans="1:13" ht="15" customHeight="1">
      <c r="A127" s="107"/>
      <c r="B127" s="298">
        <v>9</v>
      </c>
      <c r="C127" s="296">
        <v>0</v>
      </c>
      <c r="D127" s="10">
        <v>0</v>
      </c>
      <c r="E127" s="10">
        <v>0</v>
      </c>
      <c r="F127" s="297">
        <v>0</v>
      </c>
      <c r="G127" s="296">
        <v>0</v>
      </c>
      <c r="H127" s="10">
        <v>0</v>
      </c>
      <c r="I127" s="10">
        <v>0</v>
      </c>
      <c r="J127" s="297">
        <v>0</v>
      </c>
      <c r="K127" s="162"/>
      <c r="L127" s="143"/>
      <c r="M127" s="143"/>
    </row>
    <row r="128" spans="1:13" ht="15" customHeight="1">
      <c r="A128" s="107"/>
      <c r="B128" s="298">
        <v>10</v>
      </c>
      <c r="C128" s="296">
        <v>0</v>
      </c>
      <c r="D128" s="10">
        <v>0</v>
      </c>
      <c r="E128" s="10">
        <v>0</v>
      </c>
      <c r="F128" s="297">
        <v>0</v>
      </c>
      <c r="G128" s="296">
        <v>0</v>
      </c>
      <c r="H128" s="10">
        <v>0</v>
      </c>
      <c r="I128" s="10">
        <v>0</v>
      </c>
      <c r="J128" s="297">
        <v>0</v>
      </c>
      <c r="K128" s="162"/>
      <c r="L128" s="143"/>
      <c r="M128" s="143"/>
    </row>
    <row r="129" spans="1:13" ht="15" customHeight="1">
      <c r="A129" s="107"/>
      <c r="B129" s="298">
        <v>11</v>
      </c>
      <c r="C129" s="296">
        <v>0</v>
      </c>
      <c r="D129" s="10">
        <v>0</v>
      </c>
      <c r="E129" s="10">
        <v>0</v>
      </c>
      <c r="F129" s="297">
        <v>0</v>
      </c>
      <c r="G129" s="296">
        <v>0</v>
      </c>
      <c r="H129" s="10">
        <v>0</v>
      </c>
      <c r="I129" s="10">
        <v>0</v>
      </c>
      <c r="J129" s="297">
        <v>0</v>
      </c>
      <c r="K129" s="162"/>
      <c r="L129" s="143"/>
      <c r="M129" s="143"/>
    </row>
    <row r="130" spans="1:13" ht="15" customHeight="1">
      <c r="A130" s="107"/>
      <c r="B130" s="298">
        <v>12</v>
      </c>
      <c r="C130" s="296">
        <v>0</v>
      </c>
      <c r="D130" s="10">
        <v>0</v>
      </c>
      <c r="E130" s="10">
        <v>0</v>
      </c>
      <c r="F130" s="297">
        <v>0</v>
      </c>
      <c r="G130" s="296">
        <v>0</v>
      </c>
      <c r="H130" s="10">
        <v>0</v>
      </c>
      <c r="I130" s="10">
        <v>0</v>
      </c>
      <c r="J130" s="294">
        <v>0</v>
      </c>
      <c r="K130" s="162"/>
      <c r="L130" s="143"/>
      <c r="M130" s="143"/>
    </row>
    <row r="131" spans="1:13" ht="15" customHeight="1">
      <c r="A131" s="107" t="s">
        <v>530</v>
      </c>
      <c r="B131" s="295"/>
      <c r="C131" s="192"/>
      <c r="D131" s="24"/>
      <c r="E131" s="24"/>
      <c r="F131" s="294">
        <v>0</v>
      </c>
      <c r="G131" s="293"/>
      <c r="H131" s="292"/>
      <c r="I131" s="292"/>
      <c r="J131" s="291">
        <v>-13419.1</v>
      </c>
      <c r="K131" s="290"/>
      <c r="L131" s="177"/>
      <c r="M131" s="177"/>
    </row>
    <row r="132" spans="1:13" ht="15" customHeight="1">
      <c r="C132" s="17"/>
      <c r="D132" s="17"/>
      <c r="E132" s="17"/>
      <c r="F132" s="7"/>
      <c r="G132" s="17"/>
      <c r="H132" s="17"/>
      <c r="I132" s="17"/>
      <c r="J132" s="7"/>
      <c r="K132" s="143"/>
      <c r="L132" s="143"/>
      <c r="M132" s="143"/>
    </row>
    <row r="133" spans="1:13" ht="15" customHeight="1" thickBot="1">
      <c r="E133" s="107" t="s">
        <v>88</v>
      </c>
      <c r="F133" s="289">
        <v>-338099.12</v>
      </c>
      <c r="G133" s="107"/>
      <c r="H133" s="107"/>
      <c r="I133" s="107" t="s">
        <v>88</v>
      </c>
      <c r="J133" s="289">
        <v>-1663968</v>
      </c>
      <c r="K133" s="177"/>
      <c r="L133" s="177"/>
      <c r="M133" s="177"/>
    </row>
    <row r="134" spans="1:13" ht="15" customHeight="1" thickTop="1">
      <c r="F134" s="22"/>
      <c r="J134" s="22"/>
      <c r="K134" s="143"/>
      <c r="L134" s="143"/>
      <c r="M134" s="143"/>
    </row>
    <row r="135" spans="1:13" ht="15" customHeight="1">
      <c r="A135" s="111" t="s">
        <v>53</v>
      </c>
      <c r="B135" s="13" t="s">
        <v>54</v>
      </c>
    </row>
    <row r="136" spans="1:13" ht="15" customHeight="1"/>
  </sheetData>
  <mergeCells count="10">
    <mergeCell ref="G12:J12"/>
    <mergeCell ref="G11:J11"/>
    <mergeCell ref="C12:F12"/>
    <mergeCell ref="C11:F11"/>
    <mergeCell ref="A1:D1"/>
    <mergeCell ref="A2:E2"/>
    <mergeCell ref="A4:C4"/>
    <mergeCell ref="A3:D3"/>
    <mergeCell ref="B8:J8"/>
    <mergeCell ref="B7:J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E7E1-B1E1-499A-8008-BD90807EB822}">
  <dimension ref="A1:M134"/>
  <sheetViews>
    <sheetView workbookViewId="0">
      <pane xSplit="2" ySplit="13" topLeftCell="C136" activePane="bottomRight" state="frozen"/>
      <selection sqref="A1:D1"/>
      <selection pane="topRight" sqref="A1:D1"/>
      <selection pane="bottomLeft" sqref="A1:D1"/>
      <selection pane="bottomRight" sqref="A1:D1"/>
    </sheetView>
  </sheetViews>
  <sheetFormatPr defaultColWidth="13.7265625" defaultRowHeight="12.5"/>
  <cols>
    <col min="1" max="12" width="13.7265625" style="2"/>
    <col min="13" max="13" width="21.1796875" style="2" customWidth="1"/>
    <col min="14" max="16384" width="13.7265625" style="2"/>
  </cols>
  <sheetData>
    <row r="1" spans="1:11" ht="15" customHeight="1">
      <c r="A1" s="671" t="s">
        <v>51</v>
      </c>
      <c r="B1" s="670"/>
      <c r="C1" s="670"/>
      <c r="D1" s="670"/>
    </row>
    <row r="2" spans="1:11" ht="15" customHeight="1">
      <c r="A2" s="672" t="s">
        <v>529</v>
      </c>
      <c r="B2" s="670"/>
      <c r="C2" s="670"/>
      <c r="D2" s="670"/>
      <c r="E2" s="670"/>
    </row>
    <row r="3" spans="1:11" ht="15" customHeight="1">
      <c r="A3" s="672" t="s">
        <v>552</v>
      </c>
      <c r="B3" s="670"/>
      <c r="C3" s="670"/>
      <c r="D3" s="670"/>
    </row>
    <row r="4" spans="1:11" ht="15" customHeight="1">
      <c r="A4" s="671" t="s">
        <v>549</v>
      </c>
      <c r="B4" s="670"/>
      <c r="C4" s="670"/>
    </row>
    <row r="5" spans="1:11" ht="15" customHeight="1"/>
    <row r="6" spans="1:11" ht="15" customHeight="1">
      <c r="A6" s="315" t="s">
        <v>264</v>
      </c>
      <c r="B6" s="728" t="s">
        <v>548</v>
      </c>
      <c r="C6" s="729"/>
      <c r="D6" s="729"/>
      <c r="E6" s="729"/>
      <c r="F6" s="729"/>
      <c r="G6" s="729"/>
      <c r="H6" s="729"/>
      <c r="I6" s="729"/>
      <c r="J6" s="730"/>
      <c r="K6" s="18"/>
    </row>
    <row r="7" spans="1:11" ht="27.65" customHeight="1">
      <c r="A7" s="326" t="s">
        <v>547</v>
      </c>
      <c r="B7" s="731" t="s">
        <v>546</v>
      </c>
      <c r="C7" s="732"/>
      <c r="D7" s="732"/>
      <c r="E7" s="732"/>
      <c r="F7" s="732"/>
      <c r="G7" s="732"/>
      <c r="H7" s="732"/>
      <c r="I7" s="732"/>
      <c r="J7" s="733"/>
      <c r="K7" s="18"/>
    </row>
    <row r="8" spans="1:11" ht="15" customHeight="1">
      <c r="A8" s="17"/>
      <c r="B8" s="17"/>
      <c r="C8" s="17"/>
      <c r="D8" s="17"/>
      <c r="E8" s="17"/>
      <c r="F8" s="17"/>
      <c r="G8" s="17"/>
      <c r="H8" s="17"/>
      <c r="I8" s="17"/>
      <c r="J8" s="17"/>
    </row>
    <row r="9" spans="1:11" ht="15" customHeight="1"/>
    <row r="10" spans="1:11" ht="15" customHeight="1">
      <c r="C10" s="726" t="s">
        <v>545</v>
      </c>
      <c r="D10" s="726"/>
      <c r="E10" s="726"/>
      <c r="F10" s="726"/>
      <c r="G10" s="726" t="s">
        <v>545</v>
      </c>
      <c r="H10" s="726"/>
      <c r="I10" s="726"/>
      <c r="J10" s="726"/>
      <c r="K10" s="18"/>
    </row>
    <row r="11" spans="1:11" ht="15" customHeight="1">
      <c r="C11" s="726" t="s">
        <v>544</v>
      </c>
      <c r="D11" s="726"/>
      <c r="E11" s="726"/>
      <c r="F11" s="726"/>
      <c r="G11" s="726" t="s">
        <v>543</v>
      </c>
      <c r="H11" s="726"/>
      <c r="I11" s="726"/>
      <c r="J11" s="726"/>
      <c r="K11" s="18"/>
    </row>
    <row r="12" spans="1:11" ht="15" customHeight="1">
      <c r="A12" s="188" t="s">
        <v>542</v>
      </c>
      <c r="B12" s="188" t="s">
        <v>541</v>
      </c>
      <c r="C12" s="316">
        <v>1823536</v>
      </c>
      <c r="D12" s="316">
        <v>1823536</v>
      </c>
      <c r="E12" s="316">
        <v>1823536</v>
      </c>
      <c r="F12" s="316">
        <v>1823537</v>
      </c>
      <c r="G12" s="316">
        <v>1823536</v>
      </c>
      <c r="H12" s="316">
        <v>1823536</v>
      </c>
      <c r="I12" s="316">
        <v>1823536</v>
      </c>
      <c r="J12" s="316">
        <v>1823537</v>
      </c>
      <c r="K12" s="18"/>
    </row>
    <row r="13" spans="1:11" ht="15" customHeight="1">
      <c r="A13" s="188" t="s">
        <v>482</v>
      </c>
      <c r="B13" s="188"/>
      <c r="C13" s="316">
        <v>110</v>
      </c>
      <c r="D13" s="316">
        <v>117</v>
      </c>
      <c r="E13" s="316">
        <v>180</v>
      </c>
      <c r="F13" s="315" t="s">
        <v>88</v>
      </c>
      <c r="G13" s="316">
        <v>110</v>
      </c>
      <c r="H13" s="316">
        <v>117</v>
      </c>
      <c r="I13" s="316">
        <v>180</v>
      </c>
      <c r="J13" s="315" t="s">
        <v>88</v>
      </c>
      <c r="K13" s="18"/>
    </row>
    <row r="14" spans="1:11" ht="15" customHeight="1">
      <c r="A14" s="312">
        <v>2021</v>
      </c>
      <c r="B14" s="311">
        <v>1</v>
      </c>
      <c r="C14" s="325">
        <v>149.36000000000001</v>
      </c>
      <c r="D14" s="324">
        <v>268.05</v>
      </c>
      <c r="E14" s="324">
        <v>76.03</v>
      </c>
      <c r="F14" s="308">
        <v>-493.44</v>
      </c>
      <c r="G14" s="190"/>
      <c r="H14" s="17"/>
      <c r="I14" s="17"/>
      <c r="J14" s="308">
        <v>0</v>
      </c>
      <c r="K14" s="18"/>
    </row>
    <row r="15" spans="1:11" ht="15" customHeight="1">
      <c r="A15" s="107"/>
      <c r="B15" s="298">
        <v>2</v>
      </c>
      <c r="C15" s="320">
        <v>257.23</v>
      </c>
      <c r="D15" s="319">
        <v>461.64</v>
      </c>
      <c r="E15" s="319">
        <v>130.94999999999999</v>
      </c>
      <c r="F15" s="307">
        <v>-849.82</v>
      </c>
      <c r="G15" s="18"/>
      <c r="H15" s="13"/>
      <c r="I15" s="13"/>
      <c r="J15" s="307">
        <v>0</v>
      </c>
      <c r="K15" s="18"/>
    </row>
    <row r="16" spans="1:11" ht="15" customHeight="1">
      <c r="A16" s="107"/>
      <c r="B16" s="298">
        <v>3</v>
      </c>
      <c r="C16" s="320">
        <v>257.23</v>
      </c>
      <c r="D16" s="319">
        <v>461.64</v>
      </c>
      <c r="E16" s="319">
        <v>130.94999999999999</v>
      </c>
      <c r="F16" s="307">
        <v>-849.82</v>
      </c>
      <c r="G16" s="18"/>
      <c r="H16" s="13"/>
      <c r="I16" s="13"/>
      <c r="J16" s="307">
        <v>0</v>
      </c>
      <c r="K16" s="18"/>
    </row>
    <row r="17" spans="1:11" ht="15" customHeight="1">
      <c r="A17" s="107"/>
      <c r="B17" s="298">
        <v>4</v>
      </c>
      <c r="C17" s="320">
        <v>257.23</v>
      </c>
      <c r="D17" s="319">
        <v>461.64</v>
      </c>
      <c r="E17" s="319">
        <v>130.94999999999999</v>
      </c>
      <c r="F17" s="307">
        <v>-849.82</v>
      </c>
      <c r="G17" s="18"/>
      <c r="H17" s="13"/>
      <c r="I17" s="13"/>
      <c r="J17" s="307">
        <v>0</v>
      </c>
      <c r="K17" s="18"/>
    </row>
    <row r="18" spans="1:11" ht="15" customHeight="1">
      <c r="A18" s="107"/>
      <c r="B18" s="298">
        <v>5</v>
      </c>
      <c r="C18" s="320">
        <v>257.23</v>
      </c>
      <c r="D18" s="319">
        <v>461.64</v>
      </c>
      <c r="E18" s="319">
        <v>130.94999999999999</v>
      </c>
      <c r="F18" s="307">
        <v>-849.82</v>
      </c>
      <c r="G18" s="18"/>
      <c r="H18" s="13"/>
      <c r="I18" s="13"/>
      <c r="J18" s="307">
        <v>0</v>
      </c>
      <c r="K18" s="18"/>
    </row>
    <row r="19" spans="1:11" ht="15" customHeight="1">
      <c r="A19" s="107"/>
      <c r="B19" s="298">
        <v>6</v>
      </c>
      <c r="C19" s="320">
        <v>257.23</v>
      </c>
      <c r="D19" s="319">
        <v>461.64</v>
      </c>
      <c r="E19" s="319">
        <v>130.94999999999999</v>
      </c>
      <c r="F19" s="307">
        <v>-849.82</v>
      </c>
      <c r="G19" s="18"/>
      <c r="H19" s="13"/>
      <c r="I19" s="13"/>
      <c r="J19" s="307">
        <v>0</v>
      </c>
      <c r="K19" s="18"/>
    </row>
    <row r="20" spans="1:11" ht="15" customHeight="1">
      <c r="A20" s="107"/>
      <c r="B20" s="298">
        <v>7</v>
      </c>
      <c r="C20" s="320">
        <v>257.23</v>
      </c>
      <c r="D20" s="319">
        <v>461.64</v>
      </c>
      <c r="E20" s="319">
        <v>130.94999999999999</v>
      </c>
      <c r="F20" s="307">
        <v>-849.82</v>
      </c>
      <c r="G20" s="18"/>
      <c r="H20" s="13"/>
      <c r="I20" s="13"/>
      <c r="J20" s="307">
        <v>0</v>
      </c>
      <c r="K20" s="18"/>
    </row>
    <row r="21" spans="1:11" ht="15" customHeight="1">
      <c r="A21" s="107"/>
      <c r="B21" s="298">
        <v>8</v>
      </c>
      <c r="C21" s="320">
        <v>257.23</v>
      </c>
      <c r="D21" s="319">
        <v>461.64</v>
      </c>
      <c r="E21" s="319">
        <v>130.94999999999999</v>
      </c>
      <c r="F21" s="307">
        <v>-849.82</v>
      </c>
      <c r="G21" s="18"/>
      <c r="H21" s="13"/>
      <c r="I21" s="13"/>
      <c r="J21" s="307">
        <v>0</v>
      </c>
      <c r="K21" s="18"/>
    </row>
    <row r="22" spans="1:11" ht="15" customHeight="1">
      <c r="A22" s="107"/>
      <c r="B22" s="298">
        <v>9</v>
      </c>
      <c r="C22" s="320">
        <v>257.23</v>
      </c>
      <c r="D22" s="319">
        <v>461.64</v>
      </c>
      <c r="E22" s="319">
        <v>130.94999999999999</v>
      </c>
      <c r="F22" s="307">
        <v>-849.82</v>
      </c>
      <c r="G22" s="18"/>
      <c r="H22" s="13"/>
      <c r="I22" s="13"/>
      <c r="J22" s="307">
        <v>0</v>
      </c>
      <c r="K22" s="18"/>
    </row>
    <row r="23" spans="1:11" ht="15" customHeight="1">
      <c r="A23" s="107"/>
      <c r="B23" s="298">
        <v>10</v>
      </c>
      <c r="C23" s="320">
        <v>257.23</v>
      </c>
      <c r="D23" s="319">
        <v>461.64</v>
      </c>
      <c r="E23" s="319">
        <v>130.94999999999999</v>
      </c>
      <c r="F23" s="307">
        <v>-849.82</v>
      </c>
      <c r="G23" s="18"/>
      <c r="H23" s="13"/>
      <c r="I23" s="13"/>
      <c r="J23" s="307">
        <v>0</v>
      </c>
      <c r="K23" s="18"/>
    </row>
    <row r="24" spans="1:11" ht="15" customHeight="1">
      <c r="A24" s="107"/>
      <c r="B24" s="298">
        <v>11</v>
      </c>
      <c r="C24" s="320">
        <v>257.23</v>
      </c>
      <c r="D24" s="319">
        <v>461.64</v>
      </c>
      <c r="E24" s="319">
        <v>130.94999999999999</v>
      </c>
      <c r="F24" s="307">
        <v>-849.82</v>
      </c>
      <c r="G24" s="18"/>
      <c r="H24" s="13"/>
      <c r="I24" s="13"/>
      <c r="J24" s="307">
        <v>0</v>
      </c>
      <c r="K24" s="18"/>
    </row>
    <row r="25" spans="1:11" ht="15" customHeight="1">
      <c r="A25" s="107"/>
      <c r="B25" s="298">
        <v>12</v>
      </c>
      <c r="C25" s="320">
        <v>257.23</v>
      </c>
      <c r="D25" s="319">
        <v>461.64</v>
      </c>
      <c r="E25" s="319">
        <v>130.94999999999999</v>
      </c>
      <c r="F25" s="318">
        <v>-849.82</v>
      </c>
      <c r="G25" s="18"/>
      <c r="H25" s="13"/>
      <c r="I25" s="13"/>
      <c r="J25" s="307">
        <v>0</v>
      </c>
      <c r="K25" s="18"/>
    </row>
    <row r="26" spans="1:11" ht="15" customHeight="1" thickBot="1">
      <c r="A26" s="107" t="s">
        <v>540</v>
      </c>
      <c r="B26" s="295"/>
      <c r="C26" s="303"/>
      <c r="D26" s="302"/>
      <c r="E26" s="302"/>
      <c r="F26" s="322">
        <v>-9841.4599999999991</v>
      </c>
      <c r="G26" s="18"/>
      <c r="H26" s="13"/>
      <c r="I26" s="13"/>
      <c r="J26" s="307">
        <v>0</v>
      </c>
      <c r="K26" s="18"/>
    </row>
    <row r="27" spans="1:11" ht="15" customHeight="1" thickTop="1">
      <c r="A27" s="300">
        <v>2022</v>
      </c>
      <c r="B27" s="298">
        <v>1</v>
      </c>
      <c r="C27" s="320">
        <v>257.23</v>
      </c>
      <c r="D27" s="319">
        <v>461.64</v>
      </c>
      <c r="E27" s="319">
        <v>130.94999999999999</v>
      </c>
      <c r="F27" s="321">
        <v>-849.82</v>
      </c>
      <c r="G27" s="18"/>
      <c r="H27" s="13"/>
      <c r="I27" s="13"/>
      <c r="J27" s="307">
        <v>0</v>
      </c>
      <c r="K27" s="18"/>
    </row>
    <row r="28" spans="1:11" ht="15" customHeight="1">
      <c r="A28" s="107"/>
      <c r="B28" s="298">
        <v>2</v>
      </c>
      <c r="C28" s="320">
        <v>257.23</v>
      </c>
      <c r="D28" s="319">
        <v>461.64</v>
      </c>
      <c r="E28" s="319">
        <v>130.94999999999999</v>
      </c>
      <c r="F28" s="307">
        <v>-849.82</v>
      </c>
      <c r="G28" s="18"/>
      <c r="H28" s="13"/>
      <c r="I28" s="13"/>
      <c r="J28" s="307">
        <v>0</v>
      </c>
      <c r="K28" s="18"/>
    </row>
    <row r="29" spans="1:11" ht="15" customHeight="1">
      <c r="A29" s="107"/>
      <c r="B29" s="298">
        <v>3</v>
      </c>
      <c r="C29" s="320">
        <v>257.23</v>
      </c>
      <c r="D29" s="319">
        <v>461.64</v>
      </c>
      <c r="E29" s="319">
        <v>130.94999999999999</v>
      </c>
      <c r="F29" s="307">
        <v>-849.82</v>
      </c>
      <c r="G29" s="18"/>
      <c r="H29" s="13"/>
      <c r="I29" s="13"/>
      <c r="J29" s="307">
        <v>0</v>
      </c>
      <c r="K29" s="18"/>
    </row>
    <row r="30" spans="1:11" ht="15" customHeight="1">
      <c r="A30" s="107"/>
      <c r="B30" s="298">
        <v>4</v>
      </c>
      <c r="C30" s="320">
        <v>257.23</v>
      </c>
      <c r="D30" s="319">
        <v>461.64</v>
      </c>
      <c r="E30" s="319">
        <v>130.94999999999999</v>
      </c>
      <c r="F30" s="307">
        <v>-849.82</v>
      </c>
      <c r="G30" s="18"/>
      <c r="H30" s="13"/>
      <c r="I30" s="13"/>
      <c r="J30" s="307">
        <v>0</v>
      </c>
      <c r="K30" s="18"/>
    </row>
    <row r="31" spans="1:11" ht="15" customHeight="1">
      <c r="A31" s="107"/>
      <c r="B31" s="298">
        <v>5</v>
      </c>
      <c r="C31" s="320">
        <v>257.23</v>
      </c>
      <c r="D31" s="319">
        <v>461.64</v>
      </c>
      <c r="E31" s="319">
        <v>130.94999999999999</v>
      </c>
      <c r="F31" s="307">
        <v>-849.82</v>
      </c>
      <c r="G31" s="18"/>
      <c r="H31" s="13"/>
      <c r="I31" s="13"/>
      <c r="J31" s="307">
        <v>0</v>
      </c>
      <c r="K31" s="18"/>
    </row>
    <row r="32" spans="1:11" ht="15" customHeight="1">
      <c r="A32" s="107"/>
      <c r="B32" s="298">
        <v>6</v>
      </c>
      <c r="C32" s="320">
        <v>257.23</v>
      </c>
      <c r="D32" s="319">
        <v>461.64</v>
      </c>
      <c r="E32" s="319">
        <v>130.94999999999999</v>
      </c>
      <c r="F32" s="307">
        <v>-849.82</v>
      </c>
      <c r="G32" s="18"/>
      <c r="H32" s="13"/>
      <c r="I32" s="13"/>
      <c r="J32" s="307">
        <v>0</v>
      </c>
      <c r="K32" s="18"/>
    </row>
    <row r="33" spans="1:11" ht="15" customHeight="1">
      <c r="A33" s="107"/>
      <c r="B33" s="298">
        <v>7</v>
      </c>
      <c r="C33" s="320">
        <v>257.23</v>
      </c>
      <c r="D33" s="319">
        <v>461.64</v>
      </c>
      <c r="E33" s="319">
        <v>130.94999999999999</v>
      </c>
      <c r="F33" s="307">
        <v>-849.82</v>
      </c>
      <c r="G33" s="18"/>
      <c r="H33" s="13"/>
      <c r="I33" s="13"/>
      <c r="J33" s="307">
        <v>0</v>
      </c>
      <c r="K33" s="18"/>
    </row>
    <row r="34" spans="1:11" ht="15" customHeight="1">
      <c r="A34" s="107"/>
      <c r="B34" s="298">
        <v>8</v>
      </c>
      <c r="C34" s="320">
        <v>257.23</v>
      </c>
      <c r="D34" s="319">
        <v>461.64</v>
      </c>
      <c r="E34" s="319">
        <v>130.94999999999999</v>
      </c>
      <c r="F34" s="307">
        <v>-849.82</v>
      </c>
      <c r="G34" s="18"/>
      <c r="H34" s="13"/>
      <c r="I34" s="13"/>
      <c r="J34" s="307">
        <v>0</v>
      </c>
      <c r="K34" s="18"/>
    </row>
    <row r="35" spans="1:11" ht="15" customHeight="1">
      <c r="A35" s="107"/>
      <c r="B35" s="298">
        <v>9</v>
      </c>
      <c r="C35" s="320">
        <v>257.23</v>
      </c>
      <c r="D35" s="319">
        <v>461.64</v>
      </c>
      <c r="E35" s="319">
        <v>130.94999999999999</v>
      </c>
      <c r="F35" s="307">
        <v>-849.82</v>
      </c>
      <c r="G35" s="18"/>
      <c r="H35" s="13"/>
      <c r="I35" s="13"/>
      <c r="J35" s="307">
        <v>0</v>
      </c>
      <c r="K35" s="18"/>
    </row>
    <row r="36" spans="1:11" ht="15" customHeight="1">
      <c r="A36" s="107"/>
      <c r="B36" s="298">
        <v>10</v>
      </c>
      <c r="C36" s="320">
        <v>257.23</v>
      </c>
      <c r="D36" s="319">
        <v>461.64</v>
      </c>
      <c r="E36" s="319">
        <v>130.94999999999999</v>
      </c>
      <c r="F36" s="307">
        <v>-849.82</v>
      </c>
      <c r="G36" s="18"/>
      <c r="H36" s="13"/>
      <c r="I36" s="13"/>
      <c r="J36" s="307">
        <v>0</v>
      </c>
      <c r="K36" s="18"/>
    </row>
    <row r="37" spans="1:11" ht="15" customHeight="1">
      <c r="A37" s="107"/>
      <c r="B37" s="298">
        <v>11</v>
      </c>
      <c r="C37" s="320">
        <v>257.23</v>
      </c>
      <c r="D37" s="319">
        <v>461.64</v>
      </c>
      <c r="E37" s="319">
        <v>130.94999999999999</v>
      </c>
      <c r="F37" s="307">
        <v>-849.82</v>
      </c>
      <c r="G37" s="18"/>
      <c r="H37" s="13"/>
      <c r="I37" s="13"/>
      <c r="J37" s="307">
        <v>0</v>
      </c>
      <c r="K37" s="18"/>
    </row>
    <row r="38" spans="1:11" ht="15" customHeight="1">
      <c r="A38" s="107"/>
      <c r="B38" s="298">
        <v>12</v>
      </c>
      <c r="C38" s="320">
        <v>257.23</v>
      </c>
      <c r="D38" s="319">
        <v>461.64</v>
      </c>
      <c r="E38" s="319">
        <v>130.94999999999999</v>
      </c>
      <c r="F38" s="318">
        <v>-849.82</v>
      </c>
      <c r="G38" s="18"/>
      <c r="H38" s="13"/>
      <c r="I38" s="13"/>
      <c r="J38" s="307">
        <v>0</v>
      </c>
      <c r="K38" s="18"/>
    </row>
    <row r="39" spans="1:11" ht="15" customHeight="1" thickBot="1">
      <c r="A39" s="107" t="s">
        <v>539</v>
      </c>
      <c r="B39" s="295"/>
      <c r="C39" s="303"/>
      <c r="D39" s="302"/>
      <c r="E39" s="302"/>
      <c r="F39" s="322">
        <v>-10197.84</v>
      </c>
      <c r="G39" s="18"/>
      <c r="H39" s="13"/>
      <c r="I39" s="13"/>
      <c r="J39" s="307">
        <v>0</v>
      </c>
      <c r="K39" s="18"/>
    </row>
    <row r="40" spans="1:11" ht="15" customHeight="1" thickTop="1">
      <c r="A40" s="300">
        <v>2023</v>
      </c>
      <c r="B40" s="298">
        <v>1</v>
      </c>
      <c r="C40" s="320">
        <v>257.23</v>
      </c>
      <c r="D40" s="319">
        <v>461.64</v>
      </c>
      <c r="E40" s="319">
        <v>130.94999999999999</v>
      </c>
      <c r="F40" s="321">
        <v>-849.82</v>
      </c>
      <c r="G40" s="18"/>
      <c r="H40" s="13"/>
      <c r="I40" s="13"/>
      <c r="J40" s="307">
        <v>0</v>
      </c>
      <c r="K40" s="18"/>
    </row>
    <row r="41" spans="1:11" ht="15" customHeight="1">
      <c r="A41" s="107"/>
      <c r="B41" s="298">
        <v>2</v>
      </c>
      <c r="C41" s="320">
        <v>257.23</v>
      </c>
      <c r="D41" s="319">
        <v>461.64</v>
      </c>
      <c r="E41" s="319">
        <v>130.94999999999999</v>
      </c>
      <c r="F41" s="307">
        <v>-849.82</v>
      </c>
      <c r="G41" s="18"/>
      <c r="H41" s="13"/>
      <c r="I41" s="13"/>
      <c r="J41" s="307">
        <v>0</v>
      </c>
      <c r="K41" s="18"/>
    </row>
    <row r="42" spans="1:11" ht="15" customHeight="1">
      <c r="A42" s="107"/>
      <c r="B42" s="298">
        <v>3</v>
      </c>
      <c r="C42" s="320">
        <v>257.23</v>
      </c>
      <c r="D42" s="319">
        <v>461.64</v>
      </c>
      <c r="E42" s="319">
        <v>130.94999999999999</v>
      </c>
      <c r="F42" s="307">
        <v>-849.82</v>
      </c>
      <c r="G42" s="18"/>
      <c r="H42" s="13"/>
      <c r="I42" s="13"/>
      <c r="J42" s="307">
        <v>0</v>
      </c>
      <c r="K42" s="18"/>
    </row>
    <row r="43" spans="1:11" ht="15" customHeight="1">
      <c r="A43" s="107"/>
      <c r="B43" s="298">
        <v>4</v>
      </c>
      <c r="C43" s="320">
        <v>257.23</v>
      </c>
      <c r="D43" s="319">
        <v>461.64</v>
      </c>
      <c r="E43" s="319">
        <v>130.94999999999999</v>
      </c>
      <c r="F43" s="307">
        <v>-849.82</v>
      </c>
      <c r="G43" s="18"/>
      <c r="H43" s="13"/>
      <c r="I43" s="13"/>
      <c r="J43" s="307">
        <v>0</v>
      </c>
      <c r="K43" s="18"/>
    </row>
    <row r="44" spans="1:11" ht="15" customHeight="1">
      <c r="A44" s="107"/>
      <c r="B44" s="298">
        <v>5</v>
      </c>
      <c r="C44" s="320">
        <v>257.23</v>
      </c>
      <c r="D44" s="319">
        <v>461.64</v>
      </c>
      <c r="E44" s="319">
        <v>130.94999999999999</v>
      </c>
      <c r="F44" s="307">
        <v>-849.82</v>
      </c>
      <c r="G44" s="18"/>
      <c r="H44" s="13"/>
      <c r="I44" s="13"/>
      <c r="J44" s="307">
        <v>0</v>
      </c>
      <c r="K44" s="18"/>
    </row>
    <row r="45" spans="1:11" ht="15" customHeight="1">
      <c r="A45" s="107"/>
      <c r="B45" s="298">
        <v>6</v>
      </c>
      <c r="C45" s="320">
        <v>257.23</v>
      </c>
      <c r="D45" s="319">
        <v>461.64</v>
      </c>
      <c r="E45" s="319">
        <v>130.94999999999999</v>
      </c>
      <c r="F45" s="307">
        <v>-849.82</v>
      </c>
      <c r="G45" s="18"/>
      <c r="H45" s="13"/>
      <c r="I45" s="13"/>
      <c r="J45" s="307">
        <v>0</v>
      </c>
      <c r="K45" s="18"/>
    </row>
    <row r="46" spans="1:11" ht="15" customHeight="1">
      <c r="A46" s="107"/>
      <c r="B46" s="298">
        <v>7</v>
      </c>
      <c r="C46" s="320">
        <v>257.23</v>
      </c>
      <c r="D46" s="319">
        <v>461.64</v>
      </c>
      <c r="E46" s="319">
        <v>130.94999999999999</v>
      </c>
      <c r="F46" s="307">
        <v>-849.82</v>
      </c>
      <c r="G46" s="18"/>
      <c r="H46" s="13"/>
      <c r="I46" s="13"/>
      <c r="J46" s="307">
        <v>0</v>
      </c>
      <c r="K46" s="18"/>
    </row>
    <row r="47" spans="1:11" ht="15" customHeight="1">
      <c r="A47" s="107"/>
      <c r="B47" s="298">
        <v>8</v>
      </c>
      <c r="C47" s="320">
        <v>257.23</v>
      </c>
      <c r="D47" s="319">
        <v>461.64</v>
      </c>
      <c r="E47" s="319">
        <v>130.94999999999999</v>
      </c>
      <c r="F47" s="307">
        <v>-849.82</v>
      </c>
      <c r="G47" s="18"/>
      <c r="H47" s="13"/>
      <c r="I47" s="13"/>
      <c r="J47" s="307">
        <v>0</v>
      </c>
      <c r="K47" s="18"/>
    </row>
    <row r="48" spans="1:11" ht="15" customHeight="1">
      <c r="A48" s="107"/>
      <c r="B48" s="298">
        <v>9</v>
      </c>
      <c r="C48" s="320">
        <v>257.23</v>
      </c>
      <c r="D48" s="319">
        <v>461.64</v>
      </c>
      <c r="E48" s="319">
        <v>130.94999999999999</v>
      </c>
      <c r="F48" s="307">
        <v>-849.82</v>
      </c>
      <c r="G48" s="18"/>
      <c r="H48" s="13"/>
      <c r="I48" s="13"/>
      <c r="J48" s="307">
        <v>0</v>
      </c>
      <c r="K48" s="18"/>
    </row>
    <row r="49" spans="1:12" ht="15" customHeight="1">
      <c r="A49" s="107"/>
      <c r="B49" s="298">
        <v>10</v>
      </c>
      <c r="C49" s="320">
        <v>257.23</v>
      </c>
      <c r="D49" s="319">
        <v>461.64</v>
      </c>
      <c r="E49" s="319">
        <v>130.94999999999999</v>
      </c>
      <c r="F49" s="307">
        <v>-849.82</v>
      </c>
      <c r="G49" s="18"/>
      <c r="H49" s="13"/>
      <c r="I49" s="13"/>
      <c r="J49" s="307">
        <v>0</v>
      </c>
      <c r="K49" s="18"/>
    </row>
    <row r="50" spans="1:12" ht="15" customHeight="1">
      <c r="A50" s="107"/>
      <c r="B50" s="298">
        <v>11</v>
      </c>
      <c r="C50" s="320">
        <v>257.23</v>
      </c>
      <c r="D50" s="319">
        <v>461.64</v>
      </c>
      <c r="E50" s="319">
        <v>130.94999999999999</v>
      </c>
      <c r="F50" s="307">
        <v>-849.82</v>
      </c>
      <c r="G50" s="18"/>
      <c r="H50" s="13"/>
      <c r="I50" s="13"/>
      <c r="J50" s="307">
        <v>0</v>
      </c>
      <c r="K50" s="18"/>
    </row>
    <row r="51" spans="1:12" ht="15" customHeight="1">
      <c r="A51" s="107"/>
      <c r="B51" s="298">
        <v>12</v>
      </c>
      <c r="C51" s="320">
        <v>257.23</v>
      </c>
      <c r="D51" s="319">
        <v>461.64</v>
      </c>
      <c r="E51" s="319">
        <v>130.94999999999999</v>
      </c>
      <c r="F51" s="318">
        <v>-849.82</v>
      </c>
      <c r="G51" s="18"/>
      <c r="H51" s="13"/>
      <c r="I51" s="13"/>
      <c r="J51" s="307">
        <v>0</v>
      </c>
      <c r="K51" s="18"/>
    </row>
    <row r="52" spans="1:12" ht="15" customHeight="1" thickBot="1">
      <c r="A52" s="107" t="s">
        <v>538</v>
      </c>
      <c r="B52" s="295"/>
      <c r="C52" s="303"/>
      <c r="D52" s="302"/>
      <c r="E52" s="302"/>
      <c r="F52" s="322">
        <v>-10197.84</v>
      </c>
      <c r="G52" s="18"/>
      <c r="H52" s="13"/>
      <c r="I52" s="13"/>
      <c r="J52" s="307">
        <v>0</v>
      </c>
      <c r="K52" s="18"/>
    </row>
    <row r="53" spans="1:12" ht="15" customHeight="1" thickTop="1">
      <c r="A53" s="300">
        <v>2024</v>
      </c>
      <c r="B53" s="298">
        <v>1</v>
      </c>
      <c r="C53" s="320">
        <v>257.23</v>
      </c>
      <c r="D53" s="319">
        <v>461.64</v>
      </c>
      <c r="E53" s="319">
        <v>130.94999999999999</v>
      </c>
      <c r="F53" s="321">
        <v>-849.82</v>
      </c>
      <c r="G53" s="320">
        <v>536.62</v>
      </c>
      <c r="H53" s="319">
        <v>1194.0999999999999</v>
      </c>
      <c r="I53" s="319">
        <v>366.74</v>
      </c>
      <c r="J53" s="307">
        <v>-2097.46</v>
      </c>
      <c r="K53" s="18"/>
      <c r="L53" s="13"/>
    </row>
    <row r="54" spans="1:12" ht="15" customHeight="1">
      <c r="A54" s="107"/>
      <c r="B54" s="298">
        <v>2</v>
      </c>
      <c r="C54" s="320">
        <v>257.23</v>
      </c>
      <c r="D54" s="319">
        <v>461.64</v>
      </c>
      <c r="E54" s="319">
        <v>130.94999999999999</v>
      </c>
      <c r="F54" s="307">
        <v>-849.82</v>
      </c>
      <c r="G54" s="320">
        <v>1039.71</v>
      </c>
      <c r="H54" s="319">
        <v>2313.5700000000002</v>
      </c>
      <c r="I54" s="319">
        <v>710.56</v>
      </c>
      <c r="J54" s="307">
        <v>-4063.84</v>
      </c>
      <c r="K54" s="18"/>
      <c r="L54" s="13"/>
    </row>
    <row r="55" spans="1:12" ht="15" customHeight="1">
      <c r="A55" s="107"/>
      <c r="B55" s="298">
        <v>3</v>
      </c>
      <c r="C55" s="320">
        <v>257.23</v>
      </c>
      <c r="D55" s="319">
        <v>461.64</v>
      </c>
      <c r="E55" s="319">
        <v>130.94999999999999</v>
      </c>
      <c r="F55" s="307">
        <v>-849.82</v>
      </c>
      <c r="G55" s="320">
        <v>1039.71</v>
      </c>
      <c r="H55" s="319">
        <v>2313.5700000000002</v>
      </c>
      <c r="I55" s="319">
        <v>710.56</v>
      </c>
      <c r="J55" s="307">
        <v>-4063.84</v>
      </c>
      <c r="K55" s="18"/>
      <c r="L55" s="13"/>
    </row>
    <row r="56" spans="1:12" ht="15" customHeight="1">
      <c r="A56" s="107"/>
      <c r="B56" s="298">
        <v>4</v>
      </c>
      <c r="C56" s="320">
        <v>257.23</v>
      </c>
      <c r="D56" s="319">
        <v>461.64</v>
      </c>
      <c r="E56" s="319">
        <v>130.94999999999999</v>
      </c>
      <c r="F56" s="307">
        <v>-849.82</v>
      </c>
      <c r="G56" s="320">
        <v>1039.71</v>
      </c>
      <c r="H56" s="319">
        <v>2313.5700000000002</v>
      </c>
      <c r="I56" s="319">
        <v>710.56</v>
      </c>
      <c r="J56" s="307">
        <v>-4063.84</v>
      </c>
      <c r="K56" s="18"/>
      <c r="L56" s="13"/>
    </row>
    <row r="57" spans="1:12" ht="15" customHeight="1">
      <c r="A57" s="107"/>
      <c r="B57" s="298">
        <v>5</v>
      </c>
      <c r="C57" s="320">
        <v>257.23</v>
      </c>
      <c r="D57" s="319">
        <v>461.64</v>
      </c>
      <c r="E57" s="319">
        <v>130.94999999999999</v>
      </c>
      <c r="F57" s="307">
        <v>-849.82</v>
      </c>
      <c r="G57" s="320">
        <v>1039.71</v>
      </c>
      <c r="H57" s="319">
        <v>2313.5700000000002</v>
      </c>
      <c r="I57" s="319">
        <v>710.56</v>
      </c>
      <c r="J57" s="307">
        <v>-4063.84</v>
      </c>
      <c r="K57" s="18"/>
      <c r="L57" s="13"/>
    </row>
    <row r="58" spans="1:12" ht="15" customHeight="1">
      <c r="A58" s="107"/>
      <c r="B58" s="298">
        <v>6</v>
      </c>
      <c r="C58" s="320">
        <v>257.23</v>
      </c>
      <c r="D58" s="319">
        <v>461.64</v>
      </c>
      <c r="E58" s="319">
        <v>130.94999999999999</v>
      </c>
      <c r="F58" s="307">
        <v>-849.82</v>
      </c>
      <c r="G58" s="320">
        <v>1039.71</v>
      </c>
      <c r="H58" s="319">
        <v>2313.5700000000002</v>
      </c>
      <c r="I58" s="319">
        <v>710.56</v>
      </c>
      <c r="J58" s="307">
        <v>-4063.84</v>
      </c>
      <c r="K58" s="18"/>
      <c r="L58" s="10">
        <f t="shared" ref="L58:L64" si="0">F58+J58</f>
        <v>-4913.66</v>
      </c>
    </row>
    <row r="59" spans="1:12" ht="15" customHeight="1">
      <c r="A59" s="107"/>
      <c r="B59" s="298">
        <v>7</v>
      </c>
      <c r="C59" s="320">
        <v>257.23</v>
      </c>
      <c r="D59" s="319">
        <v>461.64</v>
      </c>
      <c r="E59" s="319">
        <v>130.94999999999999</v>
      </c>
      <c r="F59" s="307">
        <v>-849.82</v>
      </c>
      <c r="G59" s="320">
        <v>1039.71</v>
      </c>
      <c r="H59" s="319">
        <v>2313.5700000000002</v>
      </c>
      <c r="I59" s="319">
        <v>710.56</v>
      </c>
      <c r="J59" s="307">
        <v>-4063.84</v>
      </c>
      <c r="K59" s="18"/>
      <c r="L59" s="10">
        <f t="shared" si="0"/>
        <v>-4913.66</v>
      </c>
    </row>
    <row r="60" spans="1:12" ht="15" customHeight="1">
      <c r="A60" s="107"/>
      <c r="B60" s="298">
        <v>8</v>
      </c>
      <c r="C60" s="320">
        <v>257.23</v>
      </c>
      <c r="D60" s="319">
        <v>461.64</v>
      </c>
      <c r="E60" s="319">
        <v>130.94999999999999</v>
      </c>
      <c r="F60" s="307">
        <v>-849.82</v>
      </c>
      <c r="G60" s="320">
        <v>1039.71</v>
      </c>
      <c r="H60" s="319">
        <v>2313.5700000000002</v>
      </c>
      <c r="I60" s="319">
        <v>710.56</v>
      </c>
      <c r="J60" s="307">
        <v>-4063.84</v>
      </c>
      <c r="K60" s="18"/>
      <c r="L60" s="10">
        <f t="shared" si="0"/>
        <v>-4913.66</v>
      </c>
    </row>
    <row r="61" spans="1:12" ht="15" customHeight="1">
      <c r="A61" s="107"/>
      <c r="B61" s="298">
        <v>9</v>
      </c>
      <c r="C61" s="320">
        <v>257.23</v>
      </c>
      <c r="D61" s="319">
        <v>461.64</v>
      </c>
      <c r="E61" s="319">
        <v>130.94999999999999</v>
      </c>
      <c r="F61" s="307">
        <v>-849.82</v>
      </c>
      <c r="G61" s="320">
        <v>1039.71</v>
      </c>
      <c r="H61" s="319">
        <v>2313.5700000000002</v>
      </c>
      <c r="I61" s="319">
        <v>710.56</v>
      </c>
      <c r="J61" s="307">
        <v>-4063.84</v>
      </c>
      <c r="K61" s="18"/>
      <c r="L61" s="10">
        <f t="shared" si="0"/>
        <v>-4913.66</v>
      </c>
    </row>
    <row r="62" spans="1:12" ht="15" customHeight="1">
      <c r="A62" s="107"/>
      <c r="B62" s="298">
        <v>10</v>
      </c>
      <c r="C62" s="320">
        <v>257.23</v>
      </c>
      <c r="D62" s="319">
        <v>461.64</v>
      </c>
      <c r="E62" s="319">
        <v>130.94999999999999</v>
      </c>
      <c r="F62" s="307">
        <v>-849.82</v>
      </c>
      <c r="G62" s="320">
        <v>1039.71</v>
      </c>
      <c r="H62" s="319">
        <v>2313.5700000000002</v>
      </c>
      <c r="I62" s="319">
        <v>710.56</v>
      </c>
      <c r="J62" s="307">
        <v>-4063.84</v>
      </c>
      <c r="K62" s="18"/>
      <c r="L62" s="10">
        <f t="shared" si="0"/>
        <v>-4913.66</v>
      </c>
    </row>
    <row r="63" spans="1:12" ht="15" customHeight="1">
      <c r="A63" s="107"/>
      <c r="B63" s="298">
        <v>11</v>
      </c>
      <c r="C63" s="320">
        <v>257.23</v>
      </c>
      <c r="D63" s="319">
        <v>461.64</v>
      </c>
      <c r="E63" s="319">
        <v>130.94999999999999</v>
      </c>
      <c r="F63" s="307">
        <v>-849.82</v>
      </c>
      <c r="G63" s="320">
        <v>1039.71</v>
      </c>
      <c r="H63" s="319">
        <v>2313.5700000000002</v>
      </c>
      <c r="I63" s="319">
        <v>710.56</v>
      </c>
      <c r="J63" s="307">
        <v>-4063.84</v>
      </c>
      <c r="K63" s="18"/>
      <c r="L63" s="10">
        <f t="shared" si="0"/>
        <v>-4913.66</v>
      </c>
    </row>
    <row r="64" spans="1:12" ht="15" customHeight="1">
      <c r="A64" s="107"/>
      <c r="B64" s="298">
        <v>12</v>
      </c>
      <c r="C64" s="320">
        <v>257.23</v>
      </c>
      <c r="D64" s="319">
        <v>461.64</v>
      </c>
      <c r="E64" s="319">
        <v>130.94999999999999</v>
      </c>
      <c r="F64" s="318">
        <v>-849.82</v>
      </c>
      <c r="G64" s="320">
        <v>1039.71</v>
      </c>
      <c r="H64" s="319">
        <v>2313.5700000000002</v>
      </c>
      <c r="I64" s="319">
        <v>710.56</v>
      </c>
      <c r="J64" s="318">
        <v>-4063.84</v>
      </c>
      <c r="K64" s="18"/>
      <c r="L64" s="10">
        <f t="shared" si="0"/>
        <v>-4913.66</v>
      </c>
    </row>
    <row r="65" spans="1:13" ht="15" customHeight="1" thickBot="1">
      <c r="A65" s="107" t="s">
        <v>537</v>
      </c>
      <c r="B65" s="295"/>
      <c r="C65" s="303"/>
      <c r="D65" s="302"/>
      <c r="E65" s="302"/>
      <c r="F65" s="322">
        <v>-10197.84</v>
      </c>
      <c r="G65" s="303"/>
      <c r="H65" s="302"/>
      <c r="I65" s="302"/>
      <c r="J65" s="322">
        <v>-46799.7</v>
      </c>
      <c r="K65" s="18"/>
      <c r="L65" s="13"/>
      <c r="M65" s="13"/>
    </row>
    <row r="66" spans="1:13" ht="15" customHeight="1" thickTop="1">
      <c r="A66" s="300">
        <v>2025</v>
      </c>
      <c r="B66" s="298">
        <v>1</v>
      </c>
      <c r="C66" s="320">
        <v>257.23</v>
      </c>
      <c r="D66" s="319">
        <v>461.64</v>
      </c>
      <c r="E66" s="319">
        <v>130.94999999999999</v>
      </c>
      <c r="F66" s="321">
        <v>-849.82</v>
      </c>
      <c r="G66" s="320">
        <v>1039.71</v>
      </c>
      <c r="H66" s="319">
        <v>2313.5700000000002</v>
      </c>
      <c r="I66" s="319">
        <v>710.56</v>
      </c>
      <c r="J66" s="321">
        <v>-4063.84</v>
      </c>
      <c r="K66" s="18"/>
      <c r="L66" s="10">
        <f>F66+J66</f>
        <v>-4913.66</v>
      </c>
    </row>
    <row r="67" spans="1:13" ht="15" customHeight="1">
      <c r="A67" s="107"/>
      <c r="B67" s="298">
        <v>2</v>
      </c>
      <c r="C67" s="320">
        <v>257.23</v>
      </c>
      <c r="D67" s="319">
        <v>461.64</v>
      </c>
      <c r="E67" s="319">
        <v>130.94999999999999</v>
      </c>
      <c r="F67" s="307">
        <v>-849.82</v>
      </c>
      <c r="G67" s="320">
        <v>1039.71</v>
      </c>
      <c r="H67" s="319">
        <v>2313.5700000000002</v>
      </c>
      <c r="I67" s="319">
        <v>710.56</v>
      </c>
      <c r="J67" s="307">
        <v>-4063.84</v>
      </c>
      <c r="K67" s="18"/>
      <c r="L67" s="10">
        <f>F67+J67</f>
        <v>-4913.66</v>
      </c>
    </row>
    <row r="68" spans="1:13" ht="15" customHeight="1">
      <c r="A68" s="107"/>
      <c r="B68" s="298">
        <v>3</v>
      </c>
      <c r="C68" s="320">
        <v>257.23</v>
      </c>
      <c r="D68" s="319">
        <v>461.64</v>
      </c>
      <c r="E68" s="319">
        <v>130.94999999999999</v>
      </c>
      <c r="F68" s="307">
        <v>-849.82</v>
      </c>
      <c r="G68" s="320">
        <v>1039.71</v>
      </c>
      <c r="H68" s="319">
        <v>2313.5700000000002</v>
      </c>
      <c r="I68" s="319">
        <v>710.56</v>
      </c>
      <c r="J68" s="307">
        <v>-4063.84</v>
      </c>
      <c r="K68" s="18"/>
      <c r="L68" s="10">
        <f>F68+J68</f>
        <v>-4913.66</v>
      </c>
    </row>
    <row r="69" spans="1:13" ht="15" customHeight="1">
      <c r="A69" s="107"/>
      <c r="B69" s="298">
        <v>4</v>
      </c>
      <c r="C69" s="320">
        <v>257.23</v>
      </c>
      <c r="D69" s="319">
        <v>461.64</v>
      </c>
      <c r="E69" s="319">
        <v>130.94999999999999</v>
      </c>
      <c r="F69" s="307">
        <v>-849.82</v>
      </c>
      <c r="G69" s="320">
        <v>1039.71</v>
      </c>
      <c r="H69" s="319">
        <v>2313.5700000000002</v>
      </c>
      <c r="I69" s="319">
        <v>710.56</v>
      </c>
      <c r="J69" s="307">
        <v>-4063.84</v>
      </c>
      <c r="K69" s="18"/>
      <c r="L69" s="10">
        <f>F69+J69</f>
        <v>-4913.66</v>
      </c>
    </row>
    <row r="70" spans="1:13" ht="15" customHeight="1">
      <c r="A70" s="107"/>
      <c r="B70" s="298">
        <v>5</v>
      </c>
      <c r="C70" s="320">
        <v>257.23</v>
      </c>
      <c r="D70" s="319">
        <v>461.64</v>
      </c>
      <c r="E70" s="319">
        <v>130.94999999999999</v>
      </c>
      <c r="F70" s="307">
        <v>-849.82</v>
      </c>
      <c r="G70" s="320">
        <v>1039.71</v>
      </c>
      <c r="H70" s="319">
        <v>2313.5700000000002</v>
      </c>
      <c r="I70" s="319">
        <v>710.56</v>
      </c>
      <c r="J70" s="307">
        <v>-4063.84</v>
      </c>
      <c r="K70" s="18"/>
      <c r="L70" s="10">
        <f>F70+J70</f>
        <v>-4913.66</v>
      </c>
    </row>
    <row r="71" spans="1:13" ht="15" customHeight="1" thickBot="1">
      <c r="A71" s="107"/>
      <c r="B71" s="298">
        <v>6</v>
      </c>
      <c r="C71" s="320">
        <v>257.23</v>
      </c>
      <c r="D71" s="319">
        <v>461.64</v>
      </c>
      <c r="E71" s="319">
        <v>130.94999999999999</v>
      </c>
      <c r="F71" s="307">
        <v>-849.82</v>
      </c>
      <c r="G71" s="320">
        <v>1039.71</v>
      </c>
      <c r="H71" s="319">
        <v>2313.5700000000002</v>
      </c>
      <c r="I71" s="319">
        <v>710.56</v>
      </c>
      <c r="J71" s="307">
        <v>-4063.84</v>
      </c>
      <c r="K71" s="18"/>
      <c r="L71" s="323">
        <f>SUM(L58:L70)</f>
        <v>-58963.920000000013</v>
      </c>
      <c r="M71" s="13" t="s">
        <v>551</v>
      </c>
    </row>
    <row r="72" spans="1:13" ht="15" customHeight="1" thickTop="1">
      <c r="A72" s="107"/>
      <c r="B72" s="298">
        <v>7</v>
      </c>
      <c r="C72" s="320">
        <v>257.23</v>
      </c>
      <c r="D72" s="319">
        <v>461.64</v>
      </c>
      <c r="E72" s="319">
        <v>130.94999999999999</v>
      </c>
      <c r="F72" s="307">
        <v>-849.82</v>
      </c>
      <c r="G72" s="320">
        <v>1039.71</v>
      </c>
      <c r="H72" s="319">
        <v>2313.5700000000002</v>
      </c>
      <c r="I72" s="319">
        <v>710.56</v>
      </c>
      <c r="J72" s="307">
        <v>-4063.84</v>
      </c>
      <c r="K72" s="18"/>
      <c r="L72" s="22"/>
    </row>
    <row r="73" spans="1:13" ht="15" customHeight="1">
      <c r="A73" s="107"/>
      <c r="B73" s="298">
        <v>8</v>
      </c>
      <c r="C73" s="320">
        <v>257.23</v>
      </c>
      <c r="D73" s="319">
        <v>461.64</v>
      </c>
      <c r="E73" s="319">
        <v>130.94999999999999</v>
      </c>
      <c r="F73" s="307">
        <v>-849.82</v>
      </c>
      <c r="G73" s="320">
        <v>1039.71</v>
      </c>
      <c r="H73" s="319">
        <v>2313.5700000000002</v>
      </c>
      <c r="I73" s="319">
        <v>710.56</v>
      </c>
      <c r="J73" s="307">
        <v>-4063.84</v>
      </c>
      <c r="K73" s="18"/>
      <c r="L73" s="13"/>
    </row>
    <row r="74" spans="1:13" ht="15" customHeight="1">
      <c r="A74" s="107"/>
      <c r="B74" s="298">
        <v>9</v>
      </c>
      <c r="C74" s="320">
        <v>257.23</v>
      </c>
      <c r="D74" s="319">
        <v>461.64</v>
      </c>
      <c r="E74" s="319">
        <v>130.94999999999999</v>
      </c>
      <c r="F74" s="307">
        <v>-849.82</v>
      </c>
      <c r="G74" s="320">
        <v>1039.71</v>
      </c>
      <c r="H74" s="319">
        <v>2313.5700000000002</v>
      </c>
      <c r="I74" s="319">
        <v>710.56</v>
      </c>
      <c r="J74" s="307">
        <v>-4063.84</v>
      </c>
      <c r="K74" s="18"/>
      <c r="L74" s="13"/>
    </row>
    <row r="75" spans="1:13" ht="15" customHeight="1">
      <c r="A75" s="107"/>
      <c r="B75" s="298">
        <v>10</v>
      </c>
      <c r="C75" s="320">
        <v>257.23</v>
      </c>
      <c r="D75" s="319">
        <v>461.64</v>
      </c>
      <c r="E75" s="319">
        <v>130.94999999999999</v>
      </c>
      <c r="F75" s="307">
        <v>-849.82</v>
      </c>
      <c r="G75" s="320">
        <v>1039.71</v>
      </c>
      <c r="H75" s="319">
        <v>2313.5700000000002</v>
      </c>
      <c r="I75" s="319">
        <v>710.56</v>
      </c>
      <c r="J75" s="307">
        <v>-4063.84</v>
      </c>
      <c r="K75" s="18"/>
      <c r="L75" s="13"/>
    </row>
    <row r="76" spans="1:13" ht="15" customHeight="1">
      <c r="A76" s="107"/>
      <c r="B76" s="298">
        <v>11</v>
      </c>
      <c r="C76" s="320">
        <v>257.23</v>
      </c>
      <c r="D76" s="319">
        <v>461.64</v>
      </c>
      <c r="E76" s="319">
        <v>130.94999999999999</v>
      </c>
      <c r="F76" s="307">
        <v>-849.82</v>
      </c>
      <c r="G76" s="320">
        <v>1039.71</v>
      </c>
      <c r="H76" s="319">
        <v>2313.5700000000002</v>
      </c>
      <c r="I76" s="319">
        <v>710.56</v>
      </c>
      <c r="J76" s="307">
        <v>-4063.84</v>
      </c>
      <c r="K76" s="18"/>
      <c r="L76" s="13"/>
    </row>
    <row r="77" spans="1:13" ht="15" customHeight="1">
      <c r="A77" s="107"/>
      <c r="B77" s="298">
        <v>12</v>
      </c>
      <c r="C77" s="320">
        <v>257.23</v>
      </c>
      <c r="D77" s="319">
        <v>461.64</v>
      </c>
      <c r="E77" s="319">
        <v>130.94999999999999</v>
      </c>
      <c r="F77" s="318">
        <v>-849.82</v>
      </c>
      <c r="G77" s="320">
        <v>1039.71</v>
      </c>
      <c r="H77" s="319">
        <v>2313.5700000000002</v>
      </c>
      <c r="I77" s="319">
        <v>710.56</v>
      </c>
      <c r="J77" s="318">
        <v>-4063.84</v>
      </c>
      <c r="K77" s="18"/>
      <c r="L77" s="13"/>
    </row>
    <row r="78" spans="1:13" ht="15" customHeight="1" thickBot="1">
      <c r="A78" s="107" t="s">
        <v>535</v>
      </c>
      <c r="B78" s="295"/>
      <c r="C78" s="303"/>
      <c r="D78" s="302"/>
      <c r="E78" s="302"/>
      <c r="F78" s="322">
        <v>-10197.84</v>
      </c>
      <c r="G78" s="303"/>
      <c r="H78" s="302"/>
      <c r="I78" s="302"/>
      <c r="J78" s="322">
        <v>-48766.080000000002</v>
      </c>
      <c r="K78" s="18"/>
    </row>
    <row r="79" spans="1:13" ht="15" customHeight="1" thickTop="1">
      <c r="A79" s="300">
        <v>2026</v>
      </c>
      <c r="B79" s="298">
        <v>1</v>
      </c>
      <c r="C79" s="320">
        <v>108.14</v>
      </c>
      <c r="D79" s="319">
        <v>193.3</v>
      </c>
      <c r="E79" s="319">
        <v>54.91</v>
      </c>
      <c r="F79" s="321">
        <v>-356.35</v>
      </c>
      <c r="G79" s="320">
        <v>1039.71</v>
      </c>
      <c r="H79" s="319">
        <v>2313.5700000000002</v>
      </c>
      <c r="I79" s="319">
        <v>710.56</v>
      </c>
      <c r="J79" s="321">
        <v>-4063.84</v>
      </c>
      <c r="K79" s="18"/>
      <c r="L79" s="13"/>
    </row>
    <row r="80" spans="1:13" ht="15" customHeight="1">
      <c r="A80" s="107"/>
      <c r="B80" s="298">
        <v>2</v>
      </c>
      <c r="C80" s="320">
        <v>0</v>
      </c>
      <c r="D80" s="319">
        <v>0</v>
      </c>
      <c r="E80" s="319">
        <v>0</v>
      </c>
      <c r="F80" s="307">
        <v>0</v>
      </c>
      <c r="G80" s="320">
        <v>1039.71</v>
      </c>
      <c r="H80" s="319">
        <v>2313.5700000000002</v>
      </c>
      <c r="I80" s="319">
        <v>710.56</v>
      </c>
      <c r="J80" s="307">
        <v>-4063.84</v>
      </c>
      <c r="K80" s="18"/>
      <c r="L80" s="13"/>
    </row>
    <row r="81" spans="1:13" ht="15" customHeight="1">
      <c r="A81" s="107"/>
      <c r="B81" s="298">
        <v>3</v>
      </c>
      <c r="C81" s="320">
        <v>0</v>
      </c>
      <c r="D81" s="319">
        <v>0</v>
      </c>
      <c r="E81" s="319">
        <v>0</v>
      </c>
      <c r="F81" s="307">
        <v>0</v>
      </c>
      <c r="G81" s="320">
        <v>1039.71</v>
      </c>
      <c r="H81" s="319">
        <v>2313.5700000000002</v>
      </c>
      <c r="I81" s="319">
        <v>710.56</v>
      </c>
      <c r="J81" s="307">
        <v>-4063.84</v>
      </c>
      <c r="K81" s="18"/>
      <c r="L81" s="13"/>
    </row>
    <row r="82" spans="1:13" ht="15" customHeight="1">
      <c r="A82" s="107"/>
      <c r="B82" s="298">
        <v>4</v>
      </c>
      <c r="C82" s="320">
        <v>0</v>
      </c>
      <c r="D82" s="319">
        <v>0</v>
      </c>
      <c r="E82" s="319">
        <v>0</v>
      </c>
      <c r="F82" s="307">
        <v>0</v>
      </c>
      <c r="G82" s="320">
        <v>1039.71</v>
      </c>
      <c r="H82" s="319">
        <v>2313.5700000000002</v>
      </c>
      <c r="I82" s="319">
        <v>710.56</v>
      </c>
      <c r="J82" s="307">
        <v>-4063.84</v>
      </c>
      <c r="K82" s="18"/>
      <c r="L82" s="13"/>
      <c r="M82" s="13"/>
    </row>
    <row r="83" spans="1:13" ht="15" customHeight="1">
      <c r="A83" s="107"/>
      <c r="B83" s="298">
        <v>5</v>
      </c>
      <c r="C83" s="320">
        <v>0</v>
      </c>
      <c r="D83" s="319">
        <v>0</v>
      </c>
      <c r="E83" s="319">
        <v>0</v>
      </c>
      <c r="F83" s="307">
        <v>0</v>
      </c>
      <c r="G83" s="320">
        <v>1039.71</v>
      </c>
      <c r="H83" s="319">
        <v>2313.5700000000002</v>
      </c>
      <c r="I83" s="319">
        <v>710.56</v>
      </c>
      <c r="J83" s="307">
        <v>-4063.84</v>
      </c>
      <c r="K83" s="18"/>
    </row>
    <row r="84" spans="1:13" ht="15" customHeight="1">
      <c r="A84" s="107"/>
      <c r="B84" s="298">
        <v>6</v>
      </c>
      <c r="C84" s="320">
        <v>0</v>
      </c>
      <c r="D84" s="319">
        <v>0</v>
      </c>
      <c r="E84" s="319">
        <v>0</v>
      </c>
      <c r="F84" s="307">
        <v>0</v>
      </c>
      <c r="G84" s="320">
        <v>1039.71</v>
      </c>
      <c r="H84" s="319">
        <v>2313.5700000000002</v>
      </c>
      <c r="I84" s="319">
        <v>710.56</v>
      </c>
      <c r="J84" s="307">
        <v>-4063.84</v>
      </c>
      <c r="K84" s="18"/>
    </row>
    <row r="85" spans="1:13" ht="15" customHeight="1">
      <c r="A85" s="107"/>
      <c r="B85" s="298">
        <v>7</v>
      </c>
      <c r="C85" s="320">
        <v>0</v>
      </c>
      <c r="D85" s="319">
        <v>0</v>
      </c>
      <c r="E85" s="319">
        <v>0</v>
      </c>
      <c r="F85" s="307">
        <v>0</v>
      </c>
      <c r="G85" s="320">
        <v>1039.71</v>
      </c>
      <c r="H85" s="319">
        <v>2313.5700000000002</v>
      </c>
      <c r="I85" s="319">
        <v>710.56</v>
      </c>
      <c r="J85" s="307">
        <v>-4063.84</v>
      </c>
      <c r="K85" s="18"/>
    </row>
    <row r="86" spans="1:13" ht="15" customHeight="1">
      <c r="A86" s="107"/>
      <c r="B86" s="298">
        <v>8</v>
      </c>
      <c r="C86" s="320">
        <v>0</v>
      </c>
      <c r="D86" s="319">
        <v>0</v>
      </c>
      <c r="E86" s="319">
        <v>0</v>
      </c>
      <c r="F86" s="307">
        <v>0</v>
      </c>
      <c r="G86" s="320">
        <v>1039.71</v>
      </c>
      <c r="H86" s="319">
        <v>2313.5700000000002</v>
      </c>
      <c r="I86" s="319">
        <v>710.56</v>
      </c>
      <c r="J86" s="307">
        <v>-4063.84</v>
      </c>
      <c r="K86" s="18"/>
    </row>
    <row r="87" spans="1:13" ht="15" customHeight="1">
      <c r="A87" s="107"/>
      <c r="B87" s="298">
        <v>9</v>
      </c>
      <c r="C87" s="320">
        <v>0</v>
      </c>
      <c r="D87" s="319">
        <v>0</v>
      </c>
      <c r="E87" s="319">
        <v>0</v>
      </c>
      <c r="F87" s="307">
        <v>0</v>
      </c>
      <c r="G87" s="320">
        <v>1039.71</v>
      </c>
      <c r="H87" s="319">
        <v>2313.5700000000002</v>
      </c>
      <c r="I87" s="319">
        <v>710.56</v>
      </c>
      <c r="J87" s="307">
        <v>-4063.84</v>
      </c>
      <c r="K87" s="18"/>
    </row>
    <row r="88" spans="1:13" ht="15" customHeight="1">
      <c r="A88" s="107"/>
      <c r="B88" s="298">
        <v>10</v>
      </c>
      <c r="C88" s="320">
        <v>0</v>
      </c>
      <c r="D88" s="319">
        <v>0</v>
      </c>
      <c r="E88" s="319">
        <v>0</v>
      </c>
      <c r="F88" s="307">
        <v>0</v>
      </c>
      <c r="G88" s="320">
        <v>1039.71</v>
      </c>
      <c r="H88" s="319">
        <v>2313.5700000000002</v>
      </c>
      <c r="I88" s="319">
        <v>710.56</v>
      </c>
      <c r="J88" s="307">
        <v>-4063.84</v>
      </c>
      <c r="K88" s="18"/>
    </row>
    <row r="89" spans="1:13" ht="15" customHeight="1">
      <c r="A89" s="107"/>
      <c r="B89" s="298">
        <v>11</v>
      </c>
      <c r="C89" s="320">
        <v>0</v>
      </c>
      <c r="D89" s="319">
        <v>0</v>
      </c>
      <c r="E89" s="319">
        <v>0</v>
      </c>
      <c r="F89" s="307">
        <v>0</v>
      </c>
      <c r="G89" s="320">
        <v>1039.71</v>
      </c>
      <c r="H89" s="319">
        <v>2313.5700000000002</v>
      </c>
      <c r="I89" s="319">
        <v>710.56</v>
      </c>
      <c r="J89" s="307">
        <v>-4063.84</v>
      </c>
      <c r="K89" s="18"/>
    </row>
    <row r="90" spans="1:13" ht="15" customHeight="1">
      <c r="A90" s="107"/>
      <c r="B90" s="298">
        <v>12</v>
      </c>
      <c r="C90" s="320">
        <v>0</v>
      </c>
      <c r="D90" s="319">
        <v>0</v>
      </c>
      <c r="E90" s="319">
        <v>0</v>
      </c>
      <c r="F90" s="318">
        <v>0</v>
      </c>
      <c r="G90" s="320">
        <v>1039.71</v>
      </c>
      <c r="H90" s="319">
        <v>2313.5700000000002</v>
      </c>
      <c r="I90" s="319">
        <v>710.56</v>
      </c>
      <c r="J90" s="318">
        <v>-4063.84</v>
      </c>
      <c r="K90" s="18"/>
    </row>
    <row r="91" spans="1:13" ht="15" customHeight="1" thickBot="1">
      <c r="A91" s="107" t="s">
        <v>533</v>
      </c>
      <c r="B91" s="295"/>
      <c r="C91" s="303"/>
      <c r="D91" s="302"/>
      <c r="E91" s="302"/>
      <c r="F91" s="322">
        <v>-356.35</v>
      </c>
      <c r="G91" s="303"/>
      <c r="H91" s="302"/>
      <c r="I91" s="302"/>
      <c r="J91" s="322">
        <v>-48766.080000000002</v>
      </c>
      <c r="K91" s="18"/>
    </row>
    <row r="92" spans="1:13" ht="15" customHeight="1" thickTop="1">
      <c r="A92" s="300">
        <v>2027</v>
      </c>
      <c r="B92" s="298">
        <v>1</v>
      </c>
      <c r="C92" s="320">
        <v>0</v>
      </c>
      <c r="D92" s="319">
        <v>0</v>
      </c>
      <c r="E92" s="319">
        <v>0</v>
      </c>
      <c r="F92" s="321">
        <v>0</v>
      </c>
      <c r="G92" s="320">
        <v>1039.71</v>
      </c>
      <c r="H92" s="319">
        <v>2313.5700000000002</v>
      </c>
      <c r="I92" s="319">
        <v>710.56</v>
      </c>
      <c r="J92" s="321">
        <v>-4063.84</v>
      </c>
      <c r="K92" s="18"/>
    </row>
    <row r="93" spans="1:13" ht="15" customHeight="1">
      <c r="A93" s="107"/>
      <c r="B93" s="298">
        <v>2</v>
      </c>
      <c r="C93" s="320">
        <v>0</v>
      </c>
      <c r="D93" s="319">
        <v>0</v>
      </c>
      <c r="E93" s="319">
        <v>0</v>
      </c>
      <c r="F93" s="307">
        <v>0</v>
      </c>
      <c r="G93" s="320">
        <v>1039.71</v>
      </c>
      <c r="H93" s="319">
        <v>2313.5700000000002</v>
      </c>
      <c r="I93" s="319">
        <v>710.56</v>
      </c>
      <c r="J93" s="307">
        <v>-4063.84</v>
      </c>
      <c r="K93" s="18"/>
    </row>
    <row r="94" spans="1:13" ht="15" customHeight="1">
      <c r="A94" s="107"/>
      <c r="B94" s="298">
        <v>3</v>
      </c>
      <c r="C94" s="320">
        <v>0</v>
      </c>
      <c r="D94" s="319">
        <v>0</v>
      </c>
      <c r="E94" s="319">
        <v>0</v>
      </c>
      <c r="F94" s="307">
        <v>0</v>
      </c>
      <c r="G94" s="320">
        <v>1039.71</v>
      </c>
      <c r="H94" s="319">
        <v>2313.5700000000002</v>
      </c>
      <c r="I94" s="319">
        <v>710.56</v>
      </c>
      <c r="J94" s="307">
        <v>-4063.84</v>
      </c>
      <c r="K94" s="18"/>
    </row>
    <row r="95" spans="1:13" ht="15" customHeight="1">
      <c r="A95" s="107"/>
      <c r="B95" s="298">
        <v>4</v>
      </c>
      <c r="C95" s="320">
        <v>0</v>
      </c>
      <c r="D95" s="319">
        <v>0</v>
      </c>
      <c r="E95" s="319">
        <v>0</v>
      </c>
      <c r="F95" s="307">
        <v>0</v>
      </c>
      <c r="G95" s="320">
        <v>1039.71</v>
      </c>
      <c r="H95" s="319">
        <v>2313.5700000000002</v>
      </c>
      <c r="I95" s="319">
        <v>710.56</v>
      </c>
      <c r="J95" s="307">
        <v>-4063.84</v>
      </c>
      <c r="K95" s="18"/>
    </row>
    <row r="96" spans="1:13" ht="15" customHeight="1">
      <c r="A96" s="107"/>
      <c r="B96" s="298">
        <v>5</v>
      </c>
      <c r="C96" s="320">
        <v>0</v>
      </c>
      <c r="D96" s="319">
        <v>0</v>
      </c>
      <c r="E96" s="319">
        <v>0</v>
      </c>
      <c r="F96" s="307">
        <v>0</v>
      </c>
      <c r="G96" s="320">
        <v>1039.71</v>
      </c>
      <c r="H96" s="319">
        <v>2313.5700000000002</v>
      </c>
      <c r="I96" s="319">
        <v>710.56</v>
      </c>
      <c r="J96" s="307">
        <v>-4063.84</v>
      </c>
      <c r="K96" s="18"/>
    </row>
    <row r="97" spans="1:11" ht="15" customHeight="1">
      <c r="A97" s="107"/>
      <c r="B97" s="298">
        <v>6</v>
      </c>
      <c r="C97" s="320">
        <v>0</v>
      </c>
      <c r="D97" s="319">
        <v>0</v>
      </c>
      <c r="E97" s="319">
        <v>0</v>
      </c>
      <c r="F97" s="307">
        <v>0</v>
      </c>
      <c r="G97" s="320">
        <v>1039.71</v>
      </c>
      <c r="H97" s="319">
        <v>2313.5700000000002</v>
      </c>
      <c r="I97" s="319">
        <v>710.56</v>
      </c>
      <c r="J97" s="307">
        <v>-4063.84</v>
      </c>
      <c r="K97" s="18"/>
    </row>
    <row r="98" spans="1:11" ht="15" customHeight="1">
      <c r="A98" s="107"/>
      <c r="B98" s="298">
        <v>7</v>
      </c>
      <c r="C98" s="320">
        <v>0</v>
      </c>
      <c r="D98" s="319">
        <v>0</v>
      </c>
      <c r="E98" s="319">
        <v>0</v>
      </c>
      <c r="F98" s="307">
        <v>0</v>
      </c>
      <c r="G98" s="320">
        <v>1039.71</v>
      </c>
      <c r="H98" s="319">
        <v>2313.5700000000002</v>
      </c>
      <c r="I98" s="319">
        <v>710.56</v>
      </c>
      <c r="J98" s="307">
        <v>-4063.84</v>
      </c>
      <c r="K98" s="18"/>
    </row>
    <row r="99" spans="1:11" ht="15" customHeight="1">
      <c r="A99" s="107"/>
      <c r="B99" s="298">
        <v>8</v>
      </c>
      <c r="C99" s="320">
        <v>0</v>
      </c>
      <c r="D99" s="319">
        <v>0</v>
      </c>
      <c r="E99" s="319">
        <v>0</v>
      </c>
      <c r="F99" s="307">
        <v>0</v>
      </c>
      <c r="G99" s="320">
        <v>1039.71</v>
      </c>
      <c r="H99" s="319">
        <v>2313.5700000000002</v>
      </c>
      <c r="I99" s="319">
        <v>710.56</v>
      </c>
      <c r="J99" s="307">
        <v>-4063.84</v>
      </c>
      <c r="K99" s="18"/>
    </row>
    <row r="100" spans="1:11" ht="15" customHeight="1">
      <c r="A100" s="107"/>
      <c r="B100" s="298">
        <v>9</v>
      </c>
      <c r="C100" s="320">
        <v>0</v>
      </c>
      <c r="D100" s="319">
        <v>0</v>
      </c>
      <c r="E100" s="319">
        <v>0</v>
      </c>
      <c r="F100" s="307">
        <v>0</v>
      </c>
      <c r="G100" s="320">
        <v>1039.71</v>
      </c>
      <c r="H100" s="319">
        <v>2313.5700000000002</v>
      </c>
      <c r="I100" s="319">
        <v>710.56</v>
      </c>
      <c r="J100" s="307">
        <v>-4063.84</v>
      </c>
      <c r="K100" s="18"/>
    </row>
    <row r="101" spans="1:11" ht="15" customHeight="1">
      <c r="A101" s="107"/>
      <c r="B101" s="298">
        <v>10</v>
      </c>
      <c r="C101" s="320">
        <v>0</v>
      </c>
      <c r="D101" s="319">
        <v>0</v>
      </c>
      <c r="E101" s="319">
        <v>0</v>
      </c>
      <c r="F101" s="307">
        <v>0</v>
      </c>
      <c r="G101" s="320">
        <v>1039.71</v>
      </c>
      <c r="H101" s="319">
        <v>2313.5700000000002</v>
      </c>
      <c r="I101" s="319">
        <v>710.56</v>
      </c>
      <c r="J101" s="307">
        <v>-4063.84</v>
      </c>
      <c r="K101" s="18"/>
    </row>
    <row r="102" spans="1:11" ht="15" customHeight="1">
      <c r="A102" s="107"/>
      <c r="B102" s="298">
        <v>11</v>
      </c>
      <c r="C102" s="320">
        <v>0</v>
      </c>
      <c r="D102" s="319">
        <v>0</v>
      </c>
      <c r="E102" s="319">
        <v>0</v>
      </c>
      <c r="F102" s="307">
        <v>0</v>
      </c>
      <c r="G102" s="320">
        <v>1039.71</v>
      </c>
      <c r="H102" s="319">
        <v>2313.5700000000002</v>
      </c>
      <c r="I102" s="319">
        <v>710.56</v>
      </c>
      <c r="J102" s="307">
        <v>-4063.84</v>
      </c>
      <c r="K102" s="18"/>
    </row>
    <row r="103" spans="1:11" ht="15" customHeight="1">
      <c r="A103" s="107"/>
      <c r="B103" s="298">
        <v>12</v>
      </c>
      <c r="C103" s="320">
        <v>0</v>
      </c>
      <c r="D103" s="319">
        <v>0</v>
      </c>
      <c r="E103" s="319">
        <v>0</v>
      </c>
      <c r="F103" s="307">
        <v>0</v>
      </c>
      <c r="G103" s="320">
        <v>1039.71</v>
      </c>
      <c r="H103" s="319">
        <v>2313.5700000000002</v>
      </c>
      <c r="I103" s="319">
        <v>710.56</v>
      </c>
      <c r="J103" s="318">
        <v>-4063.84</v>
      </c>
      <c r="K103" s="18"/>
    </row>
    <row r="104" spans="1:11" ht="15" customHeight="1" thickBot="1">
      <c r="A104" s="107" t="s">
        <v>532</v>
      </c>
      <c r="B104" s="295"/>
      <c r="C104" s="18"/>
      <c r="D104" s="13"/>
      <c r="E104" s="13"/>
      <c r="F104" s="307">
        <v>0</v>
      </c>
      <c r="G104" s="303"/>
      <c r="H104" s="302"/>
      <c r="I104" s="302"/>
      <c r="J104" s="322">
        <v>-48766.080000000002</v>
      </c>
      <c r="K104" s="18"/>
    </row>
    <row r="105" spans="1:11" ht="15" customHeight="1" thickTop="1">
      <c r="A105" s="300">
        <v>2028</v>
      </c>
      <c r="B105" s="298">
        <v>1</v>
      </c>
      <c r="C105" s="320">
        <v>0</v>
      </c>
      <c r="D105" s="319">
        <v>0</v>
      </c>
      <c r="E105" s="319">
        <v>0</v>
      </c>
      <c r="F105" s="307">
        <v>0</v>
      </c>
      <c r="G105" s="320">
        <v>1039.71</v>
      </c>
      <c r="H105" s="319">
        <v>2313.5700000000002</v>
      </c>
      <c r="I105" s="319">
        <v>710.56</v>
      </c>
      <c r="J105" s="321">
        <v>-4063.84</v>
      </c>
      <c r="K105" s="18"/>
    </row>
    <row r="106" spans="1:11" ht="15" customHeight="1">
      <c r="A106" s="107"/>
      <c r="B106" s="298">
        <v>2</v>
      </c>
      <c r="C106" s="320">
        <v>0</v>
      </c>
      <c r="D106" s="319">
        <v>0</v>
      </c>
      <c r="E106" s="319">
        <v>0</v>
      </c>
      <c r="F106" s="307">
        <v>0</v>
      </c>
      <c r="G106" s="320">
        <v>1039.71</v>
      </c>
      <c r="H106" s="319">
        <v>2313.5700000000002</v>
      </c>
      <c r="I106" s="319">
        <v>710.56</v>
      </c>
      <c r="J106" s="307">
        <v>-4063.84</v>
      </c>
      <c r="K106" s="18"/>
    </row>
    <row r="107" spans="1:11" ht="15" customHeight="1">
      <c r="A107" s="107"/>
      <c r="B107" s="298">
        <v>3</v>
      </c>
      <c r="C107" s="320">
        <v>0</v>
      </c>
      <c r="D107" s="319">
        <v>0</v>
      </c>
      <c r="E107" s="319">
        <v>0</v>
      </c>
      <c r="F107" s="307">
        <v>0</v>
      </c>
      <c r="G107" s="320">
        <v>1039.71</v>
      </c>
      <c r="H107" s="319">
        <v>2313.5700000000002</v>
      </c>
      <c r="I107" s="319">
        <v>710.56</v>
      </c>
      <c r="J107" s="307">
        <v>-4063.84</v>
      </c>
      <c r="K107" s="18"/>
    </row>
    <row r="108" spans="1:11" ht="15" customHeight="1">
      <c r="A108" s="107"/>
      <c r="B108" s="298">
        <v>4</v>
      </c>
      <c r="C108" s="320">
        <v>0</v>
      </c>
      <c r="D108" s="319">
        <v>0</v>
      </c>
      <c r="E108" s="319">
        <v>0</v>
      </c>
      <c r="F108" s="307">
        <v>0</v>
      </c>
      <c r="G108" s="320">
        <v>1039.71</v>
      </c>
      <c r="H108" s="319">
        <v>2313.5700000000002</v>
      </c>
      <c r="I108" s="319">
        <v>710.56</v>
      </c>
      <c r="J108" s="307">
        <v>-4063.84</v>
      </c>
      <c r="K108" s="18"/>
    </row>
    <row r="109" spans="1:11" ht="15" customHeight="1">
      <c r="A109" s="107"/>
      <c r="B109" s="298">
        <v>5</v>
      </c>
      <c r="C109" s="320">
        <v>0</v>
      </c>
      <c r="D109" s="319">
        <v>0</v>
      </c>
      <c r="E109" s="319">
        <v>0</v>
      </c>
      <c r="F109" s="307">
        <v>0</v>
      </c>
      <c r="G109" s="320">
        <v>1039.71</v>
      </c>
      <c r="H109" s="319">
        <v>2313.5700000000002</v>
      </c>
      <c r="I109" s="319">
        <v>710.56</v>
      </c>
      <c r="J109" s="307">
        <v>-4063.84</v>
      </c>
      <c r="K109" s="18"/>
    </row>
    <row r="110" spans="1:11" ht="15" customHeight="1">
      <c r="A110" s="107"/>
      <c r="B110" s="298">
        <v>6</v>
      </c>
      <c r="C110" s="320">
        <v>0</v>
      </c>
      <c r="D110" s="319">
        <v>0</v>
      </c>
      <c r="E110" s="319">
        <v>0</v>
      </c>
      <c r="F110" s="307">
        <v>0</v>
      </c>
      <c r="G110" s="320">
        <v>1039.71</v>
      </c>
      <c r="H110" s="319">
        <v>2313.5700000000002</v>
      </c>
      <c r="I110" s="319">
        <v>710.56</v>
      </c>
      <c r="J110" s="307">
        <v>-4063.84</v>
      </c>
      <c r="K110" s="18"/>
    </row>
    <row r="111" spans="1:11" ht="15" customHeight="1">
      <c r="A111" s="107"/>
      <c r="B111" s="298">
        <v>7</v>
      </c>
      <c r="C111" s="320">
        <v>0</v>
      </c>
      <c r="D111" s="319">
        <v>0</v>
      </c>
      <c r="E111" s="319">
        <v>0</v>
      </c>
      <c r="F111" s="307">
        <v>0</v>
      </c>
      <c r="G111" s="320">
        <v>1039.71</v>
      </c>
      <c r="H111" s="319">
        <v>2313.5700000000002</v>
      </c>
      <c r="I111" s="319">
        <v>710.56</v>
      </c>
      <c r="J111" s="307">
        <v>-4063.84</v>
      </c>
      <c r="K111" s="18"/>
    </row>
    <row r="112" spans="1:11" ht="15" customHeight="1">
      <c r="A112" s="107"/>
      <c r="B112" s="298">
        <v>8</v>
      </c>
      <c r="C112" s="320">
        <v>0</v>
      </c>
      <c r="D112" s="319">
        <v>0</v>
      </c>
      <c r="E112" s="319">
        <v>0</v>
      </c>
      <c r="F112" s="307">
        <v>0</v>
      </c>
      <c r="G112" s="320">
        <v>1039.71</v>
      </c>
      <c r="H112" s="319">
        <v>2313.5700000000002</v>
      </c>
      <c r="I112" s="319">
        <v>710.56</v>
      </c>
      <c r="J112" s="307">
        <v>-4063.84</v>
      </c>
      <c r="K112" s="18"/>
    </row>
    <row r="113" spans="1:11" ht="15" customHeight="1">
      <c r="A113" s="107"/>
      <c r="B113" s="298">
        <v>9</v>
      </c>
      <c r="C113" s="320">
        <v>0</v>
      </c>
      <c r="D113" s="319">
        <v>0</v>
      </c>
      <c r="E113" s="319">
        <v>0</v>
      </c>
      <c r="F113" s="307">
        <v>0</v>
      </c>
      <c r="G113" s="320">
        <v>1039.71</v>
      </c>
      <c r="H113" s="319">
        <v>2313.5700000000002</v>
      </c>
      <c r="I113" s="319">
        <v>710.56</v>
      </c>
      <c r="J113" s="307">
        <v>-4063.84</v>
      </c>
      <c r="K113" s="18"/>
    </row>
    <row r="114" spans="1:11" ht="15" customHeight="1">
      <c r="A114" s="107"/>
      <c r="B114" s="298">
        <v>10</v>
      </c>
      <c r="C114" s="320">
        <v>0</v>
      </c>
      <c r="D114" s="319">
        <v>0</v>
      </c>
      <c r="E114" s="319">
        <v>0</v>
      </c>
      <c r="F114" s="307">
        <v>0</v>
      </c>
      <c r="G114" s="320">
        <v>1039.71</v>
      </c>
      <c r="H114" s="319">
        <v>2313.5700000000002</v>
      </c>
      <c r="I114" s="319">
        <v>710.56</v>
      </c>
      <c r="J114" s="307">
        <v>-4063.84</v>
      </c>
      <c r="K114" s="18"/>
    </row>
    <row r="115" spans="1:11" ht="15" customHeight="1">
      <c r="A115" s="107"/>
      <c r="B115" s="298">
        <v>11</v>
      </c>
      <c r="C115" s="320">
        <v>0</v>
      </c>
      <c r="D115" s="319">
        <v>0</v>
      </c>
      <c r="E115" s="319">
        <v>0</v>
      </c>
      <c r="F115" s="307">
        <v>0</v>
      </c>
      <c r="G115" s="320">
        <v>1039.71</v>
      </c>
      <c r="H115" s="319">
        <v>2313.5700000000002</v>
      </c>
      <c r="I115" s="319">
        <v>710.56</v>
      </c>
      <c r="J115" s="307">
        <v>-4063.84</v>
      </c>
      <c r="K115" s="18"/>
    </row>
    <row r="116" spans="1:11" ht="15" customHeight="1">
      <c r="A116" s="107"/>
      <c r="B116" s="298">
        <v>12</v>
      </c>
      <c r="C116" s="320">
        <v>0</v>
      </c>
      <c r="D116" s="319">
        <v>0</v>
      </c>
      <c r="E116" s="319">
        <v>0</v>
      </c>
      <c r="F116" s="307">
        <v>0</v>
      </c>
      <c r="G116" s="320">
        <v>1039.71</v>
      </c>
      <c r="H116" s="319">
        <v>2313.5700000000002</v>
      </c>
      <c r="I116" s="319">
        <v>710.56</v>
      </c>
      <c r="J116" s="318">
        <v>-4063.84</v>
      </c>
      <c r="K116" s="18"/>
    </row>
    <row r="117" spans="1:11" ht="15" customHeight="1" thickBot="1">
      <c r="A117" s="107" t="s">
        <v>531</v>
      </c>
      <c r="B117" s="295"/>
      <c r="C117" s="18"/>
      <c r="D117" s="13"/>
      <c r="E117" s="13"/>
      <c r="F117" s="307">
        <v>0</v>
      </c>
      <c r="G117" s="303"/>
      <c r="H117" s="302"/>
      <c r="I117" s="302"/>
      <c r="J117" s="322">
        <v>-48766.080000000002</v>
      </c>
      <c r="K117" s="18"/>
    </row>
    <row r="118" spans="1:11" ht="15" customHeight="1" thickTop="1">
      <c r="A118" s="300">
        <v>2029</v>
      </c>
      <c r="B118" s="298">
        <v>1</v>
      </c>
      <c r="C118" s="320">
        <v>0</v>
      </c>
      <c r="D118" s="319">
        <v>0</v>
      </c>
      <c r="E118" s="319">
        <v>0</v>
      </c>
      <c r="F118" s="307">
        <v>0</v>
      </c>
      <c r="G118" s="320">
        <v>503.09</v>
      </c>
      <c r="H118" s="319">
        <v>1119.47</v>
      </c>
      <c r="I118" s="319">
        <v>343.82</v>
      </c>
      <c r="J118" s="321">
        <v>-1966.38</v>
      </c>
      <c r="K118" s="18"/>
    </row>
    <row r="119" spans="1:11" ht="15" customHeight="1">
      <c r="A119" s="107"/>
      <c r="B119" s="298">
        <v>2</v>
      </c>
      <c r="C119" s="320">
        <v>0</v>
      </c>
      <c r="D119" s="319">
        <v>0</v>
      </c>
      <c r="E119" s="319">
        <v>0</v>
      </c>
      <c r="F119" s="307">
        <v>0</v>
      </c>
      <c r="G119" s="320">
        <v>0</v>
      </c>
      <c r="H119" s="319">
        <v>0</v>
      </c>
      <c r="I119" s="319">
        <v>0</v>
      </c>
      <c r="J119" s="307">
        <v>0</v>
      </c>
      <c r="K119" s="18"/>
    </row>
    <row r="120" spans="1:11" ht="15" customHeight="1">
      <c r="A120" s="107"/>
      <c r="B120" s="298">
        <v>3</v>
      </c>
      <c r="C120" s="320">
        <v>0</v>
      </c>
      <c r="D120" s="319">
        <v>0</v>
      </c>
      <c r="E120" s="319">
        <v>0</v>
      </c>
      <c r="F120" s="307">
        <v>0</v>
      </c>
      <c r="G120" s="320">
        <v>0</v>
      </c>
      <c r="H120" s="319">
        <v>0</v>
      </c>
      <c r="I120" s="319">
        <v>0</v>
      </c>
      <c r="J120" s="307">
        <v>0</v>
      </c>
      <c r="K120" s="18"/>
    </row>
    <row r="121" spans="1:11" ht="15" customHeight="1">
      <c r="A121" s="107"/>
      <c r="B121" s="298">
        <v>4</v>
      </c>
      <c r="C121" s="320">
        <v>0</v>
      </c>
      <c r="D121" s="319">
        <v>0</v>
      </c>
      <c r="E121" s="319">
        <v>0</v>
      </c>
      <c r="F121" s="307">
        <v>0</v>
      </c>
      <c r="G121" s="320">
        <v>0</v>
      </c>
      <c r="H121" s="319">
        <v>0</v>
      </c>
      <c r="I121" s="319">
        <v>0</v>
      </c>
      <c r="J121" s="307">
        <v>0</v>
      </c>
      <c r="K121" s="18"/>
    </row>
    <row r="122" spans="1:11" ht="15" customHeight="1">
      <c r="A122" s="107"/>
      <c r="B122" s="298">
        <v>5</v>
      </c>
      <c r="C122" s="320">
        <v>0</v>
      </c>
      <c r="D122" s="319">
        <v>0</v>
      </c>
      <c r="E122" s="319">
        <v>0</v>
      </c>
      <c r="F122" s="307">
        <v>0</v>
      </c>
      <c r="G122" s="320">
        <v>0</v>
      </c>
      <c r="H122" s="319">
        <v>0</v>
      </c>
      <c r="I122" s="319">
        <v>0</v>
      </c>
      <c r="J122" s="307">
        <v>0</v>
      </c>
      <c r="K122" s="18"/>
    </row>
    <row r="123" spans="1:11" ht="15" customHeight="1">
      <c r="A123" s="107"/>
      <c r="B123" s="298">
        <v>6</v>
      </c>
      <c r="C123" s="320">
        <v>0</v>
      </c>
      <c r="D123" s="319">
        <v>0</v>
      </c>
      <c r="E123" s="319">
        <v>0</v>
      </c>
      <c r="F123" s="307">
        <v>0</v>
      </c>
      <c r="G123" s="320">
        <v>0</v>
      </c>
      <c r="H123" s="319">
        <v>0</v>
      </c>
      <c r="I123" s="319">
        <v>0</v>
      </c>
      <c r="J123" s="307">
        <v>0</v>
      </c>
      <c r="K123" s="18"/>
    </row>
    <row r="124" spans="1:11" ht="15" customHeight="1">
      <c r="A124" s="107"/>
      <c r="B124" s="298">
        <v>7</v>
      </c>
      <c r="C124" s="320">
        <v>0</v>
      </c>
      <c r="D124" s="319">
        <v>0</v>
      </c>
      <c r="E124" s="319">
        <v>0</v>
      </c>
      <c r="F124" s="307">
        <v>0</v>
      </c>
      <c r="G124" s="320">
        <v>0</v>
      </c>
      <c r="H124" s="319">
        <v>0</v>
      </c>
      <c r="I124" s="319">
        <v>0</v>
      </c>
      <c r="J124" s="307">
        <v>0</v>
      </c>
      <c r="K124" s="18"/>
    </row>
    <row r="125" spans="1:11" ht="15" customHeight="1">
      <c r="A125" s="107"/>
      <c r="B125" s="298">
        <v>8</v>
      </c>
      <c r="C125" s="320">
        <v>0</v>
      </c>
      <c r="D125" s="319">
        <v>0</v>
      </c>
      <c r="E125" s="319">
        <v>0</v>
      </c>
      <c r="F125" s="307">
        <v>0</v>
      </c>
      <c r="G125" s="320">
        <v>0</v>
      </c>
      <c r="H125" s="319">
        <v>0</v>
      </c>
      <c r="I125" s="319">
        <v>0</v>
      </c>
      <c r="J125" s="307">
        <v>0</v>
      </c>
      <c r="K125" s="18"/>
    </row>
    <row r="126" spans="1:11" ht="15" customHeight="1">
      <c r="A126" s="107"/>
      <c r="B126" s="298">
        <v>9</v>
      </c>
      <c r="C126" s="320">
        <v>0</v>
      </c>
      <c r="D126" s="319">
        <v>0</v>
      </c>
      <c r="E126" s="319">
        <v>0</v>
      </c>
      <c r="F126" s="307">
        <v>0</v>
      </c>
      <c r="G126" s="320">
        <v>0</v>
      </c>
      <c r="H126" s="319">
        <v>0</v>
      </c>
      <c r="I126" s="319">
        <v>0</v>
      </c>
      <c r="J126" s="307">
        <v>0</v>
      </c>
      <c r="K126" s="18"/>
    </row>
    <row r="127" spans="1:11" ht="15" customHeight="1">
      <c r="A127" s="107"/>
      <c r="B127" s="298">
        <v>10</v>
      </c>
      <c r="C127" s="320">
        <v>0</v>
      </c>
      <c r="D127" s="319">
        <v>0</v>
      </c>
      <c r="E127" s="319">
        <v>0</v>
      </c>
      <c r="F127" s="307">
        <v>0</v>
      </c>
      <c r="G127" s="320">
        <v>0</v>
      </c>
      <c r="H127" s="319">
        <v>0</v>
      </c>
      <c r="I127" s="319">
        <v>0</v>
      </c>
      <c r="J127" s="307">
        <v>0</v>
      </c>
      <c r="K127" s="18"/>
    </row>
    <row r="128" spans="1:11" ht="15" customHeight="1">
      <c r="A128" s="107"/>
      <c r="B128" s="298">
        <v>11</v>
      </c>
      <c r="C128" s="320">
        <v>0</v>
      </c>
      <c r="D128" s="319">
        <v>0</v>
      </c>
      <c r="E128" s="319">
        <v>0</v>
      </c>
      <c r="F128" s="307">
        <v>0</v>
      </c>
      <c r="G128" s="320">
        <v>0</v>
      </c>
      <c r="H128" s="319">
        <v>0</v>
      </c>
      <c r="I128" s="319">
        <v>0</v>
      </c>
      <c r="J128" s="307">
        <v>0</v>
      </c>
      <c r="K128" s="18"/>
    </row>
    <row r="129" spans="1:11" ht="15" customHeight="1">
      <c r="A129" s="107"/>
      <c r="B129" s="298">
        <v>12</v>
      </c>
      <c r="C129" s="320">
        <v>0</v>
      </c>
      <c r="D129" s="319">
        <v>0</v>
      </c>
      <c r="E129" s="319">
        <v>0</v>
      </c>
      <c r="F129" s="307">
        <v>0</v>
      </c>
      <c r="G129" s="320">
        <v>0</v>
      </c>
      <c r="H129" s="319">
        <v>0</v>
      </c>
      <c r="I129" s="319">
        <v>0</v>
      </c>
      <c r="J129" s="318">
        <v>0</v>
      </c>
      <c r="K129" s="18"/>
    </row>
    <row r="130" spans="1:11" ht="15" customHeight="1">
      <c r="A130" s="107" t="s">
        <v>530</v>
      </c>
      <c r="B130" s="295"/>
      <c r="C130" s="192"/>
      <c r="D130" s="24"/>
      <c r="E130" s="24"/>
      <c r="F130" s="318">
        <v>0</v>
      </c>
      <c r="G130" s="293"/>
      <c r="H130" s="292"/>
      <c r="I130" s="292"/>
      <c r="J130" s="317">
        <v>-1966.38</v>
      </c>
      <c r="K130" s="18"/>
    </row>
    <row r="131" spans="1:11" ht="15" customHeight="1">
      <c r="A131" s="107"/>
      <c r="B131" s="107"/>
      <c r="C131" s="17"/>
      <c r="D131" s="17"/>
      <c r="E131" s="17"/>
      <c r="F131" s="7"/>
      <c r="G131" s="17"/>
      <c r="H131" s="17"/>
      <c r="I131" s="17"/>
      <c r="J131" s="7"/>
    </row>
    <row r="132" spans="1:11" ht="15" customHeight="1" thickBot="1">
      <c r="A132" s="13"/>
      <c r="B132" s="13"/>
      <c r="C132" s="13"/>
      <c r="D132" s="13"/>
      <c r="E132" s="107" t="s">
        <v>88</v>
      </c>
      <c r="F132" s="301">
        <v>-50989.17</v>
      </c>
      <c r="G132" s="18"/>
      <c r="H132" s="13"/>
      <c r="I132" s="107" t="s">
        <v>88</v>
      </c>
      <c r="J132" s="301">
        <v>-243830.39999999999</v>
      </c>
      <c r="K132" s="18"/>
    </row>
    <row r="133" spans="1:11" ht="15" customHeight="1" thickTop="1">
      <c r="F133" s="22"/>
      <c r="J133" s="22"/>
    </row>
    <row r="134" spans="1:11" ht="15" customHeight="1">
      <c r="A134" s="13" t="s">
        <v>53</v>
      </c>
      <c r="B134" s="13" t="s">
        <v>54</v>
      </c>
    </row>
  </sheetData>
  <mergeCells count="10">
    <mergeCell ref="B7:J7"/>
    <mergeCell ref="G11:J11"/>
    <mergeCell ref="G10:J10"/>
    <mergeCell ref="C11:F11"/>
    <mergeCell ref="C10:F10"/>
    <mergeCell ref="A1:D1"/>
    <mergeCell ref="A2:E2"/>
    <mergeCell ref="A4:C4"/>
    <mergeCell ref="A3:D3"/>
    <mergeCell ref="B6:J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FDA09-5EC6-4F44-959B-7EB867B3A85A}">
  <dimension ref="A1:H25"/>
  <sheetViews>
    <sheetView showRuler="0" workbookViewId="0">
      <selection sqref="A1:C1"/>
    </sheetView>
  </sheetViews>
  <sheetFormatPr defaultColWidth="13.7265625" defaultRowHeight="12.5"/>
  <cols>
    <col min="1" max="1" width="13.26953125" style="2" customWidth="1"/>
    <col min="2" max="7" width="12.81640625" style="2" customWidth="1"/>
    <col min="8" max="16384" width="13.7265625" style="2"/>
  </cols>
  <sheetData>
    <row r="1" spans="1:8" ht="15" customHeight="1">
      <c r="A1" s="671" t="s">
        <v>51</v>
      </c>
      <c r="B1" s="670"/>
    </row>
    <row r="2" spans="1:8" ht="15" customHeight="1">
      <c r="A2" s="672" t="s">
        <v>85</v>
      </c>
      <c r="B2" s="670"/>
      <c r="C2" s="670"/>
      <c r="D2" s="670"/>
      <c r="E2" s="670"/>
      <c r="F2" s="670"/>
    </row>
    <row r="3" spans="1:8" ht="15" customHeight="1">
      <c r="A3" s="672" t="s">
        <v>91</v>
      </c>
      <c r="B3" s="670"/>
      <c r="C3" s="670"/>
      <c r="D3" s="670"/>
    </row>
    <row r="4" spans="1:8" ht="15" customHeight="1">
      <c r="A4" s="671" t="s">
        <v>83</v>
      </c>
      <c r="B4" s="670"/>
      <c r="C4" s="670"/>
      <c r="D4" s="670"/>
    </row>
    <row r="5" spans="1:8" ht="15" customHeight="1"/>
    <row r="6" spans="1:8" ht="15" customHeight="1">
      <c r="B6" s="26" t="s">
        <v>90</v>
      </c>
      <c r="C6" s="27"/>
      <c r="D6" s="27"/>
      <c r="E6" s="27"/>
      <c r="F6" s="27"/>
      <c r="G6" s="26" t="s">
        <v>89</v>
      </c>
      <c r="H6" s="18"/>
    </row>
    <row r="7" spans="1:8" ht="15" customHeight="1">
      <c r="A7" s="13" t="s">
        <v>70</v>
      </c>
      <c r="B7" s="14">
        <v>491.95</v>
      </c>
      <c r="C7" s="17"/>
      <c r="D7" s="17"/>
      <c r="E7" s="17"/>
      <c r="F7" s="17"/>
      <c r="G7" s="14">
        <v>-491.95</v>
      </c>
    </row>
    <row r="8" spans="1:8" ht="15" customHeight="1">
      <c r="A8" s="13" t="s">
        <v>69</v>
      </c>
      <c r="B8" s="10">
        <v>352.25</v>
      </c>
      <c r="C8" s="13"/>
      <c r="D8" s="13"/>
      <c r="F8" s="13"/>
      <c r="G8" s="10">
        <v>-352.25</v>
      </c>
    </row>
    <row r="9" spans="1:8" ht="15" customHeight="1">
      <c r="A9" s="13" t="s">
        <v>68</v>
      </c>
      <c r="B9" s="25">
        <v>817.8</v>
      </c>
      <c r="C9" s="13"/>
      <c r="D9" s="13"/>
      <c r="G9" s="10">
        <v>-817.8</v>
      </c>
    </row>
    <row r="10" spans="1:8" ht="15" customHeight="1">
      <c r="A10" s="13" t="s">
        <v>67</v>
      </c>
      <c r="B10" s="10">
        <v>0</v>
      </c>
      <c r="C10" s="13"/>
      <c r="D10" s="13"/>
      <c r="G10" s="10">
        <v>0</v>
      </c>
    </row>
    <row r="11" spans="1:8" ht="15" customHeight="1">
      <c r="A11" s="13" t="s">
        <v>66</v>
      </c>
      <c r="B11" s="10">
        <v>1476.4</v>
      </c>
      <c r="C11" s="13"/>
      <c r="D11" s="13"/>
      <c r="G11" s="10">
        <v>-1476.4</v>
      </c>
    </row>
    <row r="12" spans="1:8" ht="15" customHeight="1">
      <c r="A12" s="13" t="s">
        <v>65</v>
      </c>
      <c r="B12" s="10">
        <v>1525.03</v>
      </c>
      <c r="C12" s="13"/>
      <c r="D12" s="13"/>
      <c r="G12" s="10">
        <v>-1525.03</v>
      </c>
    </row>
    <row r="13" spans="1:8" ht="15" customHeight="1">
      <c r="A13" s="13" t="s">
        <v>64</v>
      </c>
      <c r="B13" s="10">
        <v>326.2</v>
      </c>
      <c r="C13" s="13"/>
      <c r="D13" s="13"/>
      <c r="G13" s="10">
        <v>-326.2</v>
      </c>
    </row>
    <row r="14" spans="1:8" ht="15" customHeight="1">
      <c r="A14" s="13" t="s">
        <v>63</v>
      </c>
      <c r="B14" s="10">
        <v>189.33</v>
      </c>
      <c r="C14" s="13"/>
      <c r="D14" s="13"/>
      <c r="G14" s="10">
        <v>-189.33</v>
      </c>
    </row>
    <row r="15" spans="1:8" ht="15" customHeight="1">
      <c r="A15" s="13" t="s">
        <v>62</v>
      </c>
      <c r="B15" s="10">
        <v>268.18</v>
      </c>
      <c r="C15" s="13"/>
      <c r="D15" s="13"/>
      <c r="G15" s="10">
        <v>-268.18</v>
      </c>
    </row>
    <row r="16" spans="1:8" ht="15" customHeight="1">
      <c r="A16" s="13" t="s">
        <v>61</v>
      </c>
      <c r="B16" s="10">
        <v>129.56</v>
      </c>
      <c r="C16" s="13"/>
      <c r="D16" s="13"/>
      <c r="G16" s="10">
        <v>-129.56</v>
      </c>
    </row>
    <row r="17" spans="1:7" ht="15" customHeight="1">
      <c r="A17" s="13" t="s">
        <v>60</v>
      </c>
      <c r="B17" s="10">
        <v>1808.74</v>
      </c>
      <c r="C17" s="13"/>
      <c r="D17" s="13"/>
      <c r="G17" s="10">
        <v>-1808.74</v>
      </c>
    </row>
    <row r="18" spans="1:7" ht="15" customHeight="1">
      <c r="A18" s="13" t="s">
        <v>59</v>
      </c>
      <c r="B18" s="9">
        <v>285.64999999999998</v>
      </c>
      <c r="C18" s="24"/>
      <c r="D18" s="24"/>
      <c r="G18" s="9">
        <v>-285.64999999999998</v>
      </c>
    </row>
    <row r="19" spans="1:7" ht="15" customHeight="1" thickBot="1">
      <c r="A19" s="13" t="s">
        <v>88</v>
      </c>
      <c r="B19" s="23">
        <f t="shared" ref="B19:G19" si="0">SUM(B7:B18)</f>
        <v>7671.09</v>
      </c>
      <c r="C19" s="23">
        <f t="shared" si="0"/>
        <v>0</v>
      </c>
      <c r="D19" s="23">
        <f t="shared" si="0"/>
        <v>0</v>
      </c>
      <c r="E19" s="23">
        <f t="shared" si="0"/>
        <v>0</v>
      </c>
      <c r="F19" s="23">
        <f t="shared" si="0"/>
        <v>0</v>
      </c>
      <c r="G19" s="23">
        <f t="shared" si="0"/>
        <v>-7671.09</v>
      </c>
    </row>
    <row r="20" spans="1:7" ht="15" customHeight="1" thickTop="1">
      <c r="B20" s="22"/>
      <c r="C20" s="22"/>
      <c r="D20" s="22"/>
      <c r="E20" s="22"/>
      <c r="F20" s="22"/>
      <c r="G20" s="22" t="s">
        <v>87</v>
      </c>
    </row>
    <row r="21" spans="1:7" ht="39.25" customHeight="1">
      <c r="A21" s="13" t="s">
        <v>86</v>
      </c>
      <c r="B21" s="21">
        <f t="shared" ref="B21:G21" si="1">-B19</f>
        <v>-7671.09</v>
      </c>
      <c r="C21" s="21">
        <f t="shared" si="1"/>
        <v>0</v>
      </c>
      <c r="D21" s="21">
        <f t="shared" si="1"/>
        <v>0</v>
      </c>
      <c r="E21" s="21">
        <f t="shared" si="1"/>
        <v>0</v>
      </c>
      <c r="F21" s="21">
        <f t="shared" si="1"/>
        <v>0</v>
      </c>
      <c r="G21" s="21">
        <f t="shared" si="1"/>
        <v>7671.09</v>
      </c>
    </row>
    <row r="22" spans="1:7" ht="27.65" customHeight="1">
      <c r="A22" s="13" t="s">
        <v>56</v>
      </c>
      <c r="B22" s="20">
        <v>501</v>
      </c>
      <c r="C22" s="13"/>
      <c r="D22" s="13"/>
      <c r="G22" s="13"/>
    </row>
    <row r="23" spans="1:7" ht="15" customHeight="1"/>
    <row r="24" spans="1:7" ht="15" customHeight="1">
      <c r="A24" s="3" t="s">
        <v>53</v>
      </c>
      <c r="B24" s="3" t="s">
        <v>54</v>
      </c>
    </row>
    <row r="25" spans="1:7" ht="15" customHeight="1"/>
  </sheetData>
  <mergeCells count="4">
    <mergeCell ref="A1:B1"/>
    <mergeCell ref="A2:F2"/>
    <mergeCell ref="A4:D4"/>
    <mergeCell ref="A3:D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ECFF4-9990-48AD-B2A7-B6677AD09022}">
  <dimension ref="A1:M136"/>
  <sheetViews>
    <sheetView workbookViewId="0">
      <pane ySplit="16" topLeftCell="A126" activePane="bottomLeft" state="frozen"/>
      <selection sqref="A1:D1"/>
      <selection pane="bottomLeft" sqref="A1:D1"/>
    </sheetView>
  </sheetViews>
  <sheetFormatPr defaultColWidth="13.7265625" defaultRowHeight="12.5"/>
  <cols>
    <col min="1" max="12" width="13.7265625" style="2"/>
    <col min="13" max="13" width="21.26953125" style="2" customWidth="1"/>
    <col min="14" max="16384" width="13.7265625" style="2"/>
  </cols>
  <sheetData>
    <row r="1" spans="1:11" ht="15" customHeight="1">
      <c r="A1" s="671" t="s">
        <v>51</v>
      </c>
      <c r="B1" s="670"/>
      <c r="C1" s="670"/>
      <c r="D1" s="670"/>
    </row>
    <row r="2" spans="1:11" ht="15" customHeight="1">
      <c r="A2" s="672" t="s">
        <v>529</v>
      </c>
      <c r="B2" s="670"/>
      <c r="C2" s="670"/>
      <c r="D2" s="670"/>
      <c r="E2" s="670"/>
    </row>
    <row r="3" spans="1:11" ht="15" customHeight="1">
      <c r="A3" s="672" t="s">
        <v>553</v>
      </c>
      <c r="B3" s="670"/>
      <c r="C3" s="670"/>
      <c r="D3" s="670"/>
    </row>
    <row r="4" spans="1:11" ht="15" customHeight="1">
      <c r="A4" s="671" t="s">
        <v>549</v>
      </c>
      <c r="B4" s="670"/>
      <c r="C4" s="670"/>
    </row>
    <row r="5" spans="1:11" ht="15" customHeight="1"/>
    <row r="6" spans="1:11" ht="15" customHeight="1"/>
    <row r="7" spans="1:11" ht="15" customHeight="1"/>
    <row r="8" spans="1:11" ht="16.75" customHeight="1">
      <c r="A8" s="315" t="s">
        <v>264</v>
      </c>
      <c r="B8" s="728" t="s">
        <v>548</v>
      </c>
      <c r="C8" s="729"/>
      <c r="D8" s="729"/>
      <c r="E8" s="729"/>
      <c r="F8" s="729"/>
      <c r="G8" s="729"/>
      <c r="H8" s="729"/>
      <c r="I8" s="729"/>
      <c r="J8" s="730"/>
      <c r="K8" s="18"/>
    </row>
    <row r="9" spans="1:11" ht="27.65" customHeight="1">
      <c r="A9" s="326" t="s">
        <v>547</v>
      </c>
      <c r="B9" s="731" t="s">
        <v>546</v>
      </c>
      <c r="C9" s="732"/>
      <c r="D9" s="732"/>
      <c r="E9" s="732"/>
      <c r="F9" s="732"/>
      <c r="G9" s="732"/>
      <c r="H9" s="732"/>
      <c r="I9" s="732"/>
      <c r="J9" s="733"/>
      <c r="K9" s="18"/>
    </row>
    <row r="10" spans="1:11" ht="15" customHeight="1">
      <c r="A10" s="17"/>
      <c r="B10" s="17"/>
      <c r="C10" s="17"/>
      <c r="D10" s="17"/>
      <c r="E10" s="17"/>
      <c r="F10" s="17"/>
      <c r="G10" s="17"/>
      <c r="H10" s="17"/>
      <c r="I10" s="17"/>
      <c r="J10" s="17"/>
    </row>
    <row r="11" spans="1:11" ht="15" customHeight="1"/>
    <row r="12" spans="1:11" ht="15" customHeight="1">
      <c r="C12" s="726" t="s">
        <v>545</v>
      </c>
      <c r="D12" s="726"/>
      <c r="E12" s="726"/>
      <c r="F12" s="726"/>
      <c r="G12" s="726" t="s">
        <v>545</v>
      </c>
      <c r="H12" s="726"/>
      <c r="I12" s="726"/>
      <c r="J12" s="726"/>
      <c r="K12" s="18"/>
    </row>
    <row r="13" spans="1:11" ht="15" customHeight="1">
      <c r="C13" s="726" t="s">
        <v>544</v>
      </c>
      <c r="D13" s="726"/>
      <c r="E13" s="726"/>
      <c r="F13" s="726"/>
      <c r="G13" s="726" t="s">
        <v>543</v>
      </c>
      <c r="H13" s="726"/>
      <c r="I13" s="726"/>
      <c r="J13" s="726"/>
      <c r="K13" s="18"/>
    </row>
    <row r="14" spans="1:11" ht="15" customHeight="1">
      <c r="A14" s="188" t="s">
        <v>542</v>
      </c>
      <c r="B14" s="188" t="s">
        <v>541</v>
      </c>
      <c r="C14" s="316">
        <v>4310001</v>
      </c>
      <c r="D14" s="316">
        <v>4310001</v>
      </c>
      <c r="E14" s="316">
        <v>4310001</v>
      </c>
      <c r="F14" s="316">
        <v>1823537</v>
      </c>
      <c r="G14" s="316">
        <v>4310001</v>
      </c>
      <c r="H14" s="316">
        <v>4310001</v>
      </c>
      <c r="I14" s="316">
        <v>4310001</v>
      </c>
      <c r="J14" s="316">
        <v>1823537</v>
      </c>
      <c r="K14" s="18"/>
    </row>
    <row r="15" spans="1:11" ht="15" customHeight="1">
      <c r="A15" s="188" t="s">
        <v>482</v>
      </c>
      <c r="B15" s="188"/>
      <c r="C15" s="316">
        <v>110</v>
      </c>
      <c r="D15" s="316">
        <v>117</v>
      </c>
      <c r="E15" s="316">
        <v>180</v>
      </c>
      <c r="F15" s="315" t="s">
        <v>88</v>
      </c>
      <c r="G15" s="316">
        <v>110</v>
      </c>
      <c r="H15" s="316">
        <v>117</v>
      </c>
      <c r="I15" s="316">
        <v>180</v>
      </c>
      <c r="J15" s="315" t="s">
        <v>88</v>
      </c>
      <c r="K15" s="18"/>
    </row>
    <row r="16" spans="1:11" ht="15" customHeight="1">
      <c r="A16" s="312">
        <v>2021</v>
      </c>
      <c r="B16" s="311">
        <v>1</v>
      </c>
      <c r="C16" s="310">
        <v>161.97999999999999</v>
      </c>
      <c r="D16" s="14">
        <v>290.33999999999997</v>
      </c>
      <c r="E16" s="14">
        <v>82.37</v>
      </c>
      <c r="F16" s="309">
        <v>-534.69000000000005</v>
      </c>
      <c r="G16" s="190"/>
      <c r="H16" s="17"/>
      <c r="I16" s="17"/>
      <c r="J16" s="309">
        <v>0</v>
      </c>
      <c r="K16" s="18"/>
    </row>
    <row r="17" spans="1:11" ht="15" customHeight="1">
      <c r="A17" s="107"/>
      <c r="B17" s="298">
        <v>2</v>
      </c>
      <c r="C17" s="296">
        <v>278.97000000000003</v>
      </c>
      <c r="D17" s="10">
        <v>500.03</v>
      </c>
      <c r="E17" s="10">
        <v>141.86000000000001</v>
      </c>
      <c r="F17" s="297">
        <v>-920.86</v>
      </c>
      <c r="G17" s="18"/>
      <c r="H17" s="13"/>
      <c r="I17" s="13"/>
      <c r="J17" s="297">
        <v>0</v>
      </c>
      <c r="K17" s="18"/>
    </row>
    <row r="18" spans="1:11" ht="15" customHeight="1">
      <c r="A18" s="107"/>
      <c r="B18" s="298">
        <v>3</v>
      </c>
      <c r="C18" s="296">
        <v>278.97000000000003</v>
      </c>
      <c r="D18" s="10">
        <v>500.03</v>
      </c>
      <c r="E18" s="10">
        <v>141.86000000000001</v>
      </c>
      <c r="F18" s="297">
        <v>-920.86</v>
      </c>
      <c r="G18" s="18"/>
      <c r="H18" s="13"/>
      <c r="I18" s="13"/>
      <c r="J18" s="297">
        <v>0</v>
      </c>
      <c r="K18" s="18"/>
    </row>
    <row r="19" spans="1:11" ht="15" customHeight="1">
      <c r="A19" s="107"/>
      <c r="B19" s="298">
        <v>4</v>
      </c>
      <c r="C19" s="296">
        <v>278.97000000000003</v>
      </c>
      <c r="D19" s="10">
        <v>500.03</v>
      </c>
      <c r="E19" s="10">
        <v>141.86000000000001</v>
      </c>
      <c r="F19" s="297">
        <v>-920.86</v>
      </c>
      <c r="G19" s="18"/>
      <c r="H19" s="13"/>
      <c r="I19" s="13"/>
      <c r="J19" s="297">
        <v>0</v>
      </c>
      <c r="K19" s="18"/>
    </row>
    <row r="20" spans="1:11" ht="15" customHeight="1">
      <c r="A20" s="107"/>
      <c r="B20" s="298">
        <v>5</v>
      </c>
      <c r="C20" s="296">
        <v>278.97000000000003</v>
      </c>
      <c r="D20" s="10">
        <v>500.03</v>
      </c>
      <c r="E20" s="10">
        <v>141.86000000000001</v>
      </c>
      <c r="F20" s="297">
        <v>-920.86</v>
      </c>
      <c r="G20" s="18"/>
      <c r="H20" s="13"/>
      <c r="I20" s="13"/>
      <c r="J20" s="297">
        <v>0</v>
      </c>
      <c r="K20" s="18"/>
    </row>
    <row r="21" spans="1:11" ht="15" customHeight="1">
      <c r="A21" s="107"/>
      <c r="B21" s="298">
        <v>6</v>
      </c>
      <c r="C21" s="296">
        <v>278.97000000000003</v>
      </c>
      <c r="D21" s="10">
        <v>500.03</v>
      </c>
      <c r="E21" s="10">
        <v>141.86000000000001</v>
      </c>
      <c r="F21" s="297">
        <v>-920.86</v>
      </c>
      <c r="G21" s="18"/>
      <c r="H21" s="13"/>
      <c r="I21" s="13"/>
      <c r="J21" s="297">
        <v>0</v>
      </c>
      <c r="K21" s="18"/>
    </row>
    <row r="22" spans="1:11" ht="15" customHeight="1">
      <c r="A22" s="107"/>
      <c r="B22" s="298">
        <v>7</v>
      </c>
      <c r="C22" s="296">
        <v>278.97000000000003</v>
      </c>
      <c r="D22" s="10">
        <v>500.03</v>
      </c>
      <c r="E22" s="10">
        <v>141.86000000000001</v>
      </c>
      <c r="F22" s="297">
        <v>-920.86</v>
      </c>
      <c r="G22" s="18"/>
      <c r="H22" s="13"/>
      <c r="I22" s="13"/>
      <c r="J22" s="297">
        <v>0</v>
      </c>
      <c r="K22" s="18"/>
    </row>
    <row r="23" spans="1:11" ht="15" customHeight="1">
      <c r="A23" s="107"/>
      <c r="B23" s="298">
        <v>8</v>
      </c>
      <c r="C23" s="296">
        <v>278.97000000000003</v>
      </c>
      <c r="D23" s="10">
        <v>500.03</v>
      </c>
      <c r="E23" s="10">
        <v>141.86000000000001</v>
      </c>
      <c r="F23" s="297">
        <v>-920.86</v>
      </c>
      <c r="G23" s="18"/>
      <c r="H23" s="13"/>
      <c r="I23" s="13"/>
      <c r="J23" s="297">
        <v>0</v>
      </c>
      <c r="K23" s="18"/>
    </row>
    <row r="24" spans="1:11" ht="15" customHeight="1">
      <c r="A24" s="107"/>
      <c r="B24" s="298">
        <v>9</v>
      </c>
      <c r="C24" s="296">
        <v>278.97000000000003</v>
      </c>
      <c r="D24" s="10">
        <v>500.03</v>
      </c>
      <c r="E24" s="10">
        <v>141.86000000000001</v>
      </c>
      <c r="F24" s="297">
        <v>-920.86</v>
      </c>
      <c r="G24" s="18"/>
      <c r="H24" s="13"/>
      <c r="I24" s="13"/>
      <c r="J24" s="297">
        <v>0</v>
      </c>
      <c r="K24" s="18"/>
    </row>
    <row r="25" spans="1:11" ht="15" customHeight="1">
      <c r="A25" s="107"/>
      <c r="B25" s="298">
        <v>10</v>
      </c>
      <c r="C25" s="296">
        <v>278.97000000000003</v>
      </c>
      <c r="D25" s="10">
        <v>500.03</v>
      </c>
      <c r="E25" s="10">
        <v>141.86000000000001</v>
      </c>
      <c r="F25" s="297">
        <v>-920.86</v>
      </c>
      <c r="G25" s="18"/>
      <c r="H25" s="13"/>
      <c r="I25" s="13"/>
      <c r="J25" s="297">
        <v>0</v>
      </c>
      <c r="K25" s="18"/>
    </row>
    <row r="26" spans="1:11" ht="15" customHeight="1">
      <c r="A26" s="107"/>
      <c r="B26" s="298">
        <v>11</v>
      </c>
      <c r="C26" s="296">
        <v>278.97000000000003</v>
      </c>
      <c r="D26" s="10">
        <v>500.03</v>
      </c>
      <c r="E26" s="10">
        <v>141.86000000000001</v>
      </c>
      <c r="F26" s="297">
        <v>-920.86</v>
      </c>
      <c r="G26" s="18"/>
      <c r="H26" s="13"/>
      <c r="I26" s="13"/>
      <c r="J26" s="297">
        <v>0</v>
      </c>
      <c r="K26" s="18"/>
    </row>
    <row r="27" spans="1:11" ht="15" customHeight="1">
      <c r="A27" s="107"/>
      <c r="B27" s="298">
        <v>12</v>
      </c>
      <c r="C27" s="296">
        <v>278.97000000000003</v>
      </c>
      <c r="D27" s="10">
        <v>500.03</v>
      </c>
      <c r="E27" s="10">
        <v>141.86000000000001</v>
      </c>
      <c r="F27" s="294">
        <v>-920.86</v>
      </c>
      <c r="G27" s="18"/>
      <c r="H27" s="13"/>
      <c r="I27" s="13"/>
      <c r="J27" s="297">
        <v>0</v>
      </c>
      <c r="K27" s="18"/>
    </row>
    <row r="28" spans="1:11" ht="15" customHeight="1" thickBot="1">
      <c r="A28" s="107" t="s">
        <v>540</v>
      </c>
      <c r="B28" s="295"/>
      <c r="C28" s="303"/>
      <c r="D28" s="302"/>
      <c r="E28" s="302"/>
      <c r="F28" s="301">
        <v>-10664.15</v>
      </c>
      <c r="G28" s="18"/>
      <c r="H28" s="13"/>
      <c r="I28" s="13"/>
      <c r="J28" s="297">
        <v>0</v>
      </c>
      <c r="K28" s="18"/>
    </row>
    <row r="29" spans="1:11" ht="15" customHeight="1" thickTop="1">
      <c r="A29" s="300">
        <v>2022</v>
      </c>
      <c r="B29" s="298">
        <v>1</v>
      </c>
      <c r="C29" s="296">
        <v>278.97000000000003</v>
      </c>
      <c r="D29" s="10">
        <v>500.03</v>
      </c>
      <c r="E29" s="10">
        <v>141.86000000000001</v>
      </c>
      <c r="F29" s="299">
        <v>-920.86</v>
      </c>
      <c r="G29" s="18"/>
      <c r="H29" s="13"/>
      <c r="I29" s="13"/>
      <c r="J29" s="297">
        <v>0</v>
      </c>
      <c r="K29" s="18"/>
    </row>
    <row r="30" spans="1:11" ht="15" customHeight="1">
      <c r="A30" s="107"/>
      <c r="B30" s="298">
        <v>2</v>
      </c>
      <c r="C30" s="296">
        <v>278.97000000000003</v>
      </c>
      <c r="D30" s="10">
        <v>500.03</v>
      </c>
      <c r="E30" s="10">
        <v>141.86000000000001</v>
      </c>
      <c r="F30" s="297">
        <v>-920.86</v>
      </c>
      <c r="G30" s="18"/>
      <c r="H30" s="13"/>
      <c r="I30" s="13"/>
      <c r="J30" s="297">
        <v>0</v>
      </c>
      <c r="K30" s="18"/>
    </row>
    <row r="31" spans="1:11" ht="15" customHeight="1">
      <c r="A31" s="107"/>
      <c r="B31" s="298">
        <v>3</v>
      </c>
      <c r="C31" s="296">
        <v>278.97000000000003</v>
      </c>
      <c r="D31" s="10">
        <v>500.03</v>
      </c>
      <c r="E31" s="10">
        <v>141.86000000000001</v>
      </c>
      <c r="F31" s="297">
        <v>-920.86</v>
      </c>
      <c r="G31" s="18"/>
      <c r="H31" s="13"/>
      <c r="I31" s="13"/>
      <c r="J31" s="297">
        <v>0</v>
      </c>
      <c r="K31" s="18"/>
    </row>
    <row r="32" spans="1:11" ht="15" customHeight="1">
      <c r="A32" s="107"/>
      <c r="B32" s="298">
        <v>4</v>
      </c>
      <c r="C32" s="296">
        <v>278.97000000000003</v>
      </c>
      <c r="D32" s="10">
        <v>500.03</v>
      </c>
      <c r="E32" s="10">
        <v>141.86000000000001</v>
      </c>
      <c r="F32" s="297">
        <v>-920.86</v>
      </c>
      <c r="G32" s="18"/>
      <c r="H32" s="13"/>
      <c r="I32" s="13"/>
      <c r="J32" s="297">
        <v>0</v>
      </c>
      <c r="K32" s="18"/>
    </row>
    <row r="33" spans="1:11" ht="15" customHeight="1">
      <c r="A33" s="107"/>
      <c r="B33" s="298">
        <v>5</v>
      </c>
      <c r="C33" s="296">
        <v>278.97000000000003</v>
      </c>
      <c r="D33" s="10">
        <v>500.03</v>
      </c>
      <c r="E33" s="10">
        <v>141.86000000000001</v>
      </c>
      <c r="F33" s="297">
        <v>-920.86</v>
      </c>
      <c r="G33" s="18"/>
      <c r="H33" s="13"/>
      <c r="I33" s="13"/>
      <c r="J33" s="297">
        <v>0</v>
      </c>
      <c r="K33" s="18"/>
    </row>
    <row r="34" spans="1:11" ht="15" customHeight="1">
      <c r="A34" s="107"/>
      <c r="B34" s="298">
        <v>6</v>
      </c>
      <c r="C34" s="296">
        <v>278.97000000000003</v>
      </c>
      <c r="D34" s="10">
        <v>500.03</v>
      </c>
      <c r="E34" s="10">
        <v>141.86000000000001</v>
      </c>
      <c r="F34" s="297">
        <v>-920.86</v>
      </c>
      <c r="G34" s="18"/>
      <c r="H34" s="13"/>
      <c r="I34" s="13"/>
      <c r="J34" s="297">
        <v>0</v>
      </c>
      <c r="K34" s="18"/>
    </row>
    <row r="35" spans="1:11" ht="15" customHeight="1">
      <c r="A35" s="107"/>
      <c r="B35" s="298">
        <v>7</v>
      </c>
      <c r="C35" s="296">
        <v>278.97000000000003</v>
      </c>
      <c r="D35" s="10">
        <v>500.03</v>
      </c>
      <c r="E35" s="10">
        <v>141.86000000000001</v>
      </c>
      <c r="F35" s="297">
        <v>-920.86</v>
      </c>
      <c r="G35" s="18"/>
      <c r="H35" s="13"/>
      <c r="I35" s="13"/>
      <c r="J35" s="297">
        <v>0</v>
      </c>
      <c r="K35" s="18"/>
    </row>
    <row r="36" spans="1:11" ht="15" customHeight="1">
      <c r="A36" s="107"/>
      <c r="B36" s="298">
        <v>8</v>
      </c>
      <c r="C36" s="296">
        <v>278.97000000000003</v>
      </c>
      <c r="D36" s="10">
        <v>500.03</v>
      </c>
      <c r="E36" s="10">
        <v>141.86000000000001</v>
      </c>
      <c r="F36" s="297">
        <v>-920.86</v>
      </c>
      <c r="G36" s="18"/>
      <c r="H36" s="13"/>
      <c r="I36" s="13"/>
      <c r="J36" s="297">
        <v>0</v>
      </c>
      <c r="K36" s="18"/>
    </row>
    <row r="37" spans="1:11" ht="15" customHeight="1">
      <c r="A37" s="107"/>
      <c r="B37" s="298">
        <v>9</v>
      </c>
      <c r="C37" s="296">
        <v>278.97000000000003</v>
      </c>
      <c r="D37" s="10">
        <v>500.03</v>
      </c>
      <c r="E37" s="10">
        <v>141.86000000000001</v>
      </c>
      <c r="F37" s="297">
        <v>-920.86</v>
      </c>
      <c r="G37" s="18"/>
      <c r="H37" s="13"/>
      <c r="I37" s="13"/>
      <c r="J37" s="297">
        <v>0</v>
      </c>
      <c r="K37" s="18"/>
    </row>
    <row r="38" spans="1:11" ht="15" customHeight="1">
      <c r="A38" s="107"/>
      <c r="B38" s="298">
        <v>10</v>
      </c>
      <c r="C38" s="296">
        <v>278.97000000000003</v>
      </c>
      <c r="D38" s="10">
        <v>500.03</v>
      </c>
      <c r="E38" s="10">
        <v>141.86000000000001</v>
      </c>
      <c r="F38" s="297">
        <v>-920.86</v>
      </c>
      <c r="G38" s="18"/>
      <c r="H38" s="13"/>
      <c r="I38" s="13"/>
      <c r="J38" s="297">
        <v>0</v>
      </c>
      <c r="K38" s="18"/>
    </row>
    <row r="39" spans="1:11" ht="15" customHeight="1">
      <c r="A39" s="107"/>
      <c r="B39" s="298">
        <v>11</v>
      </c>
      <c r="C39" s="296">
        <v>278.97000000000003</v>
      </c>
      <c r="D39" s="10">
        <v>500.03</v>
      </c>
      <c r="E39" s="10">
        <v>141.86000000000001</v>
      </c>
      <c r="F39" s="297">
        <v>-920.86</v>
      </c>
      <c r="G39" s="18"/>
      <c r="H39" s="13"/>
      <c r="I39" s="13"/>
      <c r="J39" s="297">
        <v>0</v>
      </c>
      <c r="K39" s="18"/>
    </row>
    <row r="40" spans="1:11" ht="15" customHeight="1">
      <c r="A40" s="107"/>
      <c r="B40" s="298">
        <v>12</v>
      </c>
      <c r="C40" s="296">
        <v>278.97000000000003</v>
      </c>
      <c r="D40" s="10">
        <v>500.03</v>
      </c>
      <c r="E40" s="10">
        <v>141.86000000000001</v>
      </c>
      <c r="F40" s="294">
        <v>-920.86</v>
      </c>
      <c r="G40" s="18"/>
      <c r="H40" s="13"/>
      <c r="I40" s="13"/>
      <c r="J40" s="297">
        <v>0</v>
      </c>
      <c r="K40" s="18"/>
    </row>
    <row r="41" spans="1:11" ht="15" customHeight="1" thickBot="1">
      <c r="A41" s="107" t="s">
        <v>539</v>
      </c>
      <c r="B41" s="295"/>
      <c r="C41" s="303"/>
      <c r="D41" s="302"/>
      <c r="E41" s="302"/>
      <c r="F41" s="301">
        <v>-11050.32</v>
      </c>
      <c r="G41" s="18"/>
      <c r="H41" s="13"/>
      <c r="I41" s="13"/>
      <c r="J41" s="297">
        <v>0</v>
      </c>
      <c r="K41" s="18"/>
    </row>
    <row r="42" spans="1:11" ht="15" customHeight="1" thickTop="1">
      <c r="A42" s="300">
        <v>2023</v>
      </c>
      <c r="B42" s="298">
        <v>1</v>
      </c>
      <c r="C42" s="296">
        <v>278.97000000000003</v>
      </c>
      <c r="D42" s="10">
        <v>500.03</v>
      </c>
      <c r="E42" s="10">
        <v>141.86000000000001</v>
      </c>
      <c r="F42" s="299">
        <v>-920.86</v>
      </c>
      <c r="G42" s="18"/>
      <c r="H42" s="13"/>
      <c r="I42" s="13"/>
      <c r="J42" s="297">
        <v>0</v>
      </c>
      <c r="K42" s="18"/>
    </row>
    <row r="43" spans="1:11" ht="15" customHeight="1">
      <c r="A43" s="107"/>
      <c r="B43" s="298">
        <v>2</v>
      </c>
      <c r="C43" s="296">
        <v>278.97000000000003</v>
      </c>
      <c r="D43" s="10">
        <v>500.03</v>
      </c>
      <c r="E43" s="10">
        <v>141.86000000000001</v>
      </c>
      <c r="F43" s="297">
        <v>-920.86</v>
      </c>
      <c r="G43" s="18"/>
      <c r="H43" s="13"/>
      <c r="I43" s="13"/>
      <c r="J43" s="297">
        <v>0</v>
      </c>
      <c r="K43" s="18"/>
    </row>
    <row r="44" spans="1:11" ht="15" customHeight="1">
      <c r="A44" s="107"/>
      <c r="B44" s="298">
        <v>3</v>
      </c>
      <c r="C44" s="296">
        <v>278.97000000000003</v>
      </c>
      <c r="D44" s="10">
        <v>500.03</v>
      </c>
      <c r="E44" s="10">
        <v>141.86000000000001</v>
      </c>
      <c r="F44" s="297">
        <v>-920.86</v>
      </c>
      <c r="G44" s="18"/>
      <c r="H44" s="13"/>
      <c r="I44" s="13"/>
      <c r="J44" s="297">
        <v>0</v>
      </c>
      <c r="K44" s="18"/>
    </row>
    <row r="45" spans="1:11" ht="15" customHeight="1">
      <c r="A45" s="107"/>
      <c r="B45" s="298">
        <v>4</v>
      </c>
      <c r="C45" s="296">
        <v>278.97000000000003</v>
      </c>
      <c r="D45" s="10">
        <v>500.03</v>
      </c>
      <c r="E45" s="10">
        <v>141.86000000000001</v>
      </c>
      <c r="F45" s="297">
        <v>-920.86</v>
      </c>
      <c r="G45" s="18"/>
      <c r="H45" s="13"/>
      <c r="I45" s="13"/>
      <c r="J45" s="297">
        <v>0</v>
      </c>
      <c r="K45" s="18"/>
    </row>
    <row r="46" spans="1:11" ht="15" customHeight="1">
      <c r="A46" s="107"/>
      <c r="B46" s="298">
        <v>5</v>
      </c>
      <c r="C46" s="296">
        <v>278.97000000000003</v>
      </c>
      <c r="D46" s="10">
        <v>500.03</v>
      </c>
      <c r="E46" s="10">
        <v>141.86000000000001</v>
      </c>
      <c r="F46" s="297">
        <v>-920.86</v>
      </c>
      <c r="G46" s="18"/>
      <c r="H46" s="13"/>
      <c r="I46" s="13"/>
      <c r="J46" s="297">
        <v>0</v>
      </c>
      <c r="K46" s="18"/>
    </row>
    <row r="47" spans="1:11" ht="15" customHeight="1">
      <c r="A47" s="107"/>
      <c r="B47" s="298">
        <v>6</v>
      </c>
      <c r="C47" s="296">
        <v>278.97000000000003</v>
      </c>
      <c r="D47" s="10">
        <v>500.03</v>
      </c>
      <c r="E47" s="10">
        <v>141.86000000000001</v>
      </c>
      <c r="F47" s="297">
        <v>-920.86</v>
      </c>
      <c r="G47" s="18"/>
      <c r="H47" s="13"/>
      <c r="I47" s="13"/>
      <c r="J47" s="297">
        <v>0</v>
      </c>
      <c r="K47" s="18"/>
    </row>
    <row r="48" spans="1:11" ht="15" customHeight="1">
      <c r="A48" s="107"/>
      <c r="B48" s="298">
        <v>7</v>
      </c>
      <c r="C48" s="296">
        <v>278.97000000000003</v>
      </c>
      <c r="D48" s="10">
        <v>500.03</v>
      </c>
      <c r="E48" s="10">
        <v>141.86000000000001</v>
      </c>
      <c r="F48" s="297">
        <v>-920.86</v>
      </c>
      <c r="G48" s="18"/>
      <c r="H48" s="13"/>
      <c r="I48" s="13"/>
      <c r="J48" s="297">
        <v>0</v>
      </c>
      <c r="K48" s="18"/>
    </row>
    <row r="49" spans="1:12" ht="15" customHeight="1">
      <c r="A49" s="107"/>
      <c r="B49" s="298">
        <v>8</v>
      </c>
      <c r="C49" s="296">
        <v>278.97000000000003</v>
      </c>
      <c r="D49" s="10">
        <v>500.03</v>
      </c>
      <c r="E49" s="10">
        <v>141.86000000000001</v>
      </c>
      <c r="F49" s="297">
        <v>-920.86</v>
      </c>
      <c r="G49" s="18"/>
      <c r="H49" s="13"/>
      <c r="I49" s="13"/>
      <c r="J49" s="297">
        <v>0</v>
      </c>
      <c r="K49" s="18"/>
    </row>
    <row r="50" spans="1:12" ht="15" customHeight="1">
      <c r="A50" s="107"/>
      <c r="B50" s="298">
        <v>9</v>
      </c>
      <c r="C50" s="296">
        <v>278.97000000000003</v>
      </c>
      <c r="D50" s="10">
        <v>500.03</v>
      </c>
      <c r="E50" s="10">
        <v>141.86000000000001</v>
      </c>
      <c r="F50" s="297">
        <v>-920.86</v>
      </c>
      <c r="G50" s="18"/>
      <c r="H50" s="13"/>
      <c r="I50" s="13"/>
      <c r="J50" s="297">
        <v>0</v>
      </c>
      <c r="K50" s="18"/>
    </row>
    <row r="51" spans="1:12" ht="15" customHeight="1">
      <c r="A51" s="107"/>
      <c r="B51" s="298">
        <v>10</v>
      </c>
      <c r="C51" s="296">
        <v>278.97000000000003</v>
      </c>
      <c r="D51" s="10">
        <v>500.03</v>
      </c>
      <c r="E51" s="10">
        <v>141.86000000000001</v>
      </c>
      <c r="F51" s="297">
        <v>-920.86</v>
      </c>
      <c r="G51" s="18"/>
      <c r="H51" s="13"/>
      <c r="I51" s="13"/>
      <c r="J51" s="297">
        <v>0</v>
      </c>
      <c r="K51" s="18"/>
    </row>
    <row r="52" spans="1:12" ht="15" customHeight="1">
      <c r="A52" s="107"/>
      <c r="B52" s="298">
        <v>11</v>
      </c>
      <c r="C52" s="296">
        <v>278.97000000000003</v>
      </c>
      <c r="D52" s="10">
        <v>500.03</v>
      </c>
      <c r="E52" s="10">
        <v>141.86000000000001</v>
      </c>
      <c r="F52" s="297">
        <v>-920.86</v>
      </c>
      <c r="G52" s="18"/>
      <c r="H52" s="13"/>
      <c r="I52" s="13"/>
      <c r="J52" s="297">
        <v>0</v>
      </c>
      <c r="K52" s="18"/>
    </row>
    <row r="53" spans="1:12" ht="15" customHeight="1">
      <c r="A53" s="107"/>
      <c r="B53" s="298">
        <v>12</v>
      </c>
      <c r="C53" s="296">
        <v>278.97000000000003</v>
      </c>
      <c r="D53" s="10">
        <v>500.03</v>
      </c>
      <c r="E53" s="10">
        <v>141.86000000000001</v>
      </c>
      <c r="F53" s="294">
        <v>-920.86</v>
      </c>
      <c r="G53" s="18"/>
      <c r="H53" s="13"/>
      <c r="I53" s="13"/>
      <c r="J53" s="297">
        <v>0</v>
      </c>
      <c r="K53" s="18"/>
    </row>
    <row r="54" spans="1:12" ht="15" customHeight="1" thickBot="1">
      <c r="A54" s="107" t="s">
        <v>538</v>
      </c>
      <c r="B54" s="295"/>
      <c r="C54" s="303"/>
      <c r="D54" s="302"/>
      <c r="E54" s="302"/>
      <c r="F54" s="301">
        <v>-11050.32</v>
      </c>
      <c r="G54" s="18"/>
      <c r="H54" s="13"/>
      <c r="I54" s="13"/>
      <c r="J54" s="297">
        <v>0</v>
      </c>
      <c r="K54" s="18"/>
    </row>
    <row r="55" spans="1:12" ht="15" customHeight="1" thickTop="1">
      <c r="A55" s="300">
        <v>2024</v>
      </c>
      <c r="B55" s="298">
        <v>1</v>
      </c>
      <c r="C55" s="296">
        <v>278.97000000000003</v>
      </c>
      <c r="D55" s="10">
        <v>500.03</v>
      </c>
      <c r="E55" s="10">
        <v>141.86000000000001</v>
      </c>
      <c r="F55" s="299">
        <v>-920.86</v>
      </c>
      <c r="G55" s="296">
        <v>549.61</v>
      </c>
      <c r="H55" s="10">
        <v>1222.98</v>
      </c>
      <c r="I55" s="10">
        <v>375.61</v>
      </c>
      <c r="J55" s="297">
        <v>-2148.1999999999998</v>
      </c>
      <c r="K55" s="18"/>
      <c r="L55" s="13"/>
    </row>
    <row r="56" spans="1:12" ht="15" customHeight="1">
      <c r="A56" s="107"/>
      <c r="B56" s="298">
        <v>2</v>
      </c>
      <c r="C56" s="296">
        <v>278.97000000000003</v>
      </c>
      <c r="D56" s="10">
        <v>500.03</v>
      </c>
      <c r="E56" s="10">
        <v>141.86000000000001</v>
      </c>
      <c r="F56" s="297">
        <v>-920.86</v>
      </c>
      <c r="G56" s="296">
        <v>1064.8599999999999</v>
      </c>
      <c r="H56" s="10">
        <v>2369.5300000000002</v>
      </c>
      <c r="I56" s="10">
        <v>727.74</v>
      </c>
      <c r="J56" s="297">
        <v>-4162.13</v>
      </c>
      <c r="K56" s="18"/>
      <c r="L56" s="13"/>
    </row>
    <row r="57" spans="1:12" ht="15" customHeight="1">
      <c r="A57" s="107"/>
      <c r="B57" s="298">
        <v>3</v>
      </c>
      <c r="C57" s="296">
        <v>278.97000000000003</v>
      </c>
      <c r="D57" s="10">
        <v>500.03</v>
      </c>
      <c r="E57" s="10">
        <v>141.86000000000001</v>
      </c>
      <c r="F57" s="297">
        <v>-920.86</v>
      </c>
      <c r="G57" s="296">
        <v>1064.8599999999999</v>
      </c>
      <c r="H57" s="10">
        <v>2369.5300000000002</v>
      </c>
      <c r="I57" s="10">
        <v>727.74</v>
      </c>
      <c r="J57" s="297">
        <v>-4162.13</v>
      </c>
      <c r="K57" s="18"/>
      <c r="L57" s="13"/>
    </row>
    <row r="58" spans="1:12" ht="15" customHeight="1">
      <c r="A58" s="107"/>
      <c r="B58" s="298">
        <v>4</v>
      </c>
      <c r="C58" s="296">
        <v>278.97000000000003</v>
      </c>
      <c r="D58" s="10">
        <v>500.03</v>
      </c>
      <c r="E58" s="10">
        <v>141.86000000000001</v>
      </c>
      <c r="F58" s="297">
        <v>-920.86</v>
      </c>
      <c r="G58" s="296">
        <v>1064.8599999999999</v>
      </c>
      <c r="H58" s="10">
        <v>2369.5300000000002</v>
      </c>
      <c r="I58" s="10">
        <v>727.74</v>
      </c>
      <c r="J58" s="297">
        <v>-4162.13</v>
      </c>
      <c r="K58" s="18"/>
      <c r="L58" s="13"/>
    </row>
    <row r="59" spans="1:12" ht="15" customHeight="1">
      <c r="A59" s="107"/>
      <c r="B59" s="298">
        <v>5</v>
      </c>
      <c r="C59" s="296">
        <v>278.97000000000003</v>
      </c>
      <c r="D59" s="10">
        <v>500.03</v>
      </c>
      <c r="E59" s="10">
        <v>141.86000000000001</v>
      </c>
      <c r="F59" s="297">
        <v>-920.86</v>
      </c>
      <c r="G59" s="296">
        <v>1064.8599999999999</v>
      </c>
      <c r="H59" s="10">
        <v>2369.5300000000002</v>
      </c>
      <c r="I59" s="10">
        <v>727.74</v>
      </c>
      <c r="J59" s="297">
        <v>-4162.13</v>
      </c>
      <c r="K59" s="18"/>
      <c r="L59" s="13"/>
    </row>
    <row r="60" spans="1:12" ht="15" customHeight="1">
      <c r="A60" s="107"/>
      <c r="B60" s="298">
        <v>6</v>
      </c>
      <c r="C60" s="296">
        <v>278.97000000000003</v>
      </c>
      <c r="D60" s="10">
        <v>500.03</v>
      </c>
      <c r="E60" s="10">
        <v>141.86000000000001</v>
      </c>
      <c r="F60" s="297">
        <v>-920.86</v>
      </c>
      <c r="G60" s="296">
        <v>1064.8599999999999</v>
      </c>
      <c r="H60" s="10">
        <v>2369.5300000000002</v>
      </c>
      <c r="I60" s="10">
        <v>727.74</v>
      </c>
      <c r="J60" s="297">
        <v>-4162.13</v>
      </c>
      <c r="K60" s="18"/>
      <c r="L60" s="10">
        <f t="shared" ref="L60:L66" si="0">J60+F60</f>
        <v>-5082.99</v>
      </c>
    </row>
    <row r="61" spans="1:12" ht="15" customHeight="1">
      <c r="A61" s="107"/>
      <c r="B61" s="298">
        <v>7</v>
      </c>
      <c r="C61" s="296">
        <v>278.97000000000003</v>
      </c>
      <c r="D61" s="10">
        <v>500.03</v>
      </c>
      <c r="E61" s="10">
        <v>141.86000000000001</v>
      </c>
      <c r="F61" s="297">
        <v>-920.86</v>
      </c>
      <c r="G61" s="296">
        <v>1064.8599999999999</v>
      </c>
      <c r="H61" s="10">
        <v>2369.5300000000002</v>
      </c>
      <c r="I61" s="10">
        <v>727.74</v>
      </c>
      <c r="J61" s="297">
        <v>-4162.13</v>
      </c>
      <c r="K61" s="18"/>
      <c r="L61" s="10">
        <f t="shared" si="0"/>
        <v>-5082.99</v>
      </c>
    </row>
    <row r="62" spans="1:12" ht="15" customHeight="1">
      <c r="A62" s="107"/>
      <c r="B62" s="298">
        <v>8</v>
      </c>
      <c r="C62" s="296">
        <v>278.97000000000003</v>
      </c>
      <c r="D62" s="10">
        <v>500.03</v>
      </c>
      <c r="E62" s="10">
        <v>141.86000000000001</v>
      </c>
      <c r="F62" s="297">
        <v>-920.86</v>
      </c>
      <c r="G62" s="296">
        <v>1064.8599999999999</v>
      </c>
      <c r="H62" s="10">
        <v>2369.5300000000002</v>
      </c>
      <c r="I62" s="10">
        <v>727.74</v>
      </c>
      <c r="J62" s="297">
        <v>-4162.13</v>
      </c>
      <c r="K62" s="18"/>
      <c r="L62" s="10">
        <f t="shared" si="0"/>
        <v>-5082.99</v>
      </c>
    </row>
    <row r="63" spans="1:12" ht="15" customHeight="1">
      <c r="A63" s="107"/>
      <c r="B63" s="298">
        <v>9</v>
      </c>
      <c r="C63" s="296">
        <v>278.97000000000003</v>
      </c>
      <c r="D63" s="10">
        <v>500.03</v>
      </c>
      <c r="E63" s="10">
        <v>141.86000000000001</v>
      </c>
      <c r="F63" s="297">
        <v>-920.86</v>
      </c>
      <c r="G63" s="296">
        <v>1064.8599999999999</v>
      </c>
      <c r="H63" s="10">
        <v>2369.5300000000002</v>
      </c>
      <c r="I63" s="10">
        <v>727.74</v>
      </c>
      <c r="J63" s="297">
        <v>-4162.13</v>
      </c>
      <c r="K63" s="18"/>
      <c r="L63" s="10">
        <f t="shared" si="0"/>
        <v>-5082.99</v>
      </c>
    </row>
    <row r="64" spans="1:12" ht="15" customHeight="1">
      <c r="A64" s="107"/>
      <c r="B64" s="298">
        <v>10</v>
      </c>
      <c r="C64" s="296">
        <v>278.97000000000003</v>
      </c>
      <c r="D64" s="10">
        <v>500.03</v>
      </c>
      <c r="E64" s="10">
        <v>141.86000000000001</v>
      </c>
      <c r="F64" s="297">
        <v>-920.86</v>
      </c>
      <c r="G64" s="296">
        <v>1064.8599999999999</v>
      </c>
      <c r="H64" s="10">
        <v>2369.5300000000002</v>
      </c>
      <c r="I64" s="10">
        <v>727.74</v>
      </c>
      <c r="J64" s="297">
        <v>-4162.13</v>
      </c>
      <c r="K64" s="18"/>
      <c r="L64" s="10">
        <f t="shared" si="0"/>
        <v>-5082.99</v>
      </c>
    </row>
    <row r="65" spans="1:13" ht="15" customHeight="1">
      <c r="A65" s="107"/>
      <c r="B65" s="298">
        <v>11</v>
      </c>
      <c r="C65" s="296">
        <v>278.97000000000003</v>
      </c>
      <c r="D65" s="10">
        <v>500.03</v>
      </c>
      <c r="E65" s="10">
        <v>141.86000000000001</v>
      </c>
      <c r="F65" s="297">
        <v>-920.86</v>
      </c>
      <c r="G65" s="296">
        <v>1064.8599999999999</v>
      </c>
      <c r="H65" s="10">
        <v>2369.5300000000002</v>
      </c>
      <c r="I65" s="10">
        <v>727.74</v>
      </c>
      <c r="J65" s="297">
        <v>-4162.13</v>
      </c>
      <c r="K65" s="18"/>
      <c r="L65" s="10">
        <f t="shared" si="0"/>
        <v>-5082.99</v>
      </c>
    </row>
    <row r="66" spans="1:13" ht="15" customHeight="1">
      <c r="A66" s="107"/>
      <c r="B66" s="298">
        <v>12</v>
      </c>
      <c r="C66" s="296">
        <v>278.97000000000003</v>
      </c>
      <c r="D66" s="10">
        <v>500.03</v>
      </c>
      <c r="E66" s="10">
        <v>141.86000000000001</v>
      </c>
      <c r="F66" s="294">
        <v>-920.86</v>
      </c>
      <c r="G66" s="296">
        <v>1064.8599999999999</v>
      </c>
      <c r="H66" s="10">
        <v>2369.5300000000002</v>
      </c>
      <c r="I66" s="10">
        <v>727.74</v>
      </c>
      <c r="J66" s="294">
        <v>-4162.13</v>
      </c>
      <c r="K66" s="18"/>
      <c r="L66" s="10">
        <f t="shared" si="0"/>
        <v>-5082.99</v>
      </c>
    </row>
    <row r="67" spans="1:13" ht="15" customHeight="1" thickBot="1">
      <c r="A67" s="107" t="s">
        <v>537</v>
      </c>
      <c r="B67" s="295"/>
      <c r="C67" s="303"/>
      <c r="D67" s="302"/>
      <c r="E67" s="302"/>
      <c r="F67" s="301">
        <v>-11050.32</v>
      </c>
      <c r="G67" s="303"/>
      <c r="H67" s="302"/>
      <c r="I67" s="302"/>
      <c r="J67" s="301">
        <v>-47931.63</v>
      </c>
      <c r="K67" s="18"/>
      <c r="L67" s="13"/>
      <c r="M67" s="13"/>
    </row>
    <row r="68" spans="1:13" ht="15" customHeight="1" thickTop="1">
      <c r="A68" s="300">
        <v>2025</v>
      </c>
      <c r="B68" s="298">
        <v>1</v>
      </c>
      <c r="C68" s="296">
        <v>278.97000000000003</v>
      </c>
      <c r="D68" s="10">
        <v>500.03</v>
      </c>
      <c r="E68" s="10">
        <v>141.86000000000001</v>
      </c>
      <c r="F68" s="299">
        <v>-920.86</v>
      </c>
      <c r="G68" s="296">
        <v>1064.8599999999999</v>
      </c>
      <c r="H68" s="10">
        <v>2369.5300000000002</v>
      </c>
      <c r="I68" s="10">
        <v>727.74</v>
      </c>
      <c r="J68" s="299">
        <v>-4162.13</v>
      </c>
      <c r="K68" s="18"/>
      <c r="L68" s="10">
        <f>J68+F68</f>
        <v>-5082.99</v>
      </c>
    </row>
    <row r="69" spans="1:13" ht="15" customHeight="1">
      <c r="A69" s="107"/>
      <c r="B69" s="298">
        <v>2</v>
      </c>
      <c r="C69" s="296">
        <v>278.97000000000003</v>
      </c>
      <c r="D69" s="10">
        <v>500.03</v>
      </c>
      <c r="E69" s="10">
        <v>141.86000000000001</v>
      </c>
      <c r="F69" s="297">
        <v>-920.86</v>
      </c>
      <c r="G69" s="296">
        <v>1064.8599999999999</v>
      </c>
      <c r="H69" s="10">
        <v>2369.5300000000002</v>
      </c>
      <c r="I69" s="10">
        <v>727.74</v>
      </c>
      <c r="J69" s="297">
        <v>-4162.13</v>
      </c>
      <c r="K69" s="18"/>
      <c r="L69" s="10">
        <f>J69+F69</f>
        <v>-5082.99</v>
      </c>
    </row>
    <row r="70" spans="1:13" ht="15" customHeight="1">
      <c r="A70" s="107"/>
      <c r="B70" s="298">
        <v>3</v>
      </c>
      <c r="C70" s="296">
        <v>278.97000000000003</v>
      </c>
      <c r="D70" s="10">
        <v>500.03</v>
      </c>
      <c r="E70" s="10">
        <v>141.86000000000001</v>
      </c>
      <c r="F70" s="297">
        <v>-920.86</v>
      </c>
      <c r="G70" s="296">
        <v>1064.8599999999999</v>
      </c>
      <c r="H70" s="10">
        <v>2369.5300000000002</v>
      </c>
      <c r="I70" s="10">
        <v>727.74</v>
      </c>
      <c r="J70" s="297">
        <v>-4162.13</v>
      </c>
      <c r="K70" s="18"/>
      <c r="L70" s="10">
        <f>J70+F70</f>
        <v>-5082.99</v>
      </c>
    </row>
    <row r="71" spans="1:13" ht="15" customHeight="1">
      <c r="A71" s="107"/>
      <c r="B71" s="298">
        <v>4</v>
      </c>
      <c r="C71" s="296">
        <v>278.97000000000003</v>
      </c>
      <c r="D71" s="10">
        <v>500.03</v>
      </c>
      <c r="E71" s="10">
        <v>141.86000000000001</v>
      </c>
      <c r="F71" s="297">
        <v>-920.86</v>
      </c>
      <c r="G71" s="296">
        <v>1064.8599999999999</v>
      </c>
      <c r="H71" s="10">
        <v>2369.5300000000002</v>
      </c>
      <c r="I71" s="10">
        <v>727.74</v>
      </c>
      <c r="J71" s="297">
        <v>-4162.13</v>
      </c>
      <c r="K71" s="18"/>
      <c r="L71" s="10">
        <f>J71+F71</f>
        <v>-5082.99</v>
      </c>
    </row>
    <row r="72" spans="1:13" ht="15" customHeight="1">
      <c r="A72" s="107"/>
      <c r="B72" s="298">
        <v>5</v>
      </c>
      <c r="C72" s="296">
        <v>278.97000000000003</v>
      </c>
      <c r="D72" s="10">
        <v>500.03</v>
      </c>
      <c r="E72" s="10">
        <v>141.86000000000001</v>
      </c>
      <c r="F72" s="297">
        <v>-920.86</v>
      </c>
      <c r="G72" s="296">
        <v>1064.8599999999999</v>
      </c>
      <c r="H72" s="10">
        <v>2369.5300000000002</v>
      </c>
      <c r="I72" s="10">
        <v>727.74</v>
      </c>
      <c r="J72" s="297">
        <v>-4162.13</v>
      </c>
      <c r="K72" s="18"/>
      <c r="L72" s="10">
        <f>J72+F72</f>
        <v>-5082.99</v>
      </c>
    </row>
    <row r="73" spans="1:13" ht="15" customHeight="1" thickBot="1">
      <c r="A73" s="107"/>
      <c r="B73" s="298">
        <v>6</v>
      </c>
      <c r="C73" s="296">
        <v>278.97000000000003</v>
      </c>
      <c r="D73" s="10">
        <v>500.03</v>
      </c>
      <c r="E73" s="10">
        <v>141.86000000000001</v>
      </c>
      <c r="F73" s="297">
        <v>-920.86</v>
      </c>
      <c r="G73" s="296">
        <v>1064.8599999999999</v>
      </c>
      <c r="H73" s="10">
        <v>2369.5300000000002</v>
      </c>
      <c r="I73" s="10">
        <v>727.74</v>
      </c>
      <c r="J73" s="297">
        <v>-4162.13</v>
      </c>
      <c r="K73" s="18"/>
      <c r="L73" s="323">
        <f>SUM(L60:L72)</f>
        <v>-60995.879999999983</v>
      </c>
      <c r="M73" s="13" t="s">
        <v>536</v>
      </c>
    </row>
    <row r="74" spans="1:13" ht="15" customHeight="1" thickTop="1">
      <c r="A74" s="107"/>
      <c r="B74" s="298">
        <v>7</v>
      </c>
      <c r="C74" s="296">
        <v>278.97000000000003</v>
      </c>
      <c r="D74" s="10">
        <v>500.03</v>
      </c>
      <c r="E74" s="10">
        <v>141.86000000000001</v>
      </c>
      <c r="F74" s="297">
        <v>-920.86</v>
      </c>
      <c r="G74" s="296">
        <v>1064.8599999999999</v>
      </c>
      <c r="H74" s="10">
        <v>2369.5300000000002</v>
      </c>
      <c r="I74" s="10">
        <v>727.74</v>
      </c>
      <c r="J74" s="297">
        <v>-4162.13</v>
      </c>
      <c r="K74" s="18"/>
      <c r="L74" s="22"/>
    </row>
    <row r="75" spans="1:13" ht="15" customHeight="1">
      <c r="A75" s="107"/>
      <c r="B75" s="298">
        <v>8</v>
      </c>
      <c r="C75" s="296">
        <v>278.97000000000003</v>
      </c>
      <c r="D75" s="10">
        <v>500.03</v>
      </c>
      <c r="E75" s="10">
        <v>141.86000000000001</v>
      </c>
      <c r="F75" s="297">
        <v>-920.86</v>
      </c>
      <c r="G75" s="296">
        <v>1064.8599999999999</v>
      </c>
      <c r="H75" s="10">
        <v>2369.5300000000002</v>
      </c>
      <c r="I75" s="10">
        <v>727.74</v>
      </c>
      <c r="J75" s="297">
        <v>-4162.13</v>
      </c>
      <c r="K75" s="18"/>
      <c r="L75" s="13"/>
    </row>
    <row r="76" spans="1:13" ht="15" customHeight="1">
      <c r="A76" s="107"/>
      <c r="B76" s="298">
        <v>9</v>
      </c>
      <c r="C76" s="296">
        <v>278.97000000000003</v>
      </c>
      <c r="D76" s="10">
        <v>500.03</v>
      </c>
      <c r="E76" s="10">
        <v>141.86000000000001</v>
      </c>
      <c r="F76" s="297">
        <v>-920.86</v>
      </c>
      <c r="G76" s="296">
        <v>1064.8599999999999</v>
      </c>
      <c r="H76" s="10">
        <v>2369.5300000000002</v>
      </c>
      <c r="I76" s="10">
        <v>727.74</v>
      </c>
      <c r="J76" s="297">
        <v>-4162.13</v>
      </c>
      <c r="K76" s="18"/>
      <c r="L76" s="13"/>
    </row>
    <row r="77" spans="1:13" ht="15" customHeight="1">
      <c r="A77" s="107"/>
      <c r="B77" s="298">
        <v>10</v>
      </c>
      <c r="C77" s="296">
        <v>278.97000000000003</v>
      </c>
      <c r="D77" s="10">
        <v>500.03</v>
      </c>
      <c r="E77" s="10">
        <v>141.86000000000001</v>
      </c>
      <c r="F77" s="297">
        <v>-920.86</v>
      </c>
      <c r="G77" s="296">
        <v>1064.8599999999999</v>
      </c>
      <c r="H77" s="10">
        <v>2369.5300000000002</v>
      </c>
      <c r="I77" s="10">
        <v>727.74</v>
      </c>
      <c r="J77" s="297">
        <v>-4162.13</v>
      </c>
      <c r="K77" s="18"/>
      <c r="L77" s="13"/>
    </row>
    <row r="78" spans="1:13" ht="15" customHeight="1">
      <c r="A78" s="107"/>
      <c r="B78" s="298">
        <v>11</v>
      </c>
      <c r="C78" s="296">
        <v>278.97000000000003</v>
      </c>
      <c r="D78" s="10">
        <v>500.03</v>
      </c>
      <c r="E78" s="10">
        <v>141.86000000000001</v>
      </c>
      <c r="F78" s="297">
        <v>-920.86</v>
      </c>
      <c r="G78" s="296">
        <v>1064.8599999999999</v>
      </c>
      <c r="H78" s="10">
        <v>2369.5300000000002</v>
      </c>
      <c r="I78" s="10">
        <v>727.74</v>
      </c>
      <c r="J78" s="297">
        <v>-4162.13</v>
      </c>
      <c r="K78" s="18"/>
      <c r="L78" s="13"/>
    </row>
    <row r="79" spans="1:13" ht="15" customHeight="1">
      <c r="A79" s="107"/>
      <c r="B79" s="298">
        <v>12</v>
      </c>
      <c r="C79" s="296">
        <v>278.97000000000003</v>
      </c>
      <c r="D79" s="10">
        <v>500.03</v>
      </c>
      <c r="E79" s="10">
        <v>141.86000000000001</v>
      </c>
      <c r="F79" s="294">
        <v>-920.86</v>
      </c>
      <c r="G79" s="296">
        <v>1064.8599999999999</v>
      </c>
      <c r="H79" s="10">
        <v>2369.5300000000002</v>
      </c>
      <c r="I79" s="10">
        <v>727.74</v>
      </c>
      <c r="J79" s="294">
        <v>-4162.13</v>
      </c>
      <c r="K79" s="18"/>
      <c r="L79" s="13"/>
    </row>
    <row r="80" spans="1:13" ht="15" customHeight="1" thickBot="1">
      <c r="A80" s="107" t="s">
        <v>535</v>
      </c>
      <c r="B80" s="295"/>
      <c r="C80" s="303"/>
      <c r="D80" s="302"/>
      <c r="E80" s="302"/>
      <c r="F80" s="301">
        <v>-11050.32</v>
      </c>
      <c r="G80" s="303"/>
      <c r="H80" s="302"/>
      <c r="I80" s="302"/>
      <c r="J80" s="301">
        <v>-49945.56</v>
      </c>
      <c r="K80" s="18"/>
    </row>
    <row r="81" spans="1:13" ht="15" customHeight="1" thickTop="1">
      <c r="A81" s="300">
        <v>2026</v>
      </c>
      <c r="B81" s="298">
        <v>1</v>
      </c>
      <c r="C81" s="296">
        <v>117.03</v>
      </c>
      <c r="D81" s="10">
        <v>210.12</v>
      </c>
      <c r="E81" s="10">
        <v>59.22</v>
      </c>
      <c r="F81" s="299">
        <v>-386.37</v>
      </c>
      <c r="G81" s="296">
        <v>1064.8599999999999</v>
      </c>
      <c r="H81" s="10">
        <v>2369.5300000000002</v>
      </c>
      <c r="I81" s="10">
        <v>727.74</v>
      </c>
      <c r="J81" s="299">
        <v>-4162.13</v>
      </c>
      <c r="K81" s="18"/>
      <c r="L81" s="13"/>
    </row>
    <row r="82" spans="1:13" ht="15" customHeight="1">
      <c r="A82" s="107"/>
      <c r="B82" s="298">
        <v>2</v>
      </c>
      <c r="C82" s="296">
        <v>0</v>
      </c>
      <c r="D82" s="10">
        <v>0</v>
      </c>
      <c r="E82" s="10">
        <v>0</v>
      </c>
      <c r="F82" s="297">
        <v>0</v>
      </c>
      <c r="G82" s="296">
        <v>1064.8599999999999</v>
      </c>
      <c r="H82" s="10">
        <v>2369.5300000000002</v>
      </c>
      <c r="I82" s="10">
        <v>727.74</v>
      </c>
      <c r="J82" s="297">
        <v>-4162.13</v>
      </c>
      <c r="K82" s="18"/>
      <c r="L82" s="13"/>
    </row>
    <row r="83" spans="1:13" ht="15" customHeight="1">
      <c r="A83" s="107"/>
      <c r="B83" s="298">
        <v>3</v>
      </c>
      <c r="C83" s="296">
        <v>0</v>
      </c>
      <c r="D83" s="10">
        <v>0</v>
      </c>
      <c r="E83" s="10">
        <v>0</v>
      </c>
      <c r="F83" s="297">
        <v>0</v>
      </c>
      <c r="G83" s="296">
        <v>1064.8599999999999</v>
      </c>
      <c r="H83" s="10">
        <v>2369.5300000000002</v>
      </c>
      <c r="I83" s="10">
        <v>727.74</v>
      </c>
      <c r="J83" s="297">
        <v>-4162.13</v>
      </c>
      <c r="K83" s="18"/>
      <c r="L83" s="13"/>
    </row>
    <row r="84" spans="1:13" ht="15" customHeight="1">
      <c r="A84" s="107"/>
      <c r="B84" s="298">
        <v>4</v>
      </c>
      <c r="C84" s="296">
        <v>0</v>
      </c>
      <c r="D84" s="10">
        <v>0</v>
      </c>
      <c r="E84" s="10">
        <v>0</v>
      </c>
      <c r="F84" s="297">
        <v>0</v>
      </c>
      <c r="G84" s="296">
        <v>1064.8599999999999</v>
      </c>
      <c r="H84" s="10">
        <v>2369.5300000000002</v>
      </c>
      <c r="I84" s="10">
        <v>727.74</v>
      </c>
      <c r="J84" s="297">
        <v>-4162.13</v>
      </c>
      <c r="K84" s="18"/>
      <c r="L84" s="13"/>
      <c r="M84" s="13"/>
    </row>
    <row r="85" spans="1:13" ht="15" customHeight="1">
      <c r="A85" s="107"/>
      <c r="B85" s="298">
        <v>5</v>
      </c>
      <c r="C85" s="296">
        <v>0</v>
      </c>
      <c r="D85" s="10">
        <v>0</v>
      </c>
      <c r="E85" s="10">
        <v>0</v>
      </c>
      <c r="F85" s="297">
        <v>0</v>
      </c>
      <c r="G85" s="296">
        <v>1064.8599999999999</v>
      </c>
      <c r="H85" s="10">
        <v>2369.5300000000002</v>
      </c>
      <c r="I85" s="10">
        <v>727.74</v>
      </c>
      <c r="J85" s="297">
        <v>-4162.13</v>
      </c>
      <c r="K85" s="18"/>
    </row>
    <row r="86" spans="1:13" ht="15" customHeight="1">
      <c r="A86" s="107"/>
      <c r="B86" s="298">
        <v>6</v>
      </c>
      <c r="C86" s="296">
        <v>0</v>
      </c>
      <c r="D86" s="10">
        <v>0</v>
      </c>
      <c r="E86" s="10">
        <v>0</v>
      </c>
      <c r="F86" s="297">
        <v>0</v>
      </c>
      <c r="G86" s="296">
        <v>1064.8599999999999</v>
      </c>
      <c r="H86" s="10">
        <v>2369.5300000000002</v>
      </c>
      <c r="I86" s="10">
        <v>727.74</v>
      </c>
      <c r="J86" s="297">
        <v>-4162.13</v>
      </c>
      <c r="K86" s="18"/>
    </row>
    <row r="87" spans="1:13" ht="15" customHeight="1">
      <c r="A87" s="107"/>
      <c r="B87" s="298">
        <v>7</v>
      </c>
      <c r="C87" s="296">
        <v>0</v>
      </c>
      <c r="D87" s="10">
        <v>0</v>
      </c>
      <c r="E87" s="10">
        <v>0</v>
      </c>
      <c r="F87" s="297">
        <v>0</v>
      </c>
      <c r="G87" s="296">
        <v>1064.8599999999999</v>
      </c>
      <c r="H87" s="10">
        <v>2369.5300000000002</v>
      </c>
      <c r="I87" s="10">
        <v>727.74</v>
      </c>
      <c r="J87" s="297">
        <v>-4162.13</v>
      </c>
      <c r="K87" s="18"/>
    </row>
    <row r="88" spans="1:13" ht="15" customHeight="1">
      <c r="A88" s="107"/>
      <c r="B88" s="298">
        <v>8</v>
      </c>
      <c r="C88" s="296">
        <v>0</v>
      </c>
      <c r="D88" s="10">
        <v>0</v>
      </c>
      <c r="E88" s="10">
        <v>0</v>
      </c>
      <c r="F88" s="297">
        <v>0</v>
      </c>
      <c r="G88" s="296">
        <v>1064.8599999999999</v>
      </c>
      <c r="H88" s="10">
        <v>2369.5300000000002</v>
      </c>
      <c r="I88" s="10">
        <v>727.74</v>
      </c>
      <c r="J88" s="297">
        <v>-4162.13</v>
      </c>
      <c r="K88" s="18"/>
    </row>
    <row r="89" spans="1:13" ht="15" customHeight="1">
      <c r="A89" s="107"/>
      <c r="B89" s="298">
        <v>9</v>
      </c>
      <c r="C89" s="296">
        <v>0</v>
      </c>
      <c r="D89" s="10">
        <v>0</v>
      </c>
      <c r="E89" s="10">
        <v>0</v>
      </c>
      <c r="F89" s="297">
        <v>0</v>
      </c>
      <c r="G89" s="296">
        <v>1064.8599999999999</v>
      </c>
      <c r="H89" s="10">
        <v>2369.5300000000002</v>
      </c>
      <c r="I89" s="10">
        <v>727.74</v>
      </c>
      <c r="J89" s="297">
        <v>-4162.13</v>
      </c>
      <c r="K89" s="18"/>
    </row>
    <row r="90" spans="1:13" ht="15" customHeight="1">
      <c r="A90" s="107"/>
      <c r="B90" s="298">
        <v>10</v>
      </c>
      <c r="C90" s="296">
        <v>0</v>
      </c>
      <c r="D90" s="10">
        <v>0</v>
      </c>
      <c r="E90" s="10">
        <v>0</v>
      </c>
      <c r="F90" s="297">
        <v>0</v>
      </c>
      <c r="G90" s="296">
        <v>1064.8599999999999</v>
      </c>
      <c r="H90" s="10">
        <v>2369.5300000000002</v>
      </c>
      <c r="I90" s="10">
        <v>727.74</v>
      </c>
      <c r="J90" s="297">
        <v>-4162.13</v>
      </c>
      <c r="K90" s="18"/>
    </row>
    <row r="91" spans="1:13" ht="15" customHeight="1">
      <c r="A91" s="107"/>
      <c r="B91" s="298">
        <v>11</v>
      </c>
      <c r="C91" s="296">
        <v>0</v>
      </c>
      <c r="D91" s="10">
        <v>0</v>
      </c>
      <c r="E91" s="10">
        <v>0</v>
      </c>
      <c r="F91" s="297">
        <v>0</v>
      </c>
      <c r="G91" s="296">
        <v>1064.8599999999999</v>
      </c>
      <c r="H91" s="10">
        <v>2369.5300000000002</v>
      </c>
      <c r="I91" s="10">
        <v>727.74</v>
      </c>
      <c r="J91" s="297">
        <v>-4162.13</v>
      </c>
      <c r="K91" s="18"/>
    </row>
    <row r="92" spans="1:13" ht="15" customHeight="1">
      <c r="A92" s="107"/>
      <c r="B92" s="298">
        <v>12</v>
      </c>
      <c r="C92" s="296">
        <v>0</v>
      </c>
      <c r="D92" s="10">
        <v>0</v>
      </c>
      <c r="E92" s="10">
        <v>0</v>
      </c>
      <c r="F92" s="294">
        <v>0</v>
      </c>
      <c r="G92" s="296">
        <v>1064.8599999999999</v>
      </c>
      <c r="H92" s="10">
        <v>2369.5300000000002</v>
      </c>
      <c r="I92" s="10">
        <v>727.74</v>
      </c>
      <c r="J92" s="294">
        <v>-4162.13</v>
      </c>
      <c r="K92" s="18"/>
    </row>
    <row r="93" spans="1:13" ht="15" customHeight="1" thickBot="1">
      <c r="A93" s="107" t="s">
        <v>533</v>
      </c>
      <c r="B93" s="295"/>
      <c r="C93" s="303"/>
      <c r="D93" s="302"/>
      <c r="E93" s="302"/>
      <c r="F93" s="301">
        <v>-386.37</v>
      </c>
      <c r="G93" s="303"/>
      <c r="H93" s="302"/>
      <c r="I93" s="302"/>
      <c r="J93" s="301">
        <v>-49945.56</v>
      </c>
      <c r="K93" s="18"/>
    </row>
    <row r="94" spans="1:13" ht="15" customHeight="1" thickTop="1">
      <c r="A94" s="300">
        <v>2027</v>
      </c>
      <c r="B94" s="298">
        <v>1</v>
      </c>
      <c r="C94" s="18"/>
      <c r="D94" s="13"/>
      <c r="E94" s="13"/>
      <c r="F94" s="299">
        <v>0</v>
      </c>
      <c r="G94" s="296">
        <v>1064.8599999999999</v>
      </c>
      <c r="H94" s="10">
        <v>2369.5300000000002</v>
      </c>
      <c r="I94" s="10">
        <v>727.74</v>
      </c>
      <c r="J94" s="299">
        <v>-4162.13</v>
      </c>
      <c r="K94" s="18"/>
    </row>
    <row r="95" spans="1:13" ht="15" customHeight="1">
      <c r="A95" s="107"/>
      <c r="B95" s="298">
        <v>2</v>
      </c>
      <c r="C95" s="18"/>
      <c r="D95" s="13"/>
      <c r="E95" s="13"/>
      <c r="F95" s="297">
        <v>0</v>
      </c>
      <c r="G95" s="296">
        <v>1064.8599999999999</v>
      </c>
      <c r="H95" s="10">
        <v>2369.5300000000002</v>
      </c>
      <c r="I95" s="10">
        <v>727.74</v>
      </c>
      <c r="J95" s="297">
        <v>-4162.13</v>
      </c>
      <c r="K95" s="18"/>
    </row>
    <row r="96" spans="1:13" ht="15" customHeight="1">
      <c r="A96" s="107"/>
      <c r="B96" s="298">
        <v>3</v>
      </c>
      <c r="C96" s="18"/>
      <c r="D96" s="13"/>
      <c r="E96" s="13"/>
      <c r="F96" s="297">
        <v>0</v>
      </c>
      <c r="G96" s="296">
        <v>1064.8599999999999</v>
      </c>
      <c r="H96" s="10">
        <v>2369.5300000000002</v>
      </c>
      <c r="I96" s="10">
        <v>727.74</v>
      </c>
      <c r="J96" s="297">
        <v>-4162.13</v>
      </c>
      <c r="K96" s="18"/>
    </row>
    <row r="97" spans="1:11" ht="15" customHeight="1">
      <c r="A97" s="107"/>
      <c r="B97" s="298">
        <v>4</v>
      </c>
      <c r="C97" s="18"/>
      <c r="D97" s="13"/>
      <c r="E97" s="13"/>
      <c r="F97" s="297">
        <v>0</v>
      </c>
      <c r="G97" s="296">
        <v>1064.8599999999999</v>
      </c>
      <c r="H97" s="10">
        <v>2369.5300000000002</v>
      </c>
      <c r="I97" s="10">
        <v>727.74</v>
      </c>
      <c r="J97" s="297">
        <v>-4162.13</v>
      </c>
      <c r="K97" s="18"/>
    </row>
    <row r="98" spans="1:11" ht="15" customHeight="1">
      <c r="A98" s="107"/>
      <c r="B98" s="298">
        <v>5</v>
      </c>
      <c r="C98" s="18"/>
      <c r="D98" s="13"/>
      <c r="E98" s="13"/>
      <c r="F98" s="297">
        <v>0</v>
      </c>
      <c r="G98" s="296">
        <v>1064.8599999999999</v>
      </c>
      <c r="H98" s="10">
        <v>2369.5300000000002</v>
      </c>
      <c r="I98" s="10">
        <v>727.74</v>
      </c>
      <c r="J98" s="297">
        <v>-4162.13</v>
      </c>
      <c r="K98" s="18"/>
    </row>
    <row r="99" spans="1:11" ht="15" customHeight="1">
      <c r="A99" s="107"/>
      <c r="B99" s="298">
        <v>6</v>
      </c>
      <c r="C99" s="18"/>
      <c r="D99" s="13"/>
      <c r="E99" s="13"/>
      <c r="F99" s="297">
        <v>0</v>
      </c>
      <c r="G99" s="296">
        <v>1064.8599999999999</v>
      </c>
      <c r="H99" s="10">
        <v>2369.5300000000002</v>
      </c>
      <c r="I99" s="10">
        <v>727.74</v>
      </c>
      <c r="J99" s="297">
        <v>-4162.13</v>
      </c>
      <c r="K99" s="18"/>
    </row>
    <row r="100" spans="1:11" ht="15" customHeight="1">
      <c r="A100" s="107"/>
      <c r="B100" s="298">
        <v>7</v>
      </c>
      <c r="C100" s="18"/>
      <c r="D100" s="13"/>
      <c r="E100" s="13"/>
      <c r="F100" s="297">
        <v>0</v>
      </c>
      <c r="G100" s="296">
        <v>1064.8599999999999</v>
      </c>
      <c r="H100" s="10">
        <v>2369.5300000000002</v>
      </c>
      <c r="I100" s="10">
        <v>727.74</v>
      </c>
      <c r="J100" s="297">
        <v>-4162.13</v>
      </c>
      <c r="K100" s="18"/>
    </row>
    <row r="101" spans="1:11" ht="15" customHeight="1">
      <c r="A101" s="107"/>
      <c r="B101" s="298">
        <v>8</v>
      </c>
      <c r="C101" s="18"/>
      <c r="D101" s="13"/>
      <c r="E101" s="13"/>
      <c r="F101" s="297">
        <v>0</v>
      </c>
      <c r="G101" s="296">
        <v>1064.8599999999999</v>
      </c>
      <c r="H101" s="10">
        <v>2369.5300000000002</v>
      </c>
      <c r="I101" s="10">
        <v>727.74</v>
      </c>
      <c r="J101" s="297">
        <v>-4162.13</v>
      </c>
      <c r="K101" s="18"/>
    </row>
    <row r="102" spans="1:11" ht="15" customHeight="1">
      <c r="A102" s="107"/>
      <c r="B102" s="298">
        <v>9</v>
      </c>
      <c r="C102" s="18"/>
      <c r="D102" s="13"/>
      <c r="E102" s="13"/>
      <c r="F102" s="297">
        <v>0</v>
      </c>
      <c r="G102" s="296">
        <v>1064.8599999999999</v>
      </c>
      <c r="H102" s="10">
        <v>2369.5300000000002</v>
      </c>
      <c r="I102" s="10">
        <v>727.74</v>
      </c>
      <c r="J102" s="297">
        <v>-4162.13</v>
      </c>
      <c r="K102" s="18"/>
    </row>
    <row r="103" spans="1:11" ht="15" customHeight="1">
      <c r="A103" s="107"/>
      <c r="B103" s="298">
        <v>10</v>
      </c>
      <c r="C103" s="18"/>
      <c r="D103" s="13"/>
      <c r="E103" s="13"/>
      <c r="F103" s="297">
        <v>0</v>
      </c>
      <c r="G103" s="296">
        <v>1064.8599999999999</v>
      </c>
      <c r="H103" s="10">
        <v>2369.5300000000002</v>
      </c>
      <c r="I103" s="10">
        <v>727.74</v>
      </c>
      <c r="J103" s="297">
        <v>-4162.13</v>
      </c>
      <c r="K103" s="18"/>
    </row>
    <row r="104" spans="1:11" ht="15" customHeight="1">
      <c r="A104" s="107"/>
      <c r="B104" s="298">
        <v>11</v>
      </c>
      <c r="C104" s="18"/>
      <c r="D104" s="13"/>
      <c r="E104" s="13"/>
      <c r="F104" s="297">
        <v>0</v>
      </c>
      <c r="G104" s="296">
        <v>1064.8599999999999</v>
      </c>
      <c r="H104" s="10">
        <v>2369.5300000000002</v>
      </c>
      <c r="I104" s="10">
        <v>727.74</v>
      </c>
      <c r="J104" s="297">
        <v>-4162.13</v>
      </c>
      <c r="K104" s="18"/>
    </row>
    <row r="105" spans="1:11" ht="15" customHeight="1">
      <c r="A105" s="107"/>
      <c r="B105" s="298">
        <v>12</v>
      </c>
      <c r="C105" s="18"/>
      <c r="D105" s="13"/>
      <c r="E105" s="13"/>
      <c r="F105" s="297">
        <v>0</v>
      </c>
      <c r="G105" s="296">
        <v>1064.8599999999999</v>
      </c>
      <c r="H105" s="10">
        <v>2369.5300000000002</v>
      </c>
      <c r="I105" s="10">
        <v>727.74</v>
      </c>
      <c r="J105" s="294">
        <v>-4162.13</v>
      </c>
      <c r="K105" s="18"/>
    </row>
    <row r="106" spans="1:11" ht="15" customHeight="1" thickBot="1">
      <c r="A106" s="107" t="s">
        <v>532</v>
      </c>
      <c r="B106" s="295"/>
      <c r="C106" s="18"/>
      <c r="D106" s="13"/>
      <c r="E106" s="13"/>
      <c r="F106" s="297">
        <v>0</v>
      </c>
      <c r="G106" s="303"/>
      <c r="H106" s="302"/>
      <c r="I106" s="302"/>
      <c r="J106" s="301">
        <v>-49945.56</v>
      </c>
      <c r="K106" s="18"/>
    </row>
    <row r="107" spans="1:11" ht="15" customHeight="1" thickTop="1">
      <c r="A107" s="300">
        <v>2028</v>
      </c>
      <c r="B107" s="298">
        <v>1</v>
      </c>
      <c r="C107" s="18"/>
      <c r="D107" s="13"/>
      <c r="E107" s="13"/>
      <c r="F107" s="297">
        <v>0</v>
      </c>
      <c r="G107" s="296">
        <v>1064.8599999999999</v>
      </c>
      <c r="H107" s="10">
        <v>2369.5300000000002</v>
      </c>
      <c r="I107" s="10">
        <v>727.74</v>
      </c>
      <c r="J107" s="299">
        <v>-4162.13</v>
      </c>
      <c r="K107" s="18"/>
    </row>
    <row r="108" spans="1:11" ht="15" customHeight="1">
      <c r="A108" s="107"/>
      <c r="B108" s="298">
        <v>2</v>
      </c>
      <c r="C108" s="18"/>
      <c r="D108" s="13"/>
      <c r="E108" s="13"/>
      <c r="F108" s="297">
        <v>0</v>
      </c>
      <c r="G108" s="296">
        <v>1064.8599999999999</v>
      </c>
      <c r="H108" s="10">
        <v>2369.5300000000002</v>
      </c>
      <c r="I108" s="10">
        <v>727.74</v>
      </c>
      <c r="J108" s="297">
        <v>-4162.13</v>
      </c>
      <c r="K108" s="18"/>
    </row>
    <row r="109" spans="1:11" ht="15" customHeight="1">
      <c r="A109" s="107"/>
      <c r="B109" s="298">
        <v>3</v>
      </c>
      <c r="C109" s="18"/>
      <c r="D109" s="13"/>
      <c r="E109" s="13"/>
      <c r="F109" s="297">
        <v>0</v>
      </c>
      <c r="G109" s="296">
        <v>1064.8599999999999</v>
      </c>
      <c r="H109" s="10">
        <v>2369.5300000000002</v>
      </c>
      <c r="I109" s="10">
        <v>727.74</v>
      </c>
      <c r="J109" s="297">
        <v>-4162.13</v>
      </c>
      <c r="K109" s="18"/>
    </row>
    <row r="110" spans="1:11" ht="15" customHeight="1">
      <c r="A110" s="107"/>
      <c r="B110" s="298">
        <v>4</v>
      </c>
      <c r="C110" s="18"/>
      <c r="D110" s="13"/>
      <c r="E110" s="13"/>
      <c r="F110" s="297">
        <v>0</v>
      </c>
      <c r="G110" s="296">
        <v>1064.8599999999999</v>
      </c>
      <c r="H110" s="10">
        <v>2369.5300000000002</v>
      </c>
      <c r="I110" s="10">
        <v>727.74</v>
      </c>
      <c r="J110" s="297">
        <v>-4162.13</v>
      </c>
      <c r="K110" s="18"/>
    </row>
    <row r="111" spans="1:11" ht="15" customHeight="1">
      <c r="A111" s="107"/>
      <c r="B111" s="298">
        <v>5</v>
      </c>
      <c r="C111" s="18"/>
      <c r="D111" s="13"/>
      <c r="E111" s="13"/>
      <c r="F111" s="297">
        <v>0</v>
      </c>
      <c r="G111" s="296">
        <v>1064.8599999999999</v>
      </c>
      <c r="H111" s="10">
        <v>2369.5300000000002</v>
      </c>
      <c r="I111" s="10">
        <v>727.74</v>
      </c>
      <c r="J111" s="297">
        <v>-4162.13</v>
      </c>
      <c r="K111" s="18"/>
    </row>
    <row r="112" spans="1:11" ht="15" customHeight="1">
      <c r="A112" s="107"/>
      <c r="B112" s="298">
        <v>6</v>
      </c>
      <c r="C112" s="18"/>
      <c r="D112" s="13"/>
      <c r="E112" s="13"/>
      <c r="F112" s="297">
        <v>0</v>
      </c>
      <c r="G112" s="296">
        <v>1064.8599999999999</v>
      </c>
      <c r="H112" s="10">
        <v>2369.5300000000002</v>
      </c>
      <c r="I112" s="10">
        <v>727.74</v>
      </c>
      <c r="J112" s="297">
        <v>-4162.13</v>
      </c>
      <c r="K112" s="18"/>
    </row>
    <row r="113" spans="1:11" ht="15" customHeight="1">
      <c r="A113" s="107"/>
      <c r="B113" s="298">
        <v>7</v>
      </c>
      <c r="C113" s="18"/>
      <c r="D113" s="13"/>
      <c r="E113" s="13"/>
      <c r="F113" s="297">
        <v>0</v>
      </c>
      <c r="G113" s="296">
        <v>1064.8599999999999</v>
      </c>
      <c r="H113" s="10">
        <v>2369.5300000000002</v>
      </c>
      <c r="I113" s="10">
        <v>727.74</v>
      </c>
      <c r="J113" s="297">
        <v>-4162.13</v>
      </c>
      <c r="K113" s="18"/>
    </row>
    <row r="114" spans="1:11" ht="15" customHeight="1">
      <c r="A114" s="107"/>
      <c r="B114" s="298">
        <v>8</v>
      </c>
      <c r="C114" s="18"/>
      <c r="D114" s="13"/>
      <c r="E114" s="13"/>
      <c r="F114" s="297">
        <v>0</v>
      </c>
      <c r="G114" s="296">
        <v>1064.8599999999999</v>
      </c>
      <c r="H114" s="10">
        <v>2369.5300000000002</v>
      </c>
      <c r="I114" s="10">
        <v>727.74</v>
      </c>
      <c r="J114" s="297">
        <v>-4162.13</v>
      </c>
      <c r="K114" s="18"/>
    </row>
    <row r="115" spans="1:11" ht="15" customHeight="1">
      <c r="A115" s="107"/>
      <c r="B115" s="298">
        <v>9</v>
      </c>
      <c r="C115" s="18"/>
      <c r="D115" s="13"/>
      <c r="E115" s="13"/>
      <c r="F115" s="297">
        <v>0</v>
      </c>
      <c r="G115" s="296">
        <v>1064.8599999999999</v>
      </c>
      <c r="H115" s="10">
        <v>2369.5300000000002</v>
      </c>
      <c r="I115" s="10">
        <v>727.74</v>
      </c>
      <c r="J115" s="297">
        <v>-4162.13</v>
      </c>
      <c r="K115" s="18"/>
    </row>
    <row r="116" spans="1:11" ht="15" customHeight="1">
      <c r="A116" s="107"/>
      <c r="B116" s="298">
        <v>10</v>
      </c>
      <c r="C116" s="18"/>
      <c r="D116" s="13"/>
      <c r="E116" s="13"/>
      <c r="F116" s="297">
        <v>0</v>
      </c>
      <c r="G116" s="296">
        <v>1064.8599999999999</v>
      </c>
      <c r="H116" s="10">
        <v>2369.5300000000002</v>
      </c>
      <c r="I116" s="10">
        <v>727.74</v>
      </c>
      <c r="J116" s="297">
        <v>-4162.13</v>
      </c>
      <c r="K116" s="18"/>
    </row>
    <row r="117" spans="1:11" ht="15" customHeight="1">
      <c r="A117" s="107"/>
      <c r="B117" s="298">
        <v>11</v>
      </c>
      <c r="C117" s="18"/>
      <c r="D117" s="13"/>
      <c r="E117" s="13"/>
      <c r="F117" s="297">
        <v>0</v>
      </c>
      <c r="G117" s="296">
        <v>1064.8599999999999</v>
      </c>
      <c r="H117" s="10">
        <v>2369.5300000000002</v>
      </c>
      <c r="I117" s="10">
        <v>727.74</v>
      </c>
      <c r="J117" s="297">
        <v>-4162.13</v>
      </c>
      <c r="K117" s="18"/>
    </row>
    <row r="118" spans="1:11" ht="15" customHeight="1">
      <c r="A118" s="107"/>
      <c r="B118" s="298">
        <v>12</v>
      </c>
      <c r="C118" s="18"/>
      <c r="D118" s="13"/>
      <c r="E118" s="13"/>
      <c r="F118" s="297">
        <v>0</v>
      </c>
      <c r="G118" s="296">
        <v>1064.8599999999999</v>
      </c>
      <c r="H118" s="10">
        <v>2369.5300000000002</v>
      </c>
      <c r="I118" s="10">
        <v>727.74</v>
      </c>
      <c r="J118" s="294">
        <v>-4162.13</v>
      </c>
      <c r="K118" s="18"/>
    </row>
    <row r="119" spans="1:11" ht="15" customHeight="1" thickBot="1">
      <c r="A119" s="107" t="s">
        <v>531</v>
      </c>
      <c r="B119" s="295"/>
      <c r="C119" s="18"/>
      <c r="D119" s="13"/>
      <c r="E119" s="13"/>
      <c r="F119" s="297">
        <v>0</v>
      </c>
      <c r="G119" s="303"/>
      <c r="H119" s="302"/>
      <c r="I119" s="302"/>
      <c r="J119" s="301">
        <v>-49945.56</v>
      </c>
      <c r="K119" s="18"/>
    </row>
    <row r="120" spans="1:11" ht="15" customHeight="1" thickTop="1">
      <c r="A120" s="300">
        <v>2029</v>
      </c>
      <c r="B120" s="298">
        <v>1</v>
      </c>
      <c r="C120" s="18"/>
      <c r="D120" s="13"/>
      <c r="E120" s="13"/>
      <c r="F120" s="297">
        <v>0</v>
      </c>
      <c r="G120" s="296">
        <v>515.25</v>
      </c>
      <c r="H120" s="10">
        <v>1146.55</v>
      </c>
      <c r="I120" s="10">
        <v>352.13</v>
      </c>
      <c r="J120" s="299">
        <v>-2013.93</v>
      </c>
      <c r="K120" s="18"/>
    </row>
    <row r="121" spans="1:11" ht="15" customHeight="1">
      <c r="A121" s="107"/>
      <c r="B121" s="298">
        <v>2</v>
      </c>
      <c r="C121" s="18"/>
      <c r="D121" s="13"/>
      <c r="E121" s="13"/>
      <c r="F121" s="297">
        <v>0</v>
      </c>
      <c r="G121" s="18"/>
      <c r="H121" s="13"/>
      <c r="I121" s="13"/>
      <c r="J121" s="297">
        <v>0</v>
      </c>
      <c r="K121" s="18"/>
    </row>
    <row r="122" spans="1:11" ht="15" customHeight="1">
      <c r="A122" s="107"/>
      <c r="B122" s="298">
        <v>3</v>
      </c>
      <c r="C122" s="18"/>
      <c r="D122" s="13"/>
      <c r="E122" s="13"/>
      <c r="F122" s="297">
        <v>0</v>
      </c>
      <c r="G122" s="18"/>
      <c r="H122" s="13"/>
      <c r="I122" s="13"/>
      <c r="J122" s="297">
        <v>0</v>
      </c>
      <c r="K122" s="18"/>
    </row>
    <row r="123" spans="1:11" ht="15" customHeight="1">
      <c r="A123" s="107"/>
      <c r="B123" s="298">
        <v>4</v>
      </c>
      <c r="C123" s="18"/>
      <c r="D123" s="13"/>
      <c r="E123" s="13"/>
      <c r="F123" s="297">
        <v>0</v>
      </c>
      <c r="G123" s="18"/>
      <c r="H123" s="13"/>
      <c r="I123" s="13"/>
      <c r="J123" s="297">
        <v>0</v>
      </c>
      <c r="K123" s="18"/>
    </row>
    <row r="124" spans="1:11" ht="15" customHeight="1">
      <c r="A124" s="107"/>
      <c r="B124" s="298">
        <v>5</v>
      </c>
      <c r="C124" s="18"/>
      <c r="D124" s="13"/>
      <c r="E124" s="13"/>
      <c r="F124" s="297">
        <v>0</v>
      </c>
      <c r="G124" s="18"/>
      <c r="H124" s="13"/>
      <c r="I124" s="13"/>
      <c r="J124" s="297">
        <v>0</v>
      </c>
      <c r="K124" s="18"/>
    </row>
    <row r="125" spans="1:11" ht="15" customHeight="1">
      <c r="A125" s="107"/>
      <c r="B125" s="298">
        <v>6</v>
      </c>
      <c r="C125" s="18"/>
      <c r="D125" s="13"/>
      <c r="E125" s="13"/>
      <c r="F125" s="297">
        <v>0</v>
      </c>
      <c r="G125" s="18"/>
      <c r="H125" s="13"/>
      <c r="I125" s="13"/>
      <c r="J125" s="297">
        <v>0</v>
      </c>
      <c r="K125" s="18"/>
    </row>
    <row r="126" spans="1:11" ht="15" customHeight="1">
      <c r="A126" s="107"/>
      <c r="B126" s="298">
        <v>7</v>
      </c>
      <c r="C126" s="18"/>
      <c r="D126" s="13"/>
      <c r="E126" s="13"/>
      <c r="F126" s="297">
        <v>0</v>
      </c>
      <c r="G126" s="18"/>
      <c r="H126" s="13"/>
      <c r="I126" s="13"/>
      <c r="J126" s="297">
        <v>0</v>
      </c>
      <c r="K126" s="18"/>
    </row>
    <row r="127" spans="1:11" ht="15" customHeight="1">
      <c r="A127" s="107"/>
      <c r="B127" s="298">
        <v>8</v>
      </c>
      <c r="C127" s="18"/>
      <c r="D127" s="13"/>
      <c r="E127" s="13"/>
      <c r="F127" s="297">
        <v>0</v>
      </c>
      <c r="G127" s="18"/>
      <c r="H127" s="13"/>
      <c r="I127" s="13"/>
      <c r="J127" s="297">
        <v>0</v>
      </c>
      <c r="K127" s="18"/>
    </row>
    <row r="128" spans="1:11" ht="15" customHeight="1">
      <c r="A128" s="107"/>
      <c r="B128" s="298">
        <v>9</v>
      </c>
      <c r="C128" s="18"/>
      <c r="D128" s="13"/>
      <c r="E128" s="13"/>
      <c r="F128" s="297">
        <v>0</v>
      </c>
      <c r="G128" s="18"/>
      <c r="H128" s="13"/>
      <c r="I128" s="13"/>
      <c r="J128" s="297">
        <v>0</v>
      </c>
      <c r="K128" s="18"/>
    </row>
    <row r="129" spans="1:11" ht="15" customHeight="1">
      <c r="A129" s="107"/>
      <c r="B129" s="298">
        <v>10</v>
      </c>
      <c r="C129" s="18"/>
      <c r="D129" s="13"/>
      <c r="E129" s="13"/>
      <c r="F129" s="297">
        <v>0</v>
      </c>
      <c r="G129" s="18"/>
      <c r="H129" s="13"/>
      <c r="I129" s="13"/>
      <c r="J129" s="297">
        <v>0</v>
      </c>
      <c r="K129" s="18"/>
    </row>
    <row r="130" spans="1:11" ht="15" customHeight="1">
      <c r="A130" s="107"/>
      <c r="B130" s="298">
        <v>11</v>
      </c>
      <c r="C130" s="18"/>
      <c r="D130" s="13"/>
      <c r="E130" s="13"/>
      <c r="F130" s="297">
        <v>0</v>
      </c>
      <c r="G130" s="18"/>
      <c r="H130" s="13"/>
      <c r="I130" s="13"/>
      <c r="J130" s="297">
        <v>0</v>
      </c>
      <c r="K130" s="18"/>
    </row>
    <row r="131" spans="1:11" ht="15" customHeight="1">
      <c r="A131" s="107"/>
      <c r="B131" s="298">
        <v>12</v>
      </c>
      <c r="C131" s="18"/>
      <c r="D131" s="13"/>
      <c r="E131" s="13"/>
      <c r="F131" s="297">
        <v>0</v>
      </c>
      <c r="G131" s="18"/>
      <c r="H131" s="13"/>
      <c r="I131" s="13"/>
      <c r="J131" s="294">
        <v>0</v>
      </c>
      <c r="K131" s="18"/>
    </row>
    <row r="132" spans="1:11" ht="15" customHeight="1">
      <c r="A132" s="107" t="s">
        <v>530</v>
      </c>
      <c r="B132" s="295"/>
      <c r="C132" s="192"/>
      <c r="D132" s="24"/>
      <c r="E132" s="24"/>
      <c r="F132" s="294">
        <v>0</v>
      </c>
      <c r="G132" s="293"/>
      <c r="H132" s="292"/>
      <c r="I132" s="292"/>
      <c r="J132" s="291">
        <v>-2013.93</v>
      </c>
      <c r="K132" s="18"/>
    </row>
    <row r="133" spans="1:11" ht="15" customHeight="1">
      <c r="A133" s="107"/>
      <c r="B133" s="107"/>
      <c r="C133" s="17"/>
      <c r="D133" s="17"/>
      <c r="E133" s="17"/>
      <c r="F133" s="7"/>
      <c r="G133" s="17"/>
      <c r="H133" s="17"/>
      <c r="I133" s="17"/>
      <c r="J133" s="7"/>
    </row>
    <row r="134" spans="1:11" ht="15" customHeight="1" thickBot="1">
      <c r="A134" s="13"/>
      <c r="B134" s="13"/>
      <c r="C134" s="13"/>
      <c r="D134" s="13"/>
      <c r="E134" s="13" t="s">
        <v>88</v>
      </c>
      <c r="F134" s="301">
        <v>-55251.8</v>
      </c>
      <c r="G134" s="18"/>
      <c r="H134" s="13"/>
      <c r="I134" s="13" t="s">
        <v>88</v>
      </c>
      <c r="J134" s="301">
        <v>-249727.8</v>
      </c>
      <c r="K134" s="18"/>
    </row>
    <row r="135" spans="1:11" ht="15" customHeight="1" thickTop="1">
      <c r="F135" s="22"/>
      <c r="J135" s="22"/>
    </row>
    <row r="136" spans="1:11" ht="15" customHeight="1">
      <c r="A136" s="13" t="s">
        <v>53</v>
      </c>
      <c r="B136" s="13" t="s">
        <v>54</v>
      </c>
    </row>
  </sheetData>
  <mergeCells count="10">
    <mergeCell ref="G13:J13"/>
    <mergeCell ref="G12:J12"/>
    <mergeCell ref="B9:J9"/>
    <mergeCell ref="C12:F12"/>
    <mergeCell ref="C13:F13"/>
    <mergeCell ref="A1:D1"/>
    <mergeCell ref="A2:E2"/>
    <mergeCell ref="A4:C4"/>
    <mergeCell ref="A3:D3"/>
    <mergeCell ref="B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94A2C-0FB2-4819-83D5-908B14BB4A47}">
  <dimension ref="A1:E18"/>
  <sheetViews>
    <sheetView showRuler="0" workbookViewId="0">
      <selection sqref="A1:B1"/>
    </sheetView>
  </sheetViews>
  <sheetFormatPr defaultColWidth="13.7265625" defaultRowHeight="12.5"/>
  <cols>
    <col min="1" max="1" width="20" style="2" customWidth="1"/>
    <col min="2" max="2" width="16.453125" style="2" customWidth="1"/>
    <col min="3" max="3" width="27.54296875" style="2" customWidth="1"/>
    <col min="4" max="7" width="20" style="2" customWidth="1"/>
    <col min="8" max="16384" width="13.7265625" style="2"/>
  </cols>
  <sheetData>
    <row r="1" spans="1:5" ht="15" customHeight="1">
      <c r="A1" s="672" t="s">
        <v>51</v>
      </c>
      <c r="B1" s="670"/>
    </row>
    <row r="2" spans="1:5" ht="15" customHeight="1">
      <c r="A2" s="672" t="s">
        <v>560</v>
      </c>
      <c r="B2" s="670"/>
    </row>
    <row r="3" spans="1:5" ht="15" customHeight="1">
      <c r="A3" s="672" t="s">
        <v>83</v>
      </c>
      <c r="B3" s="670"/>
      <c r="C3" s="670"/>
    </row>
    <row r="4" spans="1:5" ht="15" customHeight="1">
      <c r="A4" s="672" t="s">
        <v>559</v>
      </c>
      <c r="B4" s="670"/>
      <c r="C4" s="670"/>
      <c r="D4" s="670"/>
    </row>
    <row r="5" spans="1:5" ht="15" customHeight="1"/>
    <row r="6" spans="1:5" ht="15" customHeight="1"/>
    <row r="7" spans="1:5" ht="15" customHeight="1">
      <c r="A7" s="333" t="s">
        <v>558</v>
      </c>
      <c r="B7" s="333"/>
      <c r="C7" s="333" t="s">
        <v>557</v>
      </c>
      <c r="D7" s="333"/>
      <c r="E7" s="333"/>
    </row>
    <row r="8" spans="1:5" ht="15" customHeight="1">
      <c r="A8" s="332" t="s">
        <v>542</v>
      </c>
      <c r="B8" s="332" t="s">
        <v>95</v>
      </c>
      <c r="C8" s="332" t="s">
        <v>556</v>
      </c>
      <c r="D8" s="332" t="s">
        <v>555</v>
      </c>
      <c r="E8" s="332" t="s">
        <v>244</v>
      </c>
    </row>
    <row r="9" spans="1:5" ht="15" customHeight="1">
      <c r="A9" s="20">
        <v>2024</v>
      </c>
      <c r="B9" s="20">
        <v>5060000</v>
      </c>
      <c r="C9" s="11">
        <v>741761</v>
      </c>
      <c r="D9" s="13"/>
      <c r="E9" s="331">
        <v>741761</v>
      </c>
    </row>
    <row r="10" spans="1:5" ht="15" customHeight="1">
      <c r="A10" s="13"/>
      <c r="B10" s="20">
        <v>5880000</v>
      </c>
      <c r="C10" s="11">
        <v>2257483</v>
      </c>
      <c r="D10" s="20">
        <v>0</v>
      </c>
      <c r="E10" s="20">
        <v>2257483</v>
      </c>
    </row>
    <row r="11" spans="1:5" ht="15" customHeight="1">
      <c r="A11" s="13"/>
      <c r="B11" s="20">
        <v>9200000</v>
      </c>
      <c r="C11" s="11">
        <v>87305</v>
      </c>
      <c r="D11" s="13"/>
      <c r="E11" s="331">
        <v>87305</v>
      </c>
    </row>
    <row r="12" spans="1:5" ht="15" customHeight="1">
      <c r="A12" s="107" t="s">
        <v>554</v>
      </c>
      <c r="B12" s="107"/>
      <c r="C12" s="330">
        <v>3086549</v>
      </c>
      <c r="D12" s="300">
        <v>0</v>
      </c>
      <c r="E12" s="329">
        <v>3086549</v>
      </c>
    </row>
    <row r="13" spans="1:5" ht="15" customHeight="1">
      <c r="A13" s="328" t="s">
        <v>244</v>
      </c>
      <c r="B13" s="328"/>
      <c r="C13" s="327">
        <v>3086549</v>
      </c>
      <c r="D13" s="327">
        <v>0</v>
      </c>
      <c r="E13" s="327">
        <v>3086549</v>
      </c>
    </row>
    <row r="14" spans="1:5" ht="15" customHeight="1"/>
    <row r="15" spans="1:5" ht="15" customHeight="1"/>
    <row r="16" spans="1:5" ht="15" customHeight="1"/>
    <row r="17" spans="1:2" ht="15" customHeight="1">
      <c r="A17" s="13" t="s">
        <v>53</v>
      </c>
      <c r="B17" s="13" t="s">
        <v>54</v>
      </c>
    </row>
    <row r="18" spans="1:2" ht="15" customHeight="1"/>
  </sheetData>
  <mergeCells count="4">
    <mergeCell ref="A1:B1"/>
    <mergeCell ref="A2:B2"/>
    <mergeCell ref="A4:D4"/>
    <mergeCell ref="A3: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0517-FA31-496F-9EF1-3AE35C775393}">
  <sheetPr>
    <pageSetUpPr fitToPage="1"/>
  </sheetPr>
  <dimension ref="A1:Q49"/>
  <sheetViews>
    <sheetView zoomScale="85" zoomScaleNormal="85" workbookViewId="0">
      <selection sqref="A1:C1"/>
    </sheetView>
  </sheetViews>
  <sheetFormatPr defaultColWidth="9.1796875" defaultRowHeight="12.5"/>
  <cols>
    <col min="1" max="1" width="13.453125" style="432" customWidth="1"/>
    <col min="2" max="2" width="13.1796875" style="432" customWidth="1"/>
    <col min="3" max="3" width="16.453125" style="432" customWidth="1"/>
    <col min="4" max="4" width="12.1796875" style="432" customWidth="1"/>
    <col min="5" max="5" width="12.7265625" style="432" bestFit="1" customWidth="1"/>
    <col min="6" max="6" width="9.1796875" style="432"/>
    <col min="7" max="7" width="12.81640625" style="432" customWidth="1"/>
    <col min="8" max="9" width="13.26953125" style="432" customWidth="1"/>
    <col min="10" max="10" width="13.1796875" style="432" customWidth="1"/>
    <col min="11" max="11" width="12.7265625" style="432" bestFit="1" customWidth="1"/>
    <col min="12" max="12" width="12.7265625" style="432" customWidth="1"/>
    <col min="13" max="13" width="9.1796875" style="432"/>
    <col min="14" max="14" width="26" style="432" customWidth="1"/>
    <col min="15" max="15" width="12.1796875" style="432" customWidth="1"/>
    <col min="16" max="16" width="13.453125" style="432" customWidth="1"/>
    <col min="17" max="17" width="11.26953125" style="432" bestFit="1" customWidth="1"/>
    <col min="18" max="16384" width="9.1796875" style="432"/>
  </cols>
  <sheetData>
    <row r="1" spans="1:17" ht="12.75" customHeight="1">
      <c r="A1" s="735" t="s">
        <v>51</v>
      </c>
      <c r="B1" s="736"/>
      <c r="C1" s="469"/>
      <c r="D1" s="349"/>
    </row>
    <row r="2" spans="1:17" ht="12.75" customHeight="1">
      <c r="A2" s="469" t="s">
        <v>902</v>
      </c>
      <c r="B2" s="469"/>
      <c r="C2" s="469"/>
      <c r="D2" s="349"/>
    </row>
    <row r="3" spans="1:17" ht="12.75" customHeight="1">
      <c r="A3" s="735" t="s">
        <v>83</v>
      </c>
      <c r="B3" s="736"/>
      <c r="C3" s="736"/>
      <c r="D3" s="349"/>
    </row>
    <row r="4" spans="1:17" ht="12.75" customHeight="1">
      <c r="A4" s="433"/>
      <c r="B4" s="349"/>
      <c r="C4" s="349"/>
      <c r="D4" s="349"/>
    </row>
    <row r="5" spans="1:17">
      <c r="A5" s="468"/>
      <c r="B5" s="468"/>
      <c r="C5" s="468"/>
      <c r="D5" s="468"/>
    </row>
    <row r="6" spans="1:17" ht="14">
      <c r="A6" s="737" t="s">
        <v>901</v>
      </c>
      <c r="B6" s="738"/>
      <c r="C6" s="738"/>
      <c r="D6" s="738"/>
      <c r="E6" s="739"/>
      <c r="G6" s="737" t="s">
        <v>900</v>
      </c>
      <c r="H6" s="738"/>
      <c r="I6" s="738"/>
      <c r="J6" s="738"/>
      <c r="K6" s="739"/>
      <c r="L6" s="467"/>
    </row>
    <row r="7" spans="1:17" ht="36.75" customHeight="1">
      <c r="A7" s="740" t="s">
        <v>899</v>
      </c>
      <c r="B7" s="466" t="s">
        <v>898</v>
      </c>
      <c r="C7" s="466" t="s">
        <v>897</v>
      </c>
      <c r="D7" s="466" t="s">
        <v>896</v>
      </c>
      <c r="E7" s="740" t="s">
        <v>895</v>
      </c>
      <c r="G7" s="740" t="s">
        <v>899</v>
      </c>
      <c r="H7" s="466" t="s">
        <v>898</v>
      </c>
      <c r="I7" s="466" t="s">
        <v>897</v>
      </c>
      <c r="J7" s="466" t="s">
        <v>896</v>
      </c>
      <c r="K7" s="740" t="s">
        <v>895</v>
      </c>
      <c r="L7" s="449"/>
    </row>
    <row r="8" spans="1:17" ht="27" customHeight="1">
      <c r="A8" s="741"/>
      <c r="B8" s="465" t="s">
        <v>11</v>
      </c>
      <c r="C8" s="465" t="s">
        <v>13</v>
      </c>
      <c r="D8" s="465" t="s">
        <v>12</v>
      </c>
      <c r="E8" s="741"/>
      <c r="G8" s="741"/>
      <c r="H8" s="465" t="s">
        <v>11</v>
      </c>
      <c r="I8" s="465" t="s">
        <v>13</v>
      </c>
      <c r="J8" s="465" t="s">
        <v>12</v>
      </c>
      <c r="K8" s="741"/>
      <c r="L8" s="449"/>
      <c r="O8" s="464" t="s">
        <v>88</v>
      </c>
      <c r="P8" s="463" t="s">
        <v>894</v>
      </c>
    </row>
    <row r="9" spans="1:17" ht="14.5">
      <c r="A9" s="444" t="s">
        <v>893</v>
      </c>
      <c r="B9" s="443">
        <f>IFERROR(VLOOKUP(A9,W30_PG_1_of_3!$B$9:$K$44,10,FALSE),0)</f>
        <v>27826.469077504677</v>
      </c>
      <c r="C9" s="443">
        <f>IFERROR(VLOOKUP(A9,W32_PG_1_of_2!$B$10:$D$36,3,FALSE),0)</f>
        <v>2840.4212955080325</v>
      </c>
      <c r="D9" s="443">
        <f>IFERROR(VLOOKUP(A9,W31_PG_1_of_4!$B$9:$I$46,8,FALSE),0)</f>
        <v>135798.70819133637</v>
      </c>
      <c r="E9" s="448">
        <f t="shared" ref="E9:E45" si="0">SUM(B9:D9)</f>
        <v>166465.59856434909</v>
      </c>
      <c r="G9" s="444" t="s">
        <v>893</v>
      </c>
      <c r="H9" s="443">
        <f>IFERROR(VLOOKUP(G9,W30_PG_1_of_3!$B$9:$L$44,11,FALSE),0)</f>
        <v>27826.469077504677</v>
      </c>
      <c r="I9" s="443">
        <f>IFERROR(VLOOKUP(G9,W32_PG_1_of_2!$B$10:$F$36,5,FALSE),0)</f>
        <v>2840.4212955080325</v>
      </c>
      <c r="J9" s="443">
        <f>IFERROR(VLOOKUP(G9,W31_PG_1_of_4!$B$9:$J$45,9,FALSE),0)</f>
        <v>135798.70819133637</v>
      </c>
      <c r="K9" s="442">
        <f t="shared" ref="K9:K45" si="1">SUM(H9:J9)</f>
        <v>166465.59856434909</v>
      </c>
      <c r="L9" s="441"/>
      <c r="M9" s="462" t="s">
        <v>14</v>
      </c>
      <c r="N9" s="461" t="s">
        <v>892</v>
      </c>
      <c r="O9" s="460">
        <v>45398.09</v>
      </c>
      <c r="P9" s="459">
        <v>45398.09</v>
      </c>
    </row>
    <row r="10" spans="1:17" ht="14.5">
      <c r="A10" s="444" t="s">
        <v>891</v>
      </c>
      <c r="B10" s="443">
        <f>IFERROR(VLOOKUP(A10,W30_PG_1_of_3!$B$9:$K$44,10,FALSE),0)</f>
        <v>71967.951251625855</v>
      </c>
      <c r="C10" s="443">
        <f>IFERROR(VLOOKUP(A10,W32_PG_1_of_2!$B$10:$D$36,3,FALSE),0)</f>
        <v>22112.974813660014</v>
      </c>
      <c r="D10" s="443">
        <f>IFERROR(VLOOKUP(A10,W31_PG_1_of_4!$B$9:$I$45,8,FALSE),0)</f>
        <v>247349.36590975104</v>
      </c>
      <c r="E10" s="448">
        <f t="shared" si="0"/>
        <v>341430.2919750369</v>
      </c>
      <c r="G10" s="444" t="s">
        <v>891</v>
      </c>
      <c r="H10" s="443">
        <f>IFERROR(VLOOKUP(G10,W30_PG_1_of_3!$B$9:$L$44,11,FALSE),0)</f>
        <v>71967.951251625855</v>
      </c>
      <c r="I10" s="443">
        <f>IFERROR(VLOOKUP(G10,W32_PG_1_of_2!$B$10:$F$36,5,FALSE),0)</f>
        <v>22112.974813660014</v>
      </c>
      <c r="J10" s="443">
        <f>IFERROR(VLOOKUP(G10,W31_PG_1_of_4!$B$9:$J$45,9,FALSE),0)</f>
        <v>247349.36590975104</v>
      </c>
      <c r="K10" s="442">
        <f t="shared" si="1"/>
        <v>341430.2919750369</v>
      </c>
      <c r="L10" s="441"/>
      <c r="M10" s="458" t="s">
        <v>15</v>
      </c>
      <c r="N10" s="432" t="s">
        <v>890</v>
      </c>
      <c r="O10" s="457">
        <f>W34_PG_1_of_3!H22</f>
        <v>184630.17912899883</v>
      </c>
      <c r="P10" s="442">
        <f>W34_PG_1_of_3!H25</f>
        <v>184630.17912899883</v>
      </c>
    </row>
    <row r="11" spans="1:17" ht="14.5">
      <c r="A11" s="444" t="s">
        <v>889</v>
      </c>
      <c r="B11" s="443">
        <f>IFERROR(VLOOKUP(A11,W30_PG_1_of_3!$B$9:$K$44,10,FALSE),0)</f>
        <v>37773.0456252515</v>
      </c>
      <c r="C11" s="443">
        <f>IFERROR(VLOOKUP(A11,W32_PG_1_of_2!$B$10:$D$36,3,FALSE),0)</f>
        <v>8013.9807669380043</v>
      </c>
      <c r="D11" s="443">
        <f>IFERROR(VLOOKUP(A11,W31_PG_1_of_4!$B$9:$I$45,8,FALSE),0)</f>
        <v>148361.2729239671</v>
      </c>
      <c r="E11" s="448">
        <f t="shared" si="0"/>
        <v>194148.2993161566</v>
      </c>
      <c r="G11" s="444" t="s">
        <v>889</v>
      </c>
      <c r="H11" s="443">
        <f>IFERROR(VLOOKUP(G11,W30_PG_1_of_3!$B$9:$L$44,11,FALSE),0)</f>
        <v>37773.0456252515</v>
      </c>
      <c r="I11" s="443">
        <f>IFERROR(VLOOKUP(G11,W32_PG_1_of_2!$B$10:$F$36,5,FALSE),0)</f>
        <v>8013.9807669380043</v>
      </c>
      <c r="J11" s="443">
        <f>IFERROR(VLOOKUP(G11,W31_PG_1_of_4!$B$9:$J$45,9,FALSE),0)</f>
        <v>148361.2729239671</v>
      </c>
      <c r="K11" s="442">
        <f t="shared" si="1"/>
        <v>194148.2993161566</v>
      </c>
      <c r="L11" s="441"/>
      <c r="M11" s="456" t="s">
        <v>16</v>
      </c>
      <c r="N11" s="455" t="s">
        <v>888</v>
      </c>
      <c r="O11" s="454">
        <f>W35_PG_1_of_2!K21</f>
        <v>17122</v>
      </c>
      <c r="P11" s="453">
        <f>W35_PG_1_of_2!K23</f>
        <v>17122</v>
      </c>
    </row>
    <row r="12" spans="1:17" ht="14.5">
      <c r="A12" s="444" t="s">
        <v>887</v>
      </c>
      <c r="B12" s="443">
        <f>IFERROR(VLOOKUP(A12,W30_PG_1_of_3!$B$9:$K$44,10,FALSE),0)</f>
        <v>1180.7399864418953</v>
      </c>
      <c r="C12" s="443">
        <f>IFERROR(VLOOKUP(A12,W32_PG_1_of_2!$B$10:$D$36,3,FALSE),0)</f>
        <v>212.79409182493939</v>
      </c>
      <c r="D12" s="443">
        <f>IFERROR(VLOOKUP(A12,W31_PG_1_of_4!$B$9:$I$45,8,FALSE),0)</f>
        <v>5335.6842902252829</v>
      </c>
      <c r="E12" s="448">
        <f t="shared" si="0"/>
        <v>6729.2183684921174</v>
      </c>
      <c r="G12" s="444" t="s">
        <v>887</v>
      </c>
      <c r="H12" s="443">
        <f>IFERROR(VLOOKUP(G12,W30_PG_1_of_3!$B$9:$L$44,11,FALSE),0)</f>
        <v>1180.7399864418953</v>
      </c>
      <c r="I12" s="443">
        <f>IFERROR(VLOOKUP(G12,W32_PG_1_of_2!$B$10:$F$36,5,FALSE),0)</f>
        <v>212.79409182493939</v>
      </c>
      <c r="J12" s="443">
        <f>IFERROR(VLOOKUP(G12,W31_PG_1_of_4!$B$9:$J$45,9,FALSE),0)</f>
        <v>5335.6842902252829</v>
      </c>
      <c r="K12" s="442">
        <f t="shared" si="1"/>
        <v>6729.2183684921174</v>
      </c>
      <c r="L12" s="441"/>
      <c r="M12" s="742" t="s">
        <v>886</v>
      </c>
      <c r="N12" s="743"/>
      <c r="O12" s="452">
        <f>SUM(O9:O11)</f>
        <v>247150.26912899883</v>
      </c>
      <c r="P12" s="451">
        <f>SUM(P9:P11)</f>
        <v>247150.26912899883</v>
      </c>
    </row>
    <row r="13" spans="1:17" ht="14.5">
      <c r="A13" s="444" t="s">
        <v>885</v>
      </c>
      <c r="B13" s="443">
        <f>IFERROR(VLOOKUP(A13,W30_PG_1_of_3!$B$9:$K$44,10,FALSE),0)</f>
        <v>36941.02716259734</v>
      </c>
      <c r="C13" s="443">
        <f>IFERROR(VLOOKUP(A13,W32_PG_1_of_2!$B$10:$D$36,3,FALSE),0)</f>
        <v>7936.7578915515569</v>
      </c>
      <c r="D13" s="443">
        <f>IFERROR(VLOOKUP(A13,W31_PG_1_of_4!$B$9:$I$45,8,FALSE),0)</f>
        <v>148502.56529364665</v>
      </c>
      <c r="E13" s="448">
        <f t="shared" si="0"/>
        <v>193380.35034779555</v>
      </c>
      <c r="G13" s="444" t="s">
        <v>885</v>
      </c>
      <c r="H13" s="443">
        <f>IFERROR(VLOOKUP(G13,W30_PG_1_of_3!$B$9:$L$44,11,FALSE),0)</f>
        <v>36941.02716259734</v>
      </c>
      <c r="I13" s="443">
        <f>IFERROR(VLOOKUP(G13,W32_PG_1_of_2!$B$10:$F$36,5,FALSE),0)</f>
        <v>7936.7578915515569</v>
      </c>
      <c r="J13" s="443">
        <f>IFERROR(VLOOKUP(G13,W31_PG_1_of_4!$B$9:$J$45,9,FALSE),0)</f>
        <v>148502.56529364665</v>
      </c>
      <c r="K13" s="442">
        <f t="shared" si="1"/>
        <v>193380.35034779555</v>
      </c>
      <c r="L13" s="441"/>
    </row>
    <row r="14" spans="1:17" ht="14.5">
      <c r="A14" s="444" t="s">
        <v>884</v>
      </c>
      <c r="B14" s="443">
        <f>IFERROR(VLOOKUP(A14,W30_PG_1_of_3!$B$9:$K$44,10,FALSE),0)</f>
        <v>26345.249837943062</v>
      </c>
      <c r="C14" s="443">
        <f>IFERROR(VLOOKUP(A14,W32_PG_1_of_2!$B$10:$D$36,3,FALSE),0)</f>
        <v>2985.0570398746131</v>
      </c>
      <c r="D14" s="443">
        <f>IFERROR(VLOOKUP(A14,W31_PG_1_of_4!$B$9:$I$45,8,FALSE),0)</f>
        <v>116451.62209259777</v>
      </c>
      <c r="E14" s="448">
        <f t="shared" si="0"/>
        <v>145781.92897041544</v>
      </c>
      <c r="G14" s="444" t="s">
        <v>884</v>
      </c>
      <c r="H14" s="443">
        <f>IFERROR(VLOOKUP(G14,W30_PG_1_of_3!$B$9:$L$44,11,FALSE),0)</f>
        <v>26345.249837943062</v>
      </c>
      <c r="I14" s="443">
        <f>IFERROR(VLOOKUP(G14,W32_PG_1_of_2!$B$10:$F$36,5,FALSE),0)</f>
        <v>2985.0570398746131</v>
      </c>
      <c r="J14" s="443">
        <f>IFERROR(VLOOKUP(G14,W31_PG_1_of_4!$B$9:$J$45,9,FALSE),0)</f>
        <v>116451.62209259777</v>
      </c>
      <c r="K14" s="442">
        <f t="shared" si="1"/>
        <v>145781.92897041544</v>
      </c>
      <c r="L14" s="441"/>
    </row>
    <row r="15" spans="1:17" ht="13.5" customHeight="1">
      <c r="A15" s="444" t="s">
        <v>883</v>
      </c>
      <c r="B15" s="443">
        <f>IFERROR(VLOOKUP(A15,W30_PG_1_of_3!$B$9:$K$44,10,FALSE),0)</f>
        <v>2958.6101054685064</v>
      </c>
      <c r="C15" s="443">
        <f>IFERROR(VLOOKUP(A15,W32_PG_1_of_2!$B$10:$D$36,3,FALSE),0)</f>
        <v>353.09939364149892</v>
      </c>
      <c r="D15" s="443">
        <f>IFERROR(VLOOKUP(A15,W31_PG_1_of_4!$B$9:$I$45,8,FALSE),0)</f>
        <v>13371.098156240783</v>
      </c>
      <c r="E15" s="448">
        <f t="shared" si="0"/>
        <v>16682.807655350789</v>
      </c>
      <c r="G15" s="444" t="s">
        <v>883</v>
      </c>
      <c r="H15" s="443">
        <f>IFERROR(VLOOKUP(G15,W30_PG_1_of_3!$B$9:$L$44,11,FALSE),0)</f>
        <v>2958.6101054685064</v>
      </c>
      <c r="I15" s="443">
        <f>IFERROR(VLOOKUP(G15,W32_PG_1_of_2!$B$10:$F$36,5,FALSE),0)</f>
        <v>353.09939364149892</v>
      </c>
      <c r="J15" s="443">
        <f>IFERROR(VLOOKUP(G15,W31_PG_1_of_4!$B$9:$J$45,9,FALSE),0)</f>
        <v>13371.098156240783</v>
      </c>
      <c r="K15" s="442">
        <f t="shared" si="1"/>
        <v>16682.807655350789</v>
      </c>
      <c r="L15" s="441"/>
      <c r="P15" s="450"/>
      <c r="Q15" s="449"/>
    </row>
    <row r="16" spans="1:17" ht="14.5">
      <c r="A16" s="444" t="s">
        <v>882</v>
      </c>
      <c r="B16" s="443">
        <f>IFERROR(VLOOKUP(A16,W30_PG_1_of_3!$B$9:$K$44,10,FALSE),0)</f>
        <v>43836.905582070365</v>
      </c>
      <c r="C16" s="443">
        <f>IFERROR(VLOOKUP(A16,W32_PG_1_of_2!$B$10:$D$36,3,FALSE),0)</f>
        <v>11897.02184386175</v>
      </c>
      <c r="D16" s="443">
        <f>IFERROR(VLOOKUP(A16,W31_PG_1_of_4!$B$9:$I$45,8,FALSE),0)</f>
        <v>160365.34871882689</v>
      </c>
      <c r="E16" s="448">
        <f t="shared" si="0"/>
        <v>216099.276144759</v>
      </c>
      <c r="G16" s="444" t="s">
        <v>882</v>
      </c>
      <c r="H16" s="443">
        <f>IFERROR(VLOOKUP(G16,W30_PG_1_of_3!$B$9:$L$44,11,FALSE),0)</f>
        <v>43836.905582070365</v>
      </c>
      <c r="I16" s="443">
        <f>IFERROR(VLOOKUP(G16,W32_PG_1_of_2!$B$10:$F$36,5,FALSE),0)</f>
        <v>11897.02184386175</v>
      </c>
      <c r="J16" s="443">
        <f>IFERROR(VLOOKUP(G16,W31_PG_1_of_4!$B$9:$J$45,9,FALSE),0)</f>
        <v>160365.34871882689</v>
      </c>
      <c r="K16" s="442">
        <f t="shared" si="1"/>
        <v>216099.276144759</v>
      </c>
      <c r="L16" s="441"/>
      <c r="P16" s="441"/>
      <c r="Q16" s="441"/>
    </row>
    <row r="17" spans="1:17" ht="14.5">
      <c r="A17" s="444" t="s">
        <v>881</v>
      </c>
      <c r="B17" s="443">
        <f>IFERROR(VLOOKUP(A17,W30_PG_1_of_3!$B$9:$K$44,10,FALSE),0)</f>
        <v>18292.029420313429</v>
      </c>
      <c r="C17" s="443">
        <f>IFERROR(VLOOKUP(A17,W32_PG_1_of_2!$B$10:$D$36,3,FALSE),0)</f>
        <v>3580.1784624760876</v>
      </c>
      <c r="D17" s="443">
        <f>IFERROR(VLOOKUP(A17,W31_PG_1_of_4!$B$9:$I$45,8,FALSE),0)</f>
        <v>67965.066509343684</v>
      </c>
      <c r="E17" s="448">
        <f t="shared" si="0"/>
        <v>89837.2743921332</v>
      </c>
      <c r="G17" s="444" t="s">
        <v>881</v>
      </c>
      <c r="H17" s="443">
        <f>IFERROR(VLOOKUP(G17,W30_PG_1_of_3!$B$9:$L$44,11,FALSE),0)</f>
        <v>18292.029420313429</v>
      </c>
      <c r="I17" s="443">
        <f>IFERROR(VLOOKUP(G17,W32_PG_1_of_2!$B$10:$F$36,5,FALSE),0)</f>
        <v>3580.1784624760876</v>
      </c>
      <c r="J17" s="443">
        <f>IFERROR(VLOOKUP(G17,W31_PG_1_of_4!$B$9:$J$45,9,FALSE),0)</f>
        <v>67965.066509343684</v>
      </c>
      <c r="K17" s="442">
        <f t="shared" si="1"/>
        <v>89837.2743921332</v>
      </c>
      <c r="L17" s="441"/>
      <c r="P17" s="441"/>
      <c r="Q17" s="441"/>
    </row>
    <row r="18" spans="1:17" ht="14.5">
      <c r="A18" s="444" t="s">
        <v>880</v>
      </c>
      <c r="B18" s="443">
        <f>IFERROR(VLOOKUP(A18,W30_PG_1_of_3!$B$9:$K$44,10,FALSE),0)</f>
        <v>4393.4426486130833</v>
      </c>
      <c r="C18" s="443">
        <f>IFERROR(VLOOKUP(A18,W32_PG_1_of_2!$B$10:$D$36,3,FALSE),0)</f>
        <v>1145.9665957705245</v>
      </c>
      <c r="D18" s="443">
        <f>IFERROR(VLOOKUP(A18,W31_PG_1_of_4!$B$9:$I$45,8,FALSE),0)</f>
        <v>12489.545010780246</v>
      </c>
      <c r="E18" s="448">
        <f t="shared" si="0"/>
        <v>18028.954255163855</v>
      </c>
      <c r="G18" s="444" t="s">
        <v>880</v>
      </c>
      <c r="H18" s="443">
        <f>IFERROR(VLOOKUP(G18,W30_PG_1_of_3!$B$9:$L$44,11,FALSE),0)</f>
        <v>4393.4426486130833</v>
      </c>
      <c r="I18" s="443">
        <f>IFERROR(VLOOKUP(G18,W32_PG_1_of_2!$B$10:$F$36,5,FALSE),0)</f>
        <v>1145.9665957705245</v>
      </c>
      <c r="J18" s="443">
        <f>IFERROR(VLOOKUP(G18,W31_PG_1_of_4!$B$9:$J$45,9,FALSE),0)</f>
        <v>12489.545010780246</v>
      </c>
      <c r="K18" s="442">
        <f t="shared" si="1"/>
        <v>18028.954255163855</v>
      </c>
      <c r="L18" s="441"/>
      <c r="P18" s="441"/>
      <c r="Q18" s="441"/>
    </row>
    <row r="19" spans="1:17" ht="14.5">
      <c r="A19" s="444" t="s">
        <v>879</v>
      </c>
      <c r="B19" s="443">
        <f>IFERROR(VLOOKUP(A19,W30_PG_1_of_3!$B$9:$K$44,10,FALSE),0)</f>
        <v>0</v>
      </c>
      <c r="C19" s="443">
        <f>IFERROR(VLOOKUP(A19,W32_PG_1_of_2!$B$10:$D$36,3,FALSE),0)</f>
        <v>0</v>
      </c>
      <c r="D19" s="443">
        <f>IFERROR(VLOOKUP(A19,W31_PG_1_of_4!$B$9:$I$45,8,FALSE),0)</f>
        <v>-1051.1873593657056</v>
      </c>
      <c r="E19" s="448">
        <f t="shared" si="0"/>
        <v>-1051.1873593657056</v>
      </c>
      <c r="G19" s="444" t="s">
        <v>879</v>
      </c>
      <c r="H19" s="443">
        <f>IFERROR(VLOOKUP(G19,W30_PG_1_of_3!$B$9:$L$44,11,FALSE),0)</f>
        <v>0</v>
      </c>
      <c r="I19" s="443">
        <f>IFERROR(VLOOKUP(G19,W32_PG_1_of_2!$B$10:$F$36,5,FALSE),0)</f>
        <v>0</v>
      </c>
      <c r="J19" s="443">
        <f>IFERROR(VLOOKUP(G19,W31_PG_1_of_4!$B$9:$J$45,9,FALSE),0)</f>
        <v>-1051.1873593657056</v>
      </c>
      <c r="K19" s="442">
        <f t="shared" si="1"/>
        <v>-1051.1873593657056</v>
      </c>
      <c r="L19" s="441"/>
      <c r="N19" s="734"/>
      <c r="O19" s="734"/>
      <c r="P19" s="434"/>
      <c r="Q19" s="434"/>
    </row>
    <row r="20" spans="1:17" ht="14.5">
      <c r="A20" s="444" t="s">
        <v>878</v>
      </c>
      <c r="B20" s="443">
        <f>IFERROR(VLOOKUP(A20,W30_PG_1_of_3!$B$9:$K$44,10,FALSE),0)</f>
        <v>-880.16895003244031</v>
      </c>
      <c r="C20" s="443">
        <f>IFERROR(VLOOKUP(A20,W32_PG_1_of_2!$B$10:$D$36,3,FALSE),0)</f>
        <v>0</v>
      </c>
      <c r="D20" s="443">
        <f>IFERROR(VLOOKUP(A20,W31_PG_1_of_4!$B$9:$I$45,8,FALSE),0)</f>
        <v>4213.715612386768</v>
      </c>
      <c r="E20" s="448">
        <f t="shared" si="0"/>
        <v>3333.546662354328</v>
      </c>
      <c r="G20" s="444" t="s">
        <v>878</v>
      </c>
      <c r="H20" s="443">
        <f>IFERROR(VLOOKUP(G20,W30_PG_1_of_3!$B$9:$L$44,11,FALSE),0)</f>
        <v>-880.16895003244031</v>
      </c>
      <c r="I20" s="443">
        <f>IFERROR(VLOOKUP(G20,W32_PG_1_of_2!$B$10:$F$36,5,FALSE),0)</f>
        <v>0</v>
      </c>
      <c r="J20" s="443">
        <f>IFERROR(VLOOKUP(G20,W31_PG_1_of_4!$B$9:$J$45,9,FALSE),0)</f>
        <v>4213.715612386768</v>
      </c>
      <c r="K20" s="442">
        <f t="shared" si="1"/>
        <v>3333.546662354328</v>
      </c>
      <c r="L20" s="441"/>
    </row>
    <row r="21" spans="1:17" ht="14.5">
      <c r="A21" s="444" t="s">
        <v>877</v>
      </c>
      <c r="B21" s="443">
        <f>IFERROR(VLOOKUP(A21,W30_PG_1_of_3!$B$9:$K$44,10,FALSE),0)</f>
        <v>317.35323522108371</v>
      </c>
      <c r="C21" s="443">
        <f>IFERROR(VLOOKUP(A21,W32_PG_1_of_2!$B$10:$D$36,3,FALSE),0)</f>
        <v>42.842578785688978</v>
      </c>
      <c r="D21" s="443">
        <f>IFERROR(VLOOKUP(A21,W31_PG_1_of_4!$B$9:$I$45,8,FALSE),0)</f>
        <v>148.11086882108953</v>
      </c>
      <c r="E21" s="448">
        <f t="shared" si="0"/>
        <v>508.30668282786223</v>
      </c>
      <c r="G21" s="444" t="s">
        <v>877</v>
      </c>
      <c r="H21" s="443">
        <f>IFERROR(VLOOKUP(G21,W30_PG_1_of_3!$B$9:$L$44,11,FALSE),0)</f>
        <v>317.35323522108371</v>
      </c>
      <c r="I21" s="443">
        <f>IFERROR(VLOOKUP(G21,W32_PG_1_of_2!$B$10:$F$36,5,FALSE),0)</f>
        <v>42.842578785688978</v>
      </c>
      <c r="J21" s="443">
        <f>IFERROR(VLOOKUP(G21,W31_PG_1_of_4!$B$9:$J$45,9,FALSE),0)</f>
        <v>148.11086882108953</v>
      </c>
      <c r="K21" s="442">
        <f t="shared" si="1"/>
        <v>508.30668282786223</v>
      </c>
      <c r="L21" s="441"/>
    </row>
    <row r="22" spans="1:17" ht="14.5">
      <c r="A22" s="444" t="s">
        <v>876</v>
      </c>
      <c r="B22" s="443">
        <f>IFERROR(VLOOKUP(A22,W30_PG_1_of_3!$B$9:$K$44,10,FALSE),0)</f>
        <v>8052.5240010751631</v>
      </c>
      <c r="C22" s="443">
        <f>IFERROR(VLOOKUP(A22,W32_PG_1_of_2!$B$10:$D$36,3,FALSE),0)</f>
        <v>0</v>
      </c>
      <c r="D22" s="443">
        <f>IFERROR(VLOOKUP(A22,W31_PG_1_of_4!$B$9:$I$45,8,FALSE),0)</f>
        <v>20104.095177662733</v>
      </c>
      <c r="E22" s="448">
        <f t="shared" si="0"/>
        <v>28156.619178737896</v>
      </c>
      <c r="G22" s="444" t="s">
        <v>876</v>
      </c>
      <c r="H22" s="443">
        <f>IFERROR(VLOOKUP(G22,W30_PG_1_of_3!$B$9:$L$44,11,FALSE),0)</f>
        <v>8052.5240010751631</v>
      </c>
      <c r="I22" s="443">
        <f>IFERROR(VLOOKUP(G22,W32_PG_1_of_2!$B$10:$F$36,5,FALSE),0)</f>
        <v>0</v>
      </c>
      <c r="J22" s="443">
        <f>IFERROR(VLOOKUP(G22,W31_PG_1_of_4!$B$9:$J$45,9,FALSE),0)</f>
        <v>20104.095177662733</v>
      </c>
      <c r="K22" s="442">
        <f t="shared" si="1"/>
        <v>28156.619178737896</v>
      </c>
      <c r="L22" s="441"/>
    </row>
    <row r="23" spans="1:17" ht="14.5">
      <c r="A23" s="444" t="s">
        <v>875</v>
      </c>
      <c r="B23" s="443">
        <f>IFERROR(VLOOKUP(A23,W30_PG_1_of_3!$B$9:$K$44,10,FALSE),0)</f>
        <v>26550.103146276662</v>
      </c>
      <c r="C23" s="443">
        <f>IFERROR(VLOOKUP(A23,W32_PG_1_of_2!$B$10:$D$36,3,FALSE),0)</f>
        <v>1035.4008446286305</v>
      </c>
      <c r="D23" s="443">
        <f>IFERROR(VLOOKUP(A23,W31_PG_1_of_4!$B$9:$I$45,8,FALSE),0)</f>
        <v>-2840.7826062515269</v>
      </c>
      <c r="E23" s="448">
        <f t="shared" si="0"/>
        <v>24744.721384653767</v>
      </c>
      <c r="G23" s="444" t="s">
        <v>875</v>
      </c>
      <c r="H23" s="443">
        <f>IFERROR(VLOOKUP(G23,W30_PG_1_of_3!$B$9:$L$44,11,FALSE),0)</f>
        <v>26550.103146276662</v>
      </c>
      <c r="I23" s="443">
        <f>IFERROR(VLOOKUP(G23,W32_PG_1_of_2!$B$10:$F$36,5,FALSE),0)</f>
        <v>1035.4008446286305</v>
      </c>
      <c r="J23" s="443">
        <f>IFERROR(VLOOKUP(G23,W31_PG_1_of_4!$B$9:$J$45,9,FALSE),0)</f>
        <v>-2840.7826062515269</v>
      </c>
      <c r="K23" s="442">
        <f t="shared" si="1"/>
        <v>24744.721384653767</v>
      </c>
      <c r="L23" s="441"/>
    </row>
    <row r="24" spans="1:17" ht="14.5">
      <c r="A24" s="432" t="s">
        <v>874</v>
      </c>
      <c r="B24" s="443">
        <f>IFERROR(VLOOKUP(A24,W30_PG_1_of_3!$B$9:$K$44,10,FALSE),0)</f>
        <v>0.62442129618102182</v>
      </c>
      <c r="C24" s="443">
        <f>IFERROR(VLOOKUP(A24,W32_PG_1_of_2!$B$10:$D$36,3,FALSE),0)</f>
        <v>0</v>
      </c>
      <c r="D24" s="443">
        <f>IFERROR(VLOOKUP(A24,W31_PG_1_of_4!$B$9:$I$45,8,FALSE),0)</f>
        <v>72.891778973408577</v>
      </c>
      <c r="E24" s="448">
        <f t="shared" si="0"/>
        <v>73.516200269589604</v>
      </c>
      <c r="G24" s="432" t="s">
        <v>874</v>
      </c>
      <c r="H24" s="443">
        <f>IFERROR(VLOOKUP(G24,W30_PG_1_of_3!$B$9:$L$44,11,FALSE),0)</f>
        <v>0.62442129618102182</v>
      </c>
      <c r="I24" s="443">
        <f>IFERROR(VLOOKUP(G24,W32_PG_1_of_2!$B$10:$F$36,5,FALSE),0)</f>
        <v>0</v>
      </c>
      <c r="J24" s="443">
        <f>IFERROR(VLOOKUP(G24,W31_PG_1_of_4!$B$9:$J$45,9,FALSE),0)</f>
        <v>72.891778973408577</v>
      </c>
      <c r="K24" s="442">
        <f t="shared" si="1"/>
        <v>73.516200269589604</v>
      </c>
      <c r="L24" s="441"/>
    </row>
    <row r="25" spans="1:17" ht="14.5">
      <c r="A25" s="444" t="s">
        <v>873</v>
      </c>
      <c r="B25" s="443">
        <f>IFERROR(VLOOKUP(A25,W30_PG_1_of_3!$B$9:$K$44,10,FALSE),0)</f>
        <v>73.90887796893314</v>
      </c>
      <c r="C25" s="443">
        <f>IFERROR(VLOOKUP(A25,W32_PG_1_of_2!$B$10:$D$36,3,FALSE),0)</f>
        <v>7.1691777335996765</v>
      </c>
      <c r="D25" s="443">
        <f>IFERROR(VLOOKUP(A25,W31_PG_1_of_4!$B$9:$I$45,8,FALSE),0)</f>
        <v>390.64567108408164</v>
      </c>
      <c r="E25" s="448">
        <f t="shared" si="0"/>
        <v>471.72372678661446</v>
      </c>
      <c r="G25" s="444" t="s">
        <v>873</v>
      </c>
      <c r="H25" s="443">
        <f>IFERROR(VLOOKUP(G25,W30_PG_1_of_3!$B$9:$L$44,11,FALSE),0)</f>
        <v>73.90887796893314</v>
      </c>
      <c r="I25" s="443">
        <f>IFERROR(VLOOKUP(G25,W32_PG_1_of_2!$B$10:$F$36,5,FALSE),0)</f>
        <v>7.1691777335996765</v>
      </c>
      <c r="J25" s="443">
        <f>IFERROR(VLOOKUP(G25,W31_PG_1_of_4!$B$9:$J$45,9,FALSE),0)</f>
        <v>390.64567108408164</v>
      </c>
      <c r="K25" s="442">
        <f t="shared" si="1"/>
        <v>471.72372678661446</v>
      </c>
      <c r="L25" s="441"/>
    </row>
    <row r="26" spans="1:17" ht="14.5">
      <c r="A26" s="444" t="s">
        <v>872</v>
      </c>
      <c r="B26" s="443">
        <f>IFERROR(VLOOKUP(A26,W30_PG_1_of_3!$B$9:$K$44,10,FALSE),0)</f>
        <v>38329.477574990735</v>
      </c>
      <c r="C26" s="443">
        <f>IFERROR(VLOOKUP(A26,W32_PG_1_of_2!$B$10:$D$36,3,FALSE),0)</f>
        <v>1714.6878439842128</v>
      </c>
      <c r="D26" s="443">
        <f>IFERROR(VLOOKUP(A26,W31_PG_1_of_4!$B$9:$I$45,8,FALSE),0)</f>
        <v>91836.710366341867</v>
      </c>
      <c r="E26" s="448">
        <f t="shared" si="0"/>
        <v>131880.87578531681</v>
      </c>
      <c r="G26" s="444" t="s">
        <v>872</v>
      </c>
      <c r="H26" s="443">
        <f>IFERROR(VLOOKUP(G26,W30_PG_1_of_3!$B$9:$L$44,11,FALSE),0)</f>
        <v>38329.477574990735</v>
      </c>
      <c r="I26" s="443">
        <f>IFERROR(VLOOKUP(G26,W32_PG_1_of_2!$B$10:$F$36,5,FALSE),0)</f>
        <v>1714.6878439842128</v>
      </c>
      <c r="J26" s="443">
        <f>IFERROR(VLOOKUP(G26,W31_PG_1_of_4!$B$9:$J$45,9,FALSE),0)</f>
        <v>91836.710366341867</v>
      </c>
      <c r="K26" s="442">
        <f t="shared" si="1"/>
        <v>131880.87578531681</v>
      </c>
      <c r="L26" s="441"/>
    </row>
    <row r="27" spans="1:17" ht="14.5">
      <c r="A27" s="444" t="s">
        <v>871</v>
      </c>
      <c r="B27" s="443">
        <f>IFERROR(VLOOKUP(A27,W30_PG_1_of_3!$B$9:$K$44,10,FALSE),0)</f>
        <v>4728.5320050580176</v>
      </c>
      <c r="C27" s="443">
        <f>IFERROR(VLOOKUP(A27,W32_PG_1_of_2!$B$10:$D$36,3,FALSE),0)</f>
        <v>42.453216473875258</v>
      </c>
      <c r="D27" s="443">
        <f>IFERROR(VLOOKUP(A27,W31_PG_1_of_4!$B$9:$I$45,8,FALSE),0)</f>
        <v>12896.007334981769</v>
      </c>
      <c r="E27" s="448">
        <f t="shared" si="0"/>
        <v>17666.992556513662</v>
      </c>
      <c r="G27" s="444" t="s">
        <v>871</v>
      </c>
      <c r="H27" s="443">
        <f>IFERROR(VLOOKUP(G27,W30_PG_1_of_3!$B$9:$L$44,11,FALSE),0)</f>
        <v>4728.5320050580176</v>
      </c>
      <c r="I27" s="443">
        <f>IFERROR(VLOOKUP(G27,W32_PG_1_of_2!$B$10:$F$36,5,FALSE),0)</f>
        <v>42.453216473875258</v>
      </c>
      <c r="J27" s="443">
        <f>IFERROR(VLOOKUP(G27,W31_PG_1_of_4!$B$9:$J$45,9,FALSE),0)</f>
        <v>12896.007334981769</v>
      </c>
      <c r="K27" s="442">
        <f t="shared" si="1"/>
        <v>17666.992556513662</v>
      </c>
      <c r="L27" s="441"/>
    </row>
    <row r="28" spans="1:17" ht="14.5">
      <c r="A28" s="444" t="s">
        <v>870</v>
      </c>
      <c r="B28" s="443">
        <f>IFERROR(VLOOKUP(A28,W30_PG_1_of_3!$B$9:$K$44,10,FALSE),0)</f>
        <v>75232.015967989399</v>
      </c>
      <c r="C28" s="443">
        <f>IFERROR(VLOOKUP(A28,W32_PG_1_of_2!$B$10:$D$36,3,FALSE),0)</f>
        <v>1886.8850840477685</v>
      </c>
      <c r="D28" s="443">
        <f>IFERROR(VLOOKUP(A28,W31_PG_1_of_4!$B$9:$I$45,8,FALSE),0)</f>
        <v>218035.69397447328</v>
      </c>
      <c r="E28" s="448">
        <f t="shared" si="0"/>
        <v>295154.59502651042</v>
      </c>
      <c r="G28" s="444" t="s">
        <v>870</v>
      </c>
      <c r="H28" s="443">
        <f>IFERROR(VLOOKUP(G28,W30_PG_1_of_3!$B$9:$L$44,11,FALSE),0)</f>
        <v>75232.015967989399</v>
      </c>
      <c r="I28" s="443">
        <f>IFERROR(VLOOKUP(G28,W32_PG_1_of_2!$B$10:$F$36,5,FALSE),0)</f>
        <v>1886.8850840477685</v>
      </c>
      <c r="J28" s="443">
        <f>IFERROR(VLOOKUP(G28,W31_PG_1_of_4!$B$9:$J$45,9,FALSE),0)</f>
        <v>218035.69397447328</v>
      </c>
      <c r="K28" s="442">
        <f t="shared" si="1"/>
        <v>295154.59502651042</v>
      </c>
      <c r="L28" s="441"/>
    </row>
    <row r="29" spans="1:17" ht="14.5">
      <c r="A29" s="444" t="s">
        <v>869</v>
      </c>
      <c r="B29" s="443">
        <f>IFERROR(VLOOKUP(A29,W30_PG_1_of_3!$B$9:$K$44,10,FALSE),0)</f>
        <v>1165.7946879998499</v>
      </c>
      <c r="C29" s="443">
        <f>IFERROR(VLOOKUP(A29,W32_PG_1_of_2!$B$10:$D$36,3,FALSE),0)</f>
        <v>0</v>
      </c>
      <c r="D29" s="443">
        <f>IFERROR(VLOOKUP(A29,W31_PG_1_of_4!$B$9:$I$45,8,FALSE),0)</f>
        <v>2408.6160002455108</v>
      </c>
      <c r="E29" s="448">
        <f t="shared" si="0"/>
        <v>3574.4106882453607</v>
      </c>
      <c r="G29" s="444" t="s">
        <v>869</v>
      </c>
      <c r="H29" s="443">
        <f>IFERROR(VLOOKUP(G29,W30_PG_1_of_3!$B$9:$L$44,11,FALSE),0)</f>
        <v>1165.7946879998499</v>
      </c>
      <c r="I29" s="443">
        <f>IFERROR(VLOOKUP(G29,W32_PG_1_of_2!$B$10:$F$36,5,FALSE),0)</f>
        <v>0</v>
      </c>
      <c r="J29" s="443">
        <f>IFERROR(VLOOKUP(G29,W31_PG_1_of_4!$B$9:$J$45,9,FALSE),0)</f>
        <v>2408.6160002455108</v>
      </c>
      <c r="K29" s="442">
        <f t="shared" si="1"/>
        <v>3574.4106882453607</v>
      </c>
      <c r="L29" s="441"/>
    </row>
    <row r="30" spans="1:17" ht="14.5">
      <c r="A30" s="444" t="s">
        <v>868</v>
      </c>
      <c r="B30" s="443">
        <f>IFERROR(VLOOKUP(A30,W30_PG_1_of_3!$B$9:$K$44,10,FALSE),0)</f>
        <v>-50.275234369879861</v>
      </c>
      <c r="C30" s="443">
        <f>IFERROR(VLOOKUP(A30,W32_PG_1_of_2!$B$10:$D$36,3,FALSE),0)</f>
        <v>0</v>
      </c>
      <c r="D30" s="443">
        <f>IFERROR(VLOOKUP(A30,W31_PG_1_of_4!$B$9:$I$45,8,FALSE),0)</f>
        <v>122.88031057803914</v>
      </c>
      <c r="E30" s="448">
        <f t="shared" si="0"/>
        <v>72.605076208159289</v>
      </c>
      <c r="G30" s="444" t="s">
        <v>868</v>
      </c>
      <c r="H30" s="443">
        <f>IFERROR(VLOOKUP(G30,W30_PG_1_of_3!$B$9:$L$44,11,FALSE),0)</f>
        <v>-50.275234369879861</v>
      </c>
      <c r="I30" s="443">
        <f>IFERROR(VLOOKUP(G30,W32_PG_1_of_2!$B$10:$F$36,5,FALSE),0)</f>
        <v>0</v>
      </c>
      <c r="J30" s="443">
        <f>IFERROR(VLOOKUP(G30,W31_PG_1_of_4!$B$9:$J$45,9,FALSE),0)</f>
        <v>122.88031057803914</v>
      </c>
      <c r="K30" s="442">
        <f t="shared" si="1"/>
        <v>72.605076208159289</v>
      </c>
      <c r="L30" s="441"/>
    </row>
    <row r="31" spans="1:17" ht="14.5">
      <c r="A31" s="444" t="s">
        <v>867</v>
      </c>
      <c r="B31" s="443">
        <f>IFERROR(VLOOKUP(A31,W30_PG_1_of_3!$B$9:$K$44,10,FALSE),0)</f>
        <v>283904.86914725747</v>
      </c>
      <c r="C31" s="443">
        <f>IFERROR(VLOOKUP(A31,W32_PG_1_of_2!$B$10:$D$36,3,FALSE),0)</f>
        <v>106401.363652874</v>
      </c>
      <c r="D31" s="443">
        <f>IFERROR(VLOOKUP(A31,W31_PG_1_of_4!$B$9:$I$45,8,FALSE),0)</f>
        <v>337734.1419670959</v>
      </c>
      <c r="E31" s="448">
        <f t="shared" si="0"/>
        <v>728040.37476722733</v>
      </c>
      <c r="G31" s="444" t="s">
        <v>867</v>
      </c>
      <c r="H31" s="443">
        <f>IFERROR(VLOOKUP(G31,W30_PG_1_of_3!$B$9:$L$44,11,FALSE),0)</f>
        <v>283904.86914725747</v>
      </c>
      <c r="I31" s="443">
        <f>IFERROR(VLOOKUP(G31,W32_PG_1_of_2!$B$10:$F$36,5,FALSE),0)</f>
        <v>106401.363652874</v>
      </c>
      <c r="J31" s="443">
        <f>IFERROR(VLOOKUP(G31,W31_PG_1_of_4!$B$9:$J$45,9,FALSE),0)</f>
        <v>337734.1419670959</v>
      </c>
      <c r="K31" s="442">
        <f t="shared" si="1"/>
        <v>728040.37476722733</v>
      </c>
      <c r="L31" s="441"/>
    </row>
    <row r="32" spans="1:17" ht="14.5">
      <c r="A32" s="432" t="s">
        <v>866</v>
      </c>
      <c r="B32" s="443">
        <f>IFERROR(VLOOKUP(A32,W30_PG_1_of_3!$B$9:$K$44,10,FALSE),0)</f>
        <v>152.55951362647983</v>
      </c>
      <c r="C32" s="443">
        <f>IFERROR(VLOOKUP(A32,W32_PG_1_of_2!$B$10:$D$36,3,FALSE),0)</f>
        <v>-3.7816276112920022</v>
      </c>
      <c r="D32" s="443">
        <f>IFERROR(VLOOKUP(A32,W31_PG_1_of_4!$B$9:$I$45,8,FALSE),0)</f>
        <v>673.09741723252864</v>
      </c>
      <c r="E32" s="448">
        <f t="shared" si="0"/>
        <v>821.87530324771649</v>
      </c>
      <c r="G32" s="432" t="s">
        <v>866</v>
      </c>
      <c r="H32" s="443">
        <f>IFERROR(VLOOKUP(G32,W30_PG_1_of_3!$B$9:$L$44,11,FALSE),0)</f>
        <v>152.55951362647983</v>
      </c>
      <c r="I32" s="443">
        <f>IFERROR(VLOOKUP(G32,W32_PG_1_of_2!$B$10:$F$36,5,FALSE),0)</f>
        <v>-3.7816276112920022</v>
      </c>
      <c r="J32" s="443">
        <f>IFERROR(VLOOKUP(G32,W31_PG_1_of_4!$B$9:$J$45,9,FALSE),0)</f>
        <v>673.09741723252864</v>
      </c>
      <c r="K32" s="442">
        <f t="shared" si="1"/>
        <v>821.87530324771649</v>
      </c>
      <c r="L32" s="441"/>
    </row>
    <row r="33" spans="1:12" ht="14.5">
      <c r="A33" s="444" t="s">
        <v>865</v>
      </c>
      <c r="B33" s="443">
        <f>IFERROR(VLOOKUP(A33,W30_PG_1_of_3!$B$9:$K$44,10,FALSE),0)</f>
        <v>97.93699760395981</v>
      </c>
      <c r="C33" s="443">
        <f>IFERROR(VLOOKUP(A33,W32_PG_1_of_2!$B$10:$D$36,3,FALSE),0)</f>
        <v>6.9292594055576249</v>
      </c>
      <c r="D33" s="443">
        <f>IFERROR(VLOOKUP(A33,W31_PG_1_of_4!$B$9:$I$45,8,FALSE),0)</f>
        <v>298.86585016898107</v>
      </c>
      <c r="E33" s="448">
        <f t="shared" si="0"/>
        <v>403.7321071784985</v>
      </c>
      <c r="G33" s="444" t="s">
        <v>865</v>
      </c>
      <c r="H33" s="443">
        <f>IFERROR(VLOOKUP(G33,W30_PG_1_of_3!$B$9:$L$44,11,FALSE),0)</f>
        <v>97.93699760395981</v>
      </c>
      <c r="I33" s="443">
        <f>IFERROR(VLOOKUP(G33,W32_PG_1_of_2!$B$10:$F$36,5,FALSE),0)</f>
        <v>6.9292594055576249</v>
      </c>
      <c r="J33" s="443">
        <f>IFERROR(VLOOKUP(G33,W31_PG_1_of_4!$B$9:$J$45,9,FALSE),0)</f>
        <v>298.86585016898107</v>
      </c>
      <c r="K33" s="442">
        <f t="shared" si="1"/>
        <v>403.7321071784985</v>
      </c>
      <c r="L33" s="441"/>
    </row>
    <row r="34" spans="1:12" ht="14.5">
      <c r="A34" s="444" t="s">
        <v>864</v>
      </c>
      <c r="B34" s="443">
        <f>IFERROR(VLOOKUP(A34,W30_PG_1_of_3!$B$9:$K$44,10,FALSE),0)</f>
        <v>85.680195576457976</v>
      </c>
      <c r="C34" s="443">
        <f>IFERROR(VLOOKUP(A34,W32_PG_1_of_2!$B$10:$D$36,3,FALSE),0)</f>
        <v>-1.3152538244382745</v>
      </c>
      <c r="D34" s="443">
        <f>IFERROR(VLOOKUP(A34,W31_PG_1_of_4!$B$9:$I$45,8,FALSE),0)</f>
        <v>360.47398294196137</v>
      </c>
      <c r="E34" s="448">
        <f t="shared" si="0"/>
        <v>444.83892469398108</v>
      </c>
      <c r="G34" s="444" t="s">
        <v>864</v>
      </c>
      <c r="H34" s="443">
        <f>IFERROR(VLOOKUP(G34,W30_PG_1_of_3!$B$9:$L$44,11,FALSE),0)</f>
        <v>85.680195576457976</v>
      </c>
      <c r="I34" s="443">
        <f>IFERROR(VLOOKUP(G34,W32_PG_1_of_2!$B$10:$F$36,5,FALSE),0)</f>
        <v>-1.3152538244382745</v>
      </c>
      <c r="J34" s="443">
        <f>IFERROR(VLOOKUP(G34,W31_PG_1_of_4!$B$9:$J$45,9,FALSE),0)</f>
        <v>360.47398294196137</v>
      </c>
      <c r="K34" s="442">
        <f t="shared" si="1"/>
        <v>444.83892469398108</v>
      </c>
      <c r="L34" s="441"/>
    </row>
    <row r="35" spans="1:12" ht="14.5">
      <c r="A35" s="444" t="s">
        <v>863</v>
      </c>
      <c r="B35" s="443">
        <f>IFERROR(VLOOKUP(A35,W30_PG_1_of_3!$B$9:$K$44,10,FALSE),0)</f>
        <v>1522.8044500563863</v>
      </c>
      <c r="C35" s="443">
        <f>IFERROR(VLOOKUP(A35,W32_PG_1_of_2!$B$10:$D$36,3,FALSE),0)</f>
        <v>43.851642278559794</v>
      </c>
      <c r="D35" s="443">
        <f>IFERROR(VLOOKUP(A35,W31_PG_1_of_4!$B$9:$I$45,8,FALSE),0)</f>
        <v>4092.8269224490214</v>
      </c>
      <c r="E35" s="448">
        <f t="shared" si="0"/>
        <v>5659.4830147839675</v>
      </c>
      <c r="G35" s="444" t="s">
        <v>863</v>
      </c>
      <c r="H35" s="443">
        <f>IFERROR(VLOOKUP(G35,W30_PG_1_of_3!$B$9:$L$44,11,FALSE),0)</f>
        <v>1522.8044500563863</v>
      </c>
      <c r="I35" s="443">
        <f>IFERROR(VLOOKUP(G35,W32_PG_1_of_2!$B$10:$F$36,5,FALSE),0)</f>
        <v>43.851642278559794</v>
      </c>
      <c r="J35" s="443">
        <f>IFERROR(VLOOKUP(G35,W31_PG_1_of_4!$B$9:$J$45,9,FALSE),0)</f>
        <v>4092.8269224490214</v>
      </c>
      <c r="K35" s="442">
        <f t="shared" si="1"/>
        <v>5659.4830147839675</v>
      </c>
      <c r="L35" s="441"/>
    </row>
    <row r="36" spans="1:12" ht="14.5">
      <c r="A36" s="444" t="s">
        <v>862</v>
      </c>
      <c r="B36" s="443">
        <f>IFERROR(VLOOKUP(A36,W30_PG_1_of_3!$B$9:$K$44,10,FALSE),0)</f>
        <v>9.9566833904602134</v>
      </c>
      <c r="C36" s="443">
        <f>IFERROR(VLOOKUP(A36,W32_PG_1_of_2!$B$10:$D$36,3,FALSE),0)</f>
        <v>1.1392192980971001</v>
      </c>
      <c r="D36" s="443">
        <f>IFERROR(VLOOKUP(A36,W31_PG_1_of_4!$B$9:$I$45,8,FALSE),0)</f>
        <v>12.535362608114809</v>
      </c>
      <c r="E36" s="448">
        <f t="shared" si="0"/>
        <v>23.631265296672122</v>
      </c>
      <c r="G36" s="444" t="s">
        <v>862</v>
      </c>
      <c r="H36" s="443">
        <f>IFERROR(VLOOKUP(G36,W30_PG_1_of_3!$B$9:$L$44,11,FALSE),0)</f>
        <v>9.9566833904602134</v>
      </c>
      <c r="I36" s="443">
        <f>IFERROR(VLOOKUP(G36,W32_PG_1_of_2!$B$10:$F$36,5,FALSE),0)</f>
        <v>1.1392192980971001</v>
      </c>
      <c r="J36" s="443">
        <f>IFERROR(VLOOKUP(G36,W31_PG_1_of_4!$B$9:$J$45,9,FALSE),0)</f>
        <v>12.535362608114809</v>
      </c>
      <c r="K36" s="442">
        <f t="shared" si="1"/>
        <v>23.631265296672122</v>
      </c>
      <c r="L36" s="441"/>
    </row>
    <row r="37" spans="1:12" ht="14.5">
      <c r="A37" s="444" t="s">
        <v>861</v>
      </c>
      <c r="B37" s="443">
        <f>IFERROR(VLOOKUP(A37,W30_PG_1_of_3!$B$9:$K$44,10,FALSE),0)</f>
        <v>6891.9222199868182</v>
      </c>
      <c r="C37" s="443">
        <f>IFERROR(VLOOKUP(A37,W32_PG_1_of_2!$B$10:$D$36,3,FALSE),0)</f>
        <v>89.504838093182698</v>
      </c>
      <c r="D37" s="443">
        <f>IFERROR(VLOOKUP(A37,W31_PG_1_of_4!$B$9:$I$45,8,FALSE),0)</f>
        <v>18590.602952759073</v>
      </c>
      <c r="E37" s="448">
        <f t="shared" si="0"/>
        <v>25572.030010839073</v>
      </c>
      <c r="G37" s="444" t="s">
        <v>861</v>
      </c>
      <c r="H37" s="443">
        <f>IFERROR(VLOOKUP(G37,W30_PG_1_of_3!$B$9:$L$44,11,FALSE),0)</f>
        <v>6891.9222199868182</v>
      </c>
      <c r="I37" s="443">
        <f>IFERROR(VLOOKUP(G37,W32_PG_1_of_2!$B$10:$F$36,5,FALSE),0)</f>
        <v>89.504838093182698</v>
      </c>
      <c r="J37" s="443">
        <f>IFERROR(VLOOKUP(G37,W31_PG_1_of_4!$B$9:$J$45,9,FALSE),0)</f>
        <v>18590.602952759073</v>
      </c>
      <c r="K37" s="442">
        <f t="shared" si="1"/>
        <v>25572.030010839073</v>
      </c>
      <c r="L37" s="441"/>
    </row>
    <row r="38" spans="1:12" ht="14.5">
      <c r="A38" s="444" t="s">
        <v>860</v>
      </c>
      <c r="B38" s="443">
        <f>IFERROR(VLOOKUP(A38,W30_PG_1_of_3!$B$9:$K$44,10,FALSE),0)</f>
        <v>22632.077171139266</v>
      </c>
      <c r="C38" s="443">
        <f>IFERROR(VLOOKUP(A38,W32_PG_1_of_2!$B$10:$D$36,3,FALSE),0)</f>
        <v>1016.7911423015571</v>
      </c>
      <c r="D38" s="443">
        <f>IFERROR(VLOOKUP(A38,W31_PG_1_of_4!$B$9:$I$45,8,FALSE),0)</f>
        <v>52141.391619049187</v>
      </c>
      <c r="E38" s="448">
        <f t="shared" si="0"/>
        <v>75790.259932490007</v>
      </c>
      <c r="G38" s="444" t="s">
        <v>860</v>
      </c>
      <c r="H38" s="443">
        <f>IFERROR(VLOOKUP(G38,W30_PG_1_of_3!$B$9:$L$44,11,FALSE),0)</f>
        <v>22632.077171139266</v>
      </c>
      <c r="I38" s="443">
        <f>IFERROR(VLOOKUP(G38,W32_PG_1_of_2!$B$10:$F$36,5,FALSE),0)</f>
        <v>1016.7911423015571</v>
      </c>
      <c r="J38" s="443">
        <f>IFERROR(VLOOKUP(G38,W31_PG_1_of_4!$B$9:$J$45,9,FALSE),0)</f>
        <v>52141.391619049187</v>
      </c>
      <c r="K38" s="442">
        <f t="shared" si="1"/>
        <v>75790.259932490007</v>
      </c>
      <c r="L38" s="441"/>
    </row>
    <row r="39" spans="1:12" ht="14.5">
      <c r="A39" s="444" t="s">
        <v>859</v>
      </c>
      <c r="B39" s="443">
        <f>IFERROR(VLOOKUP(A39,W30_PG_1_of_3!$B$9:$K$44,10,FALSE),0)</f>
        <v>532.11158786125918</v>
      </c>
      <c r="C39" s="443">
        <f>IFERROR(VLOOKUP(A39,W32_PG_1_of_2!$B$10:$D$36,3,FALSE),0)</f>
        <v>0</v>
      </c>
      <c r="D39" s="443">
        <f>IFERROR(VLOOKUP(A39,W31_PG_1_of_4!$B$9:$I$45,8,FALSE),0)</f>
        <v>1483.0365533698914</v>
      </c>
      <c r="E39" s="448">
        <f t="shared" si="0"/>
        <v>2015.1481412311505</v>
      </c>
      <c r="G39" s="444" t="s">
        <v>859</v>
      </c>
      <c r="H39" s="443">
        <f>IFERROR(VLOOKUP(G39,W30_PG_1_of_3!$B$9:$L$44,11,FALSE),0)</f>
        <v>532.11158786125918</v>
      </c>
      <c r="I39" s="443">
        <f>IFERROR(VLOOKUP(G39,W32_PG_1_of_2!$B$10:$F$36,5,FALSE),0)</f>
        <v>0</v>
      </c>
      <c r="J39" s="443">
        <f>IFERROR(VLOOKUP(G39,W31_PG_1_of_4!$B$9:$J$45,9,FALSE),0)</f>
        <v>1483.0365533698914</v>
      </c>
      <c r="K39" s="442">
        <f t="shared" si="1"/>
        <v>2015.1481412311505</v>
      </c>
      <c r="L39" s="441"/>
    </row>
    <row r="40" spans="1:12" ht="14.5">
      <c r="A40" s="444" t="s">
        <v>858</v>
      </c>
      <c r="B40" s="443">
        <f>IFERROR(VLOOKUP(A40,W30_PG_1_of_3!$B$9:$K$44,10,FALSE),0)</f>
        <v>7856.6252939840078</v>
      </c>
      <c r="C40" s="443">
        <f>IFERROR(VLOOKUP(A40,W32_PG_1_of_2!$B$10:$D$36,3,FALSE),0)</f>
        <v>0</v>
      </c>
      <c r="D40" s="443">
        <f>IFERROR(VLOOKUP(A40,W31_PG_1_of_4!$B$9:$I$45,8,FALSE),0)</f>
        <v>20126.134754938859</v>
      </c>
      <c r="E40" s="448">
        <f t="shared" si="0"/>
        <v>27982.760048922868</v>
      </c>
      <c r="G40" s="444" t="s">
        <v>858</v>
      </c>
      <c r="H40" s="443">
        <f>IFERROR(VLOOKUP(G40,W30_PG_1_of_3!$B$9:$L$44,11,FALSE),0)</f>
        <v>7856.6252939840078</v>
      </c>
      <c r="I40" s="443">
        <f>IFERROR(VLOOKUP(G40,W32_PG_1_of_2!$B$10:$F$36,5,FALSE),0)</f>
        <v>0</v>
      </c>
      <c r="J40" s="443">
        <f>IFERROR(VLOOKUP(G40,W31_PG_1_of_4!$B$9:$J$45,9,FALSE),0)</f>
        <v>20126.134754938859</v>
      </c>
      <c r="K40" s="442">
        <f t="shared" si="1"/>
        <v>27982.760048922868</v>
      </c>
      <c r="L40" s="441"/>
    </row>
    <row r="41" spans="1:12" ht="14.5">
      <c r="A41" s="444" t="s">
        <v>857</v>
      </c>
      <c r="B41" s="443">
        <f>IFERROR(VLOOKUP(A41,W30_PG_1_of_3!$B$9:$K$44,10,FALSE),0)</f>
        <v>105061.07667031817</v>
      </c>
      <c r="C41" s="443">
        <f>IFERROR(VLOOKUP(A41,W32_PG_1_of_2!$B$10:$D$36,3,FALSE),0)</f>
        <v>104.69739350641997</v>
      </c>
      <c r="D41" s="443">
        <f>IFERROR(VLOOKUP(A41,W31_PG_1_of_4!$B$9:$I$45,8,FALSE),0)</f>
        <v>259608.02898237808</v>
      </c>
      <c r="E41" s="448">
        <f t="shared" si="0"/>
        <v>364773.80304620264</v>
      </c>
      <c r="G41" s="444" t="s">
        <v>857</v>
      </c>
      <c r="H41" s="443">
        <f>IFERROR(VLOOKUP(G41,W30_PG_1_of_3!$B$9:$L$44,11,FALSE),0)</f>
        <v>105061.07667031817</v>
      </c>
      <c r="I41" s="443">
        <f>IFERROR(VLOOKUP(G41,W32_PG_1_of_2!$B$10:$F$36,5,FALSE),0)</f>
        <v>104.69739350641997</v>
      </c>
      <c r="J41" s="443">
        <f>IFERROR(VLOOKUP(G41,W31_PG_1_of_4!$B$9:$J$45,9,FALSE),0)</f>
        <v>259608.02898237808</v>
      </c>
      <c r="K41" s="442">
        <f t="shared" si="1"/>
        <v>364773.80304620264</v>
      </c>
      <c r="L41" s="441"/>
    </row>
    <row r="42" spans="1:12" ht="14.5">
      <c r="A42" s="444" t="s">
        <v>856</v>
      </c>
      <c r="B42" s="443">
        <f>IFERROR(VLOOKUP(A42,W30_PG_1_of_3!$B$9:$K$44,10,FALSE),0)</f>
        <v>-5.2724537284382498</v>
      </c>
      <c r="C42" s="443">
        <f>IFERROR(VLOOKUP(A42,W32_PG_1_of_2!$B$10:$D$36,3,FALSE),0)</f>
        <v>0</v>
      </c>
      <c r="D42" s="443">
        <f>IFERROR(VLOOKUP(A42,W31_PG_1_of_4!$B$9:$I$45,8,FALSE),0)</f>
        <v>-49395.182891922712</v>
      </c>
      <c r="E42" s="448">
        <f t="shared" si="0"/>
        <v>-49400.455345651149</v>
      </c>
      <c r="G42" s="444" t="s">
        <v>856</v>
      </c>
      <c r="H42" s="443">
        <f>IFERROR(VLOOKUP(G42,W30_PG_1_of_3!$B$9:$L$44,11,FALSE),0)</f>
        <v>-5.2724537284382498</v>
      </c>
      <c r="I42" s="443">
        <f>IFERROR(VLOOKUP(G42,W32_PG_1_of_2!$B$10:$F$36,5,FALSE),0)</f>
        <v>0</v>
      </c>
      <c r="J42" s="443">
        <f>IFERROR(VLOOKUP(G42,W31_PG_1_of_4!$B$9:$J$45,9,FALSE),0)</f>
        <v>-49395.182891922712</v>
      </c>
      <c r="K42" s="442">
        <f t="shared" si="1"/>
        <v>-49400.455345651149</v>
      </c>
      <c r="L42" s="441"/>
    </row>
    <row r="43" spans="1:12" ht="14.5">
      <c r="A43" s="444" t="s">
        <v>855</v>
      </c>
      <c r="B43" s="443">
        <f>IFERROR(VLOOKUP(A43,W30_PG_1_of_3!$B$9:$K$44,10,FALSE),0)</f>
        <v>5333.8609826038883</v>
      </c>
      <c r="C43" s="443">
        <f>IFERROR(VLOOKUP(A43,W32_PG_1_of_2!$B$10:$D$36,3,FALSE),0)</f>
        <v>0</v>
      </c>
      <c r="D43" s="443">
        <f>IFERROR(VLOOKUP(A43,W31_PG_1_of_4!$B$9:$I$45,8,FALSE),0)</f>
        <v>15073.338009180414</v>
      </c>
      <c r="E43" s="448">
        <f t="shared" si="0"/>
        <v>20407.198991784302</v>
      </c>
      <c r="G43" s="444" t="s">
        <v>855</v>
      </c>
      <c r="H43" s="443">
        <f>IFERROR(VLOOKUP(G43,W30_PG_1_of_3!$B$9:$L$44,11,FALSE),0)</f>
        <v>5333.8609826038883</v>
      </c>
      <c r="I43" s="443">
        <f>IFERROR(VLOOKUP(G43,W32_PG_1_of_2!$B$10:$F$36,5,FALSE),0)</f>
        <v>0</v>
      </c>
      <c r="J43" s="443">
        <f>IFERROR(VLOOKUP(G43,W31_PG_1_of_4!$B$9:$J$45,9,FALSE),0)</f>
        <v>15073.338009180414</v>
      </c>
      <c r="K43" s="442">
        <f t="shared" si="1"/>
        <v>20407.198991784302</v>
      </c>
      <c r="L43" s="441"/>
    </row>
    <row r="44" spans="1:12" ht="14.5">
      <c r="A44" s="444" t="s">
        <v>854</v>
      </c>
      <c r="B44" s="443">
        <f>IFERROR(VLOOKUP(A44,W30_PG_1_of_3!$B$9:$K$44,10,FALSE),0)</f>
        <v>-334.30847470889069</v>
      </c>
      <c r="C44" s="443">
        <f>IFERROR(VLOOKUP(A44,W32_PG_1_of_2!$B$10:$D$36,3,FALSE),0)</f>
        <v>118.20439179383999</v>
      </c>
      <c r="D44" s="443">
        <f>IFERROR(VLOOKUP(A44,W31_PG_1_of_4!$B$9:$I$45,8,FALSE),0)</f>
        <v>981.5014240287237</v>
      </c>
      <c r="E44" s="448">
        <f t="shared" si="0"/>
        <v>765.39734111367306</v>
      </c>
      <c r="G44" s="444" t="s">
        <v>854</v>
      </c>
      <c r="H44" s="443">
        <f>IFERROR(VLOOKUP(G44,W30_PG_1_of_3!$B$9:$L$44,11,FALSE),0)</f>
        <v>-334.30847470889069</v>
      </c>
      <c r="I44" s="443">
        <f>IFERROR(VLOOKUP(G44,W32_PG_1_of_2!$B$10:$F$36,5,FALSE),0)</f>
        <v>118.20439179383999</v>
      </c>
      <c r="J44" s="443">
        <f>IFERROR(VLOOKUP(G44,W31_PG_1_of_4!$B$9:$J$45,9,FALSE),0)</f>
        <v>981.5014240287237</v>
      </c>
      <c r="K44" s="442">
        <f t="shared" si="1"/>
        <v>765.39734111367306</v>
      </c>
      <c r="L44" s="441"/>
    </row>
    <row r="45" spans="1:12" ht="14.5">
      <c r="A45" s="447" t="s">
        <v>853</v>
      </c>
      <c r="B45" s="446">
        <f>IFERROR(VLOOKUP(A45,W30_PG_1_of_3!$B$9:$K$44,10,FALSE),0)</f>
        <v>-22181.1071922275</v>
      </c>
      <c r="C45" s="446">
        <f>IFERROR(VLOOKUP(A45,W32_PG_1_of_2!$B$10:$D$36,3,FALSE),0)</f>
        <v>579.65365710432468</v>
      </c>
      <c r="D45" s="446">
        <f>IFERROR(VLOOKUP(A45,W31_PG_1_of_4!$B$9:$I$45,8,FALSE),0)</f>
        <v>56033.39059782913</v>
      </c>
      <c r="E45" s="445">
        <f t="shared" si="0"/>
        <v>34431.937062705954</v>
      </c>
      <c r="G45" s="444" t="s">
        <v>853</v>
      </c>
      <c r="H45" s="443">
        <f>IFERROR(VLOOKUP(G45,W30_PG_1_of_3!$B$9:$L$44,11,FALSE),0)</f>
        <v>-22181.1071922275</v>
      </c>
      <c r="I45" s="443">
        <f>IFERROR(VLOOKUP(G45,W32_PG_1_of_2!$B$10:$F$36,5,FALSE),0)</f>
        <v>579.65365710432468</v>
      </c>
      <c r="J45" s="443">
        <f>IFERROR(VLOOKUP(G45,W31_PG_1_of_4!$B$9:$J$45,9,FALSE),0)</f>
        <v>56033.39059782913</v>
      </c>
      <c r="K45" s="442">
        <f t="shared" si="1"/>
        <v>34431.937062705954</v>
      </c>
      <c r="L45" s="441"/>
    </row>
    <row r="46" spans="1:12">
      <c r="A46" s="440" t="s">
        <v>244</v>
      </c>
      <c r="B46" s="439">
        <f>SUM(B9:B45)</f>
        <v>836596.15322404308</v>
      </c>
      <c r="C46" s="439">
        <f>SUM(C9:C45)</f>
        <v>174164.72925598058</v>
      </c>
      <c r="D46" s="439">
        <f>SUM(D9:D45)</f>
        <v>2120141.8577307547</v>
      </c>
      <c r="E46" s="438">
        <f>SUM(E9:E45)</f>
        <v>3130902.7402107781</v>
      </c>
      <c r="G46" s="437" t="s">
        <v>244</v>
      </c>
      <c r="H46" s="436">
        <f>SUM(H9:H45)</f>
        <v>836596.15322404308</v>
      </c>
      <c r="I46" s="436">
        <f>SUM(I9:I45)</f>
        <v>174164.72925598058</v>
      </c>
      <c r="J46" s="436">
        <f>SUM(J9:J45)</f>
        <v>2120141.8577307547</v>
      </c>
      <c r="K46" s="435">
        <f>SUM(K9:K45)</f>
        <v>3130902.7402107781</v>
      </c>
      <c r="L46" s="434"/>
    </row>
    <row r="49" spans="1:2">
      <c r="A49" s="433" t="s">
        <v>53</v>
      </c>
      <c r="B49" s="433" t="s">
        <v>54</v>
      </c>
    </row>
  </sheetData>
  <mergeCells count="10">
    <mergeCell ref="N19:O19"/>
    <mergeCell ref="A1:B1"/>
    <mergeCell ref="A3:C3"/>
    <mergeCell ref="A6:E6"/>
    <mergeCell ref="G6:K6"/>
    <mergeCell ref="A7:A8"/>
    <mergeCell ref="E7:E8"/>
    <mergeCell ref="G7:G8"/>
    <mergeCell ref="K7:K8"/>
    <mergeCell ref="M12:N12"/>
  </mergeCells>
  <pageMargins left="0.7" right="0.7" top="0.75" bottom="0.75" header="0.3" footer="0.3"/>
  <pageSetup paperSize="3" scale="86" orientation="landscape" horizontalDpi="200" verticalDpi="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118C1-E72D-45B0-A4F0-FFB794957AB4}">
  <sheetPr>
    <pageSetUpPr fitToPage="1"/>
  </sheetPr>
  <dimension ref="A1:N50"/>
  <sheetViews>
    <sheetView zoomScaleNormal="100" workbookViewId="0">
      <pane ySplit="8" topLeftCell="A42" activePane="bottomLeft" state="frozen"/>
      <selection sqref="A1:C1"/>
      <selection pane="bottomLeft" sqref="A1:C1"/>
    </sheetView>
  </sheetViews>
  <sheetFormatPr defaultColWidth="9.1796875" defaultRowHeight="12.5"/>
  <cols>
    <col min="1" max="1" width="4.54296875" style="470" customWidth="1"/>
    <col min="2" max="2" width="12.26953125" style="470" bestFit="1" customWidth="1"/>
    <col min="3" max="3" width="12.1796875" style="470" bestFit="1" customWidth="1"/>
    <col min="4" max="4" width="13.81640625" style="470" customWidth="1"/>
    <col min="5" max="5" width="13.26953125" style="470" customWidth="1"/>
    <col min="6" max="6" width="1.7265625" style="470" customWidth="1"/>
    <col min="7" max="7" width="13" style="470" customWidth="1"/>
    <col min="8" max="8" width="12.26953125" style="470" customWidth="1"/>
    <col min="9" max="9" width="12.1796875" style="470" customWidth="1"/>
    <col min="10" max="10" width="1.81640625" style="470" customWidth="1"/>
    <col min="11" max="11" width="14.1796875" style="470" customWidth="1"/>
    <col min="12" max="12" width="12.7265625" style="470" bestFit="1" customWidth="1"/>
    <col min="13" max="13" width="12.26953125" style="470" bestFit="1" customWidth="1"/>
    <col min="14" max="16384" width="9.1796875" style="470"/>
  </cols>
  <sheetData>
    <row r="1" spans="1:12" ht="12.75" customHeight="1">
      <c r="A1" s="349" t="s">
        <v>51</v>
      </c>
      <c r="B1" s="349"/>
      <c r="C1" s="349"/>
      <c r="D1" s="349"/>
    </row>
    <row r="2" spans="1:12" ht="12.75" customHeight="1">
      <c r="A2" s="349" t="s">
        <v>920</v>
      </c>
      <c r="B2" s="349"/>
      <c r="C2" s="349"/>
      <c r="D2" s="349"/>
    </row>
    <row r="3" spans="1:12" ht="12.75" customHeight="1">
      <c r="A3" s="349" t="s">
        <v>83</v>
      </c>
      <c r="B3" s="349"/>
      <c r="C3" s="349"/>
      <c r="D3" s="349"/>
    </row>
    <row r="4" spans="1:12" ht="12.75" customHeight="1">
      <c r="A4" s="349" t="s">
        <v>919</v>
      </c>
      <c r="B4" s="349"/>
      <c r="C4" s="349"/>
      <c r="D4" s="349"/>
    </row>
    <row r="6" spans="1:12" ht="76.5" customHeight="1">
      <c r="A6" s="747" t="s">
        <v>103</v>
      </c>
      <c r="B6" s="748" t="s">
        <v>56</v>
      </c>
      <c r="C6" s="747" t="s">
        <v>918</v>
      </c>
      <c r="D6" s="747" t="s">
        <v>915</v>
      </c>
      <c r="E6" s="747" t="s">
        <v>917</v>
      </c>
      <c r="F6" s="482"/>
      <c r="G6" s="750" t="s">
        <v>916</v>
      </c>
      <c r="H6" s="744" t="s">
        <v>915</v>
      </c>
      <c r="I6" s="744" t="s">
        <v>914</v>
      </c>
      <c r="J6" s="482"/>
      <c r="K6" s="744" t="s">
        <v>913</v>
      </c>
      <c r="L6" s="486" t="s">
        <v>355</v>
      </c>
    </row>
    <row r="7" spans="1:12">
      <c r="A7" s="744"/>
      <c r="B7" s="749"/>
      <c r="C7" s="744"/>
      <c r="D7" s="744"/>
      <c r="E7" s="744"/>
      <c r="F7" s="482"/>
      <c r="G7" s="751"/>
      <c r="H7" s="745"/>
      <c r="I7" s="745"/>
      <c r="J7" s="482"/>
      <c r="K7" s="746"/>
      <c r="L7" s="485">
        <v>1</v>
      </c>
    </row>
    <row r="8" spans="1:12">
      <c r="A8" s="484"/>
      <c r="B8" s="481" t="s">
        <v>912</v>
      </c>
      <c r="C8" s="481" t="s">
        <v>911</v>
      </c>
      <c r="D8" s="481" t="s">
        <v>910</v>
      </c>
      <c r="E8" s="481" t="s">
        <v>909</v>
      </c>
      <c r="F8" s="481"/>
      <c r="G8" s="483" t="s">
        <v>908</v>
      </c>
      <c r="H8" s="481" t="s">
        <v>907</v>
      </c>
      <c r="I8" s="481" t="s">
        <v>906</v>
      </c>
      <c r="J8" s="482"/>
      <c r="K8" s="481" t="s">
        <v>905</v>
      </c>
      <c r="L8" s="481" t="s">
        <v>904</v>
      </c>
    </row>
    <row r="9" spans="1:12">
      <c r="A9" s="470">
        <v>1</v>
      </c>
      <c r="B9" s="470" t="s">
        <v>893</v>
      </c>
      <c r="C9" s="480">
        <f>IFERROR(VLOOKUP(B9,W30_PG_2_of_3!A$11:G$58,7,FALSE),0)</f>
        <v>43179.96175074621</v>
      </c>
      <c r="D9" s="480">
        <f>IFERROR(VLOOKUP(B9,W30_PG_2_of_3!A$62:G$109,7,FALSE),0)</f>
        <v>70495.590256507232</v>
      </c>
      <c r="E9" s="480">
        <f t="shared" ref="E9:E44" si="0">D9-C9</f>
        <v>27315.628505761022</v>
      </c>
      <c r="F9" s="480"/>
      <c r="G9" s="480">
        <f>IFERROR(VLOOKUP(B9,W30_PG_3_of_3!A$10:B$53,2,FALSE),0)</f>
        <v>1402.2800997909173</v>
      </c>
      <c r="H9" s="480">
        <f>IFERROR(VLOOKUP(B9,W30_PG_3_of_3!A58:B101,2,FALSE),0)</f>
        <v>1913.1206715345736</v>
      </c>
      <c r="I9" s="480">
        <f t="shared" ref="I9:I44" si="1">H9-G9</f>
        <v>510.84057174365626</v>
      </c>
      <c r="J9" s="479"/>
      <c r="K9" s="479">
        <f t="shared" ref="K9:K44" si="2">E9+I9</f>
        <v>27826.469077504677</v>
      </c>
      <c r="L9" s="478">
        <f t="shared" ref="L9:L44" si="3">K9*L$7</f>
        <v>27826.469077504677</v>
      </c>
    </row>
    <row r="10" spans="1:12">
      <c r="A10" s="470">
        <f t="shared" ref="A10:A45" si="4">A9+1</f>
        <v>2</v>
      </c>
      <c r="B10" s="470" t="s">
        <v>891</v>
      </c>
      <c r="C10" s="480">
        <f>IFERROR(VLOOKUP(B10,W30_PG_2_of_3!A$11:G$58,7,FALSE),0)</f>
        <v>114956.49083233025</v>
      </c>
      <c r="D10" s="480">
        <f>IFERROR(VLOOKUP(B10,W30_PG_2_of_3!A$62:G$109,7,FALSE),0)</f>
        <v>185191.7615729768</v>
      </c>
      <c r="E10" s="480">
        <f t="shared" si="0"/>
        <v>70235.270740646549</v>
      </c>
      <c r="F10" s="480"/>
      <c r="G10" s="480">
        <f>IFERROR(VLOOKUP(B10,W30_PG_3_of_3!A$10:B$53,2,FALSE),0)</f>
        <v>4954.4828970275603</v>
      </c>
      <c r="H10" s="480">
        <f>IFERROR(VLOOKUP(B10,W30_PG_3_of_3!A59:B102,2,FALSE),0)</f>
        <v>6687.1634080068688</v>
      </c>
      <c r="I10" s="480">
        <f t="shared" si="1"/>
        <v>1732.6805109793086</v>
      </c>
      <c r="J10" s="479"/>
      <c r="K10" s="479">
        <f t="shared" si="2"/>
        <v>71967.951251625855</v>
      </c>
      <c r="L10" s="478">
        <f t="shared" si="3"/>
        <v>71967.951251625855</v>
      </c>
    </row>
    <row r="11" spans="1:12">
      <c r="A11" s="470">
        <f t="shared" si="4"/>
        <v>3</v>
      </c>
      <c r="B11" s="470" t="s">
        <v>889</v>
      </c>
      <c r="C11" s="480">
        <f>IFERROR(VLOOKUP(B11,W30_PG_2_of_3!A$11:G$58,7,FALSE),0)</f>
        <v>57562.513967741368</v>
      </c>
      <c r="D11" s="480">
        <f>IFERROR(VLOOKUP(B11,W30_PG_2_of_3!A$62:G$109,7,FALSE),0)</f>
        <v>94423.228628815472</v>
      </c>
      <c r="E11" s="480">
        <f t="shared" si="0"/>
        <v>36860.714661074104</v>
      </c>
      <c r="F11" s="480"/>
      <c r="G11" s="480">
        <f>IFERROR(VLOOKUP(B11,W30_PG_3_of_3!A$10:B$53,2,FALSE),0)</f>
        <v>2592.215714184938</v>
      </c>
      <c r="H11" s="480">
        <f>IFERROR(VLOOKUP(B11,W30_PG_3_of_3!A60:B103,2,FALSE),0)</f>
        <v>3504.5466783623306</v>
      </c>
      <c r="I11" s="480">
        <f t="shared" si="1"/>
        <v>912.33096417739262</v>
      </c>
      <c r="J11" s="479"/>
      <c r="K11" s="479">
        <f t="shared" si="2"/>
        <v>37773.0456252515</v>
      </c>
      <c r="L11" s="478">
        <f t="shared" si="3"/>
        <v>37773.0456252515</v>
      </c>
    </row>
    <row r="12" spans="1:12">
      <c r="A12" s="470">
        <f t="shared" si="4"/>
        <v>4</v>
      </c>
      <c r="B12" s="470" t="s">
        <v>887</v>
      </c>
      <c r="C12" s="480">
        <f>IFERROR(VLOOKUP(B12,W30_PG_2_of_3!A$11:G$58,7,FALSE),0)</f>
        <v>1465.9762334898442</v>
      </c>
      <c r="D12" s="480">
        <f>IFERROR(VLOOKUP(B12,W30_PG_2_of_3!A$62:G$109,7,FALSE),0)</f>
        <v>2613.2351473984736</v>
      </c>
      <c r="E12" s="480">
        <f t="shared" si="0"/>
        <v>1147.2589139086294</v>
      </c>
      <c r="F12" s="480"/>
      <c r="G12" s="480">
        <f>IFERROR(VLOOKUP(B12,W30_PG_3_of_3!A$10:B$53,2,FALSE),0)</f>
        <v>96.101266509102487</v>
      </c>
      <c r="H12" s="480">
        <f>IFERROR(VLOOKUP(B12,W30_PG_3_of_3!A61:B104,2,FALSE),0)</f>
        <v>129.58233904236826</v>
      </c>
      <c r="I12" s="480">
        <f t="shared" si="1"/>
        <v>33.481072533265774</v>
      </c>
      <c r="J12" s="479"/>
      <c r="K12" s="479">
        <f t="shared" si="2"/>
        <v>1180.7399864418953</v>
      </c>
      <c r="L12" s="478">
        <f t="shared" si="3"/>
        <v>1180.7399864418953</v>
      </c>
    </row>
    <row r="13" spans="1:12">
      <c r="A13" s="470">
        <f t="shared" si="4"/>
        <v>5</v>
      </c>
      <c r="B13" s="470" t="s">
        <v>885</v>
      </c>
      <c r="C13" s="480">
        <f>IFERROR(VLOOKUP(B13,W30_PG_2_of_3!A$11:G$58,7,FALSE),0)</f>
        <v>56339.807263777715</v>
      </c>
      <c r="D13" s="480">
        <f>IFERROR(VLOOKUP(B13,W30_PG_2_of_3!A$62:G$109,7,FALSE),0)</f>
        <v>92505.135529882245</v>
      </c>
      <c r="E13" s="480">
        <f t="shared" si="0"/>
        <v>36165.32826610453</v>
      </c>
      <c r="F13" s="480"/>
      <c r="G13" s="480">
        <f>IFERROR(VLOOKUP(B13,W30_PG_3_of_3!A$10:B$53,2,FALSE),0)</f>
        <v>2141.3465072602503</v>
      </c>
      <c r="H13" s="480">
        <f>IFERROR(VLOOKUP(B13,W30_PG_3_of_3!A62:B105,2,FALSE),0)</f>
        <v>2917.045403753059</v>
      </c>
      <c r="I13" s="480">
        <f t="shared" si="1"/>
        <v>775.69889649280867</v>
      </c>
      <c r="J13" s="479"/>
      <c r="K13" s="479">
        <f t="shared" si="2"/>
        <v>36941.02716259734</v>
      </c>
      <c r="L13" s="478">
        <f t="shared" si="3"/>
        <v>36941.02716259734</v>
      </c>
    </row>
    <row r="14" spans="1:12">
      <c r="A14" s="470">
        <f t="shared" si="4"/>
        <v>6</v>
      </c>
      <c r="B14" s="470" t="s">
        <v>884</v>
      </c>
      <c r="C14" s="480">
        <f>IFERROR(VLOOKUP(B14,W30_PG_2_of_3!A$11:G$58,7,FALSE),0)</f>
        <v>41651.330135451659</v>
      </c>
      <c r="D14" s="480">
        <f>IFERROR(VLOOKUP(B14,W30_PG_2_of_3!A$62:G$109,7,FALSE),0)</f>
        <v>67393.699858949592</v>
      </c>
      <c r="E14" s="480">
        <f t="shared" si="0"/>
        <v>25742.369723497934</v>
      </c>
      <c r="F14" s="480"/>
      <c r="G14" s="480">
        <f>IFERROR(VLOOKUP(B14,W30_PG_3_of_3!A$10:B$53,2,FALSE),0)</f>
        <v>1723.0507051239256</v>
      </c>
      <c r="H14" s="480">
        <f>IFERROR(VLOOKUP(B14,W30_PG_3_of_3!A63:B106,2,FALSE),0)</f>
        <v>2325.9308195690542</v>
      </c>
      <c r="I14" s="480">
        <f t="shared" si="1"/>
        <v>602.88011444512858</v>
      </c>
      <c r="J14" s="479"/>
      <c r="K14" s="479">
        <f t="shared" si="2"/>
        <v>26345.249837943062</v>
      </c>
      <c r="L14" s="478">
        <f t="shared" si="3"/>
        <v>26345.249837943062</v>
      </c>
    </row>
    <row r="15" spans="1:12">
      <c r="A15" s="470">
        <f t="shared" si="4"/>
        <v>7</v>
      </c>
      <c r="B15" s="470" t="s">
        <v>883</v>
      </c>
      <c r="C15" s="480">
        <f>IFERROR(VLOOKUP(B15,W30_PG_2_of_3!A$11:G$58,7,FALSE),0)</f>
        <v>4275.9589548230606</v>
      </c>
      <c r="D15" s="480">
        <f>IFERROR(VLOOKUP(B15,W30_PG_2_of_3!A$62:G$109,7,FALSE),0)</f>
        <v>7172.7651776160747</v>
      </c>
      <c r="E15" s="480">
        <f t="shared" si="0"/>
        <v>2896.8062227930141</v>
      </c>
      <c r="F15" s="480"/>
      <c r="G15" s="480">
        <f>IFERROR(VLOOKUP(B15,W30_PG_3_of_3!A$10:B$53,2,FALSE),0)</f>
        <v>183.910873248683</v>
      </c>
      <c r="H15" s="480">
        <f>IFERROR(VLOOKUP(B15,W30_PG_3_of_3!A64:B107,2,FALSE),0)</f>
        <v>245.71475592417553</v>
      </c>
      <c r="I15" s="480">
        <f t="shared" si="1"/>
        <v>61.803882675492531</v>
      </c>
      <c r="J15" s="479"/>
      <c r="K15" s="479">
        <f t="shared" si="2"/>
        <v>2958.6101054685064</v>
      </c>
      <c r="L15" s="478">
        <f t="shared" si="3"/>
        <v>2958.6101054685064</v>
      </c>
    </row>
    <row r="16" spans="1:12">
      <c r="A16" s="470">
        <f t="shared" si="4"/>
        <v>8</v>
      </c>
      <c r="B16" s="470" t="s">
        <v>882</v>
      </c>
      <c r="C16" s="480">
        <f>IFERROR(VLOOKUP(B16,W30_PG_2_of_3!A$11:G$58,7,FALSE),0)</f>
        <v>74463.526254543787</v>
      </c>
      <c r="D16" s="480">
        <f>IFERROR(VLOOKUP(B16,W30_PG_2_of_3!A$62:G$109,7,FALSE),0)</f>
        <v>117275.03513539644</v>
      </c>
      <c r="E16" s="480">
        <f t="shared" si="0"/>
        <v>42811.508880852649</v>
      </c>
      <c r="F16" s="480"/>
      <c r="G16" s="480">
        <f>IFERROR(VLOOKUP(B16,W30_PG_3_of_3!A$10:B$53,2,FALSE),0)</f>
        <v>2846.7062451360352</v>
      </c>
      <c r="H16" s="480">
        <f>IFERROR(VLOOKUP(B16,W30_PG_3_of_3!A65:B108,2,FALSE),0)</f>
        <v>3872.1029463537552</v>
      </c>
      <c r="I16" s="480">
        <f t="shared" si="1"/>
        <v>1025.39670121772</v>
      </c>
      <c r="J16" s="479"/>
      <c r="K16" s="479">
        <f t="shared" si="2"/>
        <v>43836.905582070365</v>
      </c>
      <c r="L16" s="478">
        <f t="shared" si="3"/>
        <v>43836.905582070365</v>
      </c>
    </row>
    <row r="17" spans="1:12">
      <c r="A17" s="470">
        <f t="shared" si="4"/>
        <v>9</v>
      </c>
      <c r="B17" s="470" t="s">
        <v>881</v>
      </c>
      <c r="C17" s="480">
        <f>IFERROR(VLOOKUP(B17,W30_PG_2_of_3!A$11:G$58,7,FALSE),0)</f>
        <v>27202.120409068768</v>
      </c>
      <c r="D17" s="480">
        <f>IFERROR(VLOOKUP(B17,W30_PG_2_of_3!A$62:G$109,7,FALSE),0)</f>
        <v>45066.684312912592</v>
      </c>
      <c r="E17" s="480">
        <f t="shared" si="0"/>
        <v>17864.563903843824</v>
      </c>
      <c r="F17" s="480"/>
      <c r="G17" s="480">
        <f>IFERROR(VLOOKUP(B17,W30_PG_3_of_3!A$10:B$53,2,FALSE),0)</f>
        <v>1198.9729386397237</v>
      </c>
      <c r="H17" s="480">
        <f>IFERROR(VLOOKUP(B17,W30_PG_3_of_3!A65:B108,2,FALSE),0)</f>
        <v>1626.4384551093287</v>
      </c>
      <c r="I17" s="480">
        <f t="shared" si="1"/>
        <v>427.46551646960506</v>
      </c>
      <c r="J17" s="479"/>
      <c r="K17" s="479">
        <f t="shared" si="2"/>
        <v>18292.029420313429</v>
      </c>
      <c r="L17" s="478">
        <f t="shared" si="3"/>
        <v>18292.029420313429</v>
      </c>
    </row>
    <row r="18" spans="1:12">
      <c r="A18" s="470">
        <f t="shared" si="4"/>
        <v>10</v>
      </c>
      <c r="B18" s="470" t="s">
        <v>880</v>
      </c>
      <c r="C18" s="480">
        <f>IFERROR(VLOOKUP(B18,W30_PG_2_of_3!A$11:G$58,7,FALSE),0)</f>
        <v>7378.3054268412216</v>
      </c>
      <c r="D18" s="480">
        <f>IFERROR(VLOOKUP(B18,W30_PG_2_of_3!A$62:G$109,7,FALSE),0)</f>
        <v>11682.635808339508</v>
      </c>
      <c r="E18" s="480">
        <f t="shared" si="0"/>
        <v>4304.3303814982864</v>
      </c>
      <c r="F18" s="480"/>
      <c r="G18" s="480">
        <f>IFERROR(VLOOKUP(B18,W30_PG_3_of_3!A$10:B$53,2,FALSE),0)</f>
        <v>237.69566661072741</v>
      </c>
      <c r="H18" s="480">
        <f>IFERROR(VLOOKUP(B18,W30_PG_3_of_3!A66:B109,2,FALSE),0)</f>
        <v>326.80793372552398</v>
      </c>
      <c r="I18" s="480">
        <f t="shared" si="1"/>
        <v>89.112267114796566</v>
      </c>
      <c r="J18" s="479"/>
      <c r="K18" s="479">
        <f t="shared" si="2"/>
        <v>4393.4426486130833</v>
      </c>
      <c r="L18" s="478">
        <f t="shared" si="3"/>
        <v>4393.4426486130833</v>
      </c>
    </row>
    <row r="19" spans="1:12">
      <c r="A19" s="470">
        <f t="shared" si="4"/>
        <v>11</v>
      </c>
      <c r="B19" s="470" t="s">
        <v>878</v>
      </c>
      <c r="C19" s="480">
        <f>IFERROR(VLOOKUP(B19,W30_PG_2_of_3!A$11:G$58,7,FALSE),0)</f>
        <v>962.94554019466295</v>
      </c>
      <c r="D19" s="480">
        <f>IFERROR(VLOOKUP(B19,W30_PG_2_of_3!A$62:G$109,7,FALSE),0)</f>
        <v>82.776590162222689</v>
      </c>
      <c r="E19" s="480">
        <f t="shared" si="0"/>
        <v>-880.16895003244031</v>
      </c>
      <c r="F19" s="480"/>
      <c r="G19" s="480">
        <f>IFERROR(VLOOKUP(B19,W30_PG_3_of_3!A$10:B$53,2,FALSE),0)</f>
        <v>0</v>
      </c>
      <c r="H19" s="480">
        <f>IFERROR(VLOOKUP(B19,W30_PG_3_of_3!A67:B110,2,FALSE),0)</f>
        <v>0</v>
      </c>
      <c r="I19" s="480">
        <f t="shared" si="1"/>
        <v>0</v>
      </c>
      <c r="J19" s="479"/>
      <c r="K19" s="479">
        <f t="shared" si="2"/>
        <v>-880.16895003244031</v>
      </c>
      <c r="L19" s="478">
        <f t="shared" si="3"/>
        <v>-880.16895003244031</v>
      </c>
    </row>
    <row r="20" spans="1:12">
      <c r="A20" s="470">
        <f t="shared" si="4"/>
        <v>12</v>
      </c>
      <c r="B20" s="470" t="s">
        <v>877</v>
      </c>
      <c r="C20" s="480">
        <f>IFERROR(VLOOKUP(B20,W30_PG_2_of_3!A$11:G$58,7,FALSE),0)</f>
        <v>-305.89091837297605</v>
      </c>
      <c r="D20" s="480">
        <f>IFERROR(VLOOKUP(B20,W30_PG_2_of_3!A$62:G$109,7,FALSE),0)</f>
        <v>-0.4468555045526319</v>
      </c>
      <c r="E20" s="480">
        <f t="shared" si="0"/>
        <v>305.44406286842343</v>
      </c>
      <c r="F20" s="480"/>
      <c r="G20" s="480">
        <f>IFERROR(VLOOKUP(B20,W30_PG_3_of_3!A$10:B$53,2,FALSE),0)</f>
        <v>33.817968054322002</v>
      </c>
      <c r="H20" s="480">
        <f>IFERROR(VLOOKUP(B20,W30_PG_3_of_3!A68:B111,2,FALSE),0)</f>
        <v>45.727140406982272</v>
      </c>
      <c r="I20" s="480">
        <f t="shared" si="1"/>
        <v>11.909172352660271</v>
      </c>
      <c r="J20" s="479"/>
      <c r="K20" s="479">
        <f t="shared" si="2"/>
        <v>317.35323522108371</v>
      </c>
      <c r="L20" s="478">
        <f t="shared" si="3"/>
        <v>317.35323522108371</v>
      </c>
    </row>
    <row r="21" spans="1:12">
      <c r="A21" s="470">
        <f t="shared" si="4"/>
        <v>13</v>
      </c>
      <c r="B21" s="470" t="s">
        <v>876</v>
      </c>
      <c r="C21" s="480">
        <f>IFERROR(VLOOKUP(B21,W30_PG_2_of_3!A$11:G$58,7,FALSE),0)</f>
        <v>7105.6443917176202</v>
      </c>
      <c r="D21" s="480">
        <f>IFERROR(VLOOKUP(B21,W30_PG_2_of_3!A$62:G$109,7,FALSE),0)</f>
        <v>14556.273847520046</v>
      </c>
      <c r="E21" s="480">
        <f t="shared" si="0"/>
        <v>7450.6294558024256</v>
      </c>
      <c r="F21" s="480"/>
      <c r="G21" s="480">
        <f>IFERROR(VLOOKUP(B21,W30_PG_3_of_3!A$10:B$53,2,FALSE),0)</f>
        <v>1677.3565784884788</v>
      </c>
      <c r="H21" s="480">
        <f>IFERROR(VLOOKUP(B21,W30_PG_3_of_3!A69:B112,2,FALSE),0)</f>
        <v>2279.2511237612166</v>
      </c>
      <c r="I21" s="480">
        <f t="shared" si="1"/>
        <v>601.89454527273779</v>
      </c>
      <c r="J21" s="479"/>
      <c r="K21" s="479">
        <f t="shared" si="2"/>
        <v>8052.5240010751631</v>
      </c>
      <c r="L21" s="478">
        <f t="shared" si="3"/>
        <v>8052.5240010751631</v>
      </c>
    </row>
    <row r="22" spans="1:12">
      <c r="A22" s="470">
        <f t="shared" si="4"/>
        <v>14</v>
      </c>
      <c r="B22" s="470" t="s">
        <v>875</v>
      </c>
      <c r="C22" s="480">
        <f>IFERROR(VLOOKUP(B22,W30_PG_2_of_3!A$11:G$58,7,FALSE),0)</f>
        <v>23515.087220567926</v>
      </c>
      <c r="D22" s="480">
        <f>IFERROR(VLOOKUP(B22,W30_PG_2_of_3!A$62:G$109,7,FALSE),0)</f>
        <v>48235.475784960363</v>
      </c>
      <c r="E22" s="480">
        <f t="shared" si="0"/>
        <v>24720.388564392437</v>
      </c>
      <c r="F22" s="480"/>
      <c r="G22" s="480">
        <f>IFERROR(VLOOKUP(B22,W30_PG_3_of_3!A$10:B$53,2,FALSE),0)</f>
        <v>4864.0749569566879</v>
      </c>
      <c r="H22" s="480">
        <f>IFERROR(VLOOKUP(B22,W30_PG_3_of_3!A70:B113,2,FALSE),0)</f>
        <v>6693.7895388409124</v>
      </c>
      <c r="I22" s="480">
        <f t="shared" si="1"/>
        <v>1829.7145818842246</v>
      </c>
      <c r="J22" s="479"/>
      <c r="K22" s="479">
        <f t="shared" si="2"/>
        <v>26550.103146276662</v>
      </c>
      <c r="L22" s="478">
        <f t="shared" si="3"/>
        <v>26550.103146276662</v>
      </c>
    </row>
    <row r="23" spans="1:12">
      <c r="A23" s="470">
        <f t="shared" si="4"/>
        <v>15</v>
      </c>
      <c r="B23" s="470" t="s">
        <v>874</v>
      </c>
      <c r="C23" s="480">
        <f>IFERROR(VLOOKUP(B23,W30_PG_2_of_3!A$11:G$58,7,FALSE),0)</f>
        <v>6.1302967893270006</v>
      </c>
      <c r="D23" s="480">
        <f>IFERROR(VLOOKUP(B23,W30_PG_2_of_3!A$62:G$109,7,FALSE),0)</f>
        <v>5.2726101423992802</v>
      </c>
      <c r="E23" s="480">
        <f t="shared" si="0"/>
        <v>-0.85768664692772045</v>
      </c>
      <c r="F23" s="480"/>
      <c r="G23" s="480">
        <f>IFERROR(VLOOKUP(B23,W30_PG_3_of_3!A$10:B$53,2,FALSE),0)</f>
        <v>3.0336995438969998</v>
      </c>
      <c r="H23" s="480">
        <f>IFERROR(VLOOKUP(B23,W30_PG_3_of_3!A71:B114,2,FALSE),0)</f>
        <v>4.5158074870057421</v>
      </c>
      <c r="I23" s="480">
        <f t="shared" si="1"/>
        <v>1.4821079431087423</v>
      </c>
      <c r="J23" s="479"/>
      <c r="K23" s="479">
        <f t="shared" si="2"/>
        <v>0.62442129618102182</v>
      </c>
      <c r="L23" s="478">
        <f t="shared" si="3"/>
        <v>0.62442129618102182</v>
      </c>
    </row>
    <row r="24" spans="1:12">
      <c r="A24" s="470">
        <f t="shared" si="4"/>
        <v>16</v>
      </c>
      <c r="B24" s="470" t="s">
        <v>873</v>
      </c>
      <c r="C24" s="480">
        <f>IFERROR(VLOOKUP(B24,W30_PG_2_of_3!A$11:G$58,7,FALSE),0)</f>
        <v>64.900720849466992</v>
      </c>
      <c r="D24" s="480">
        <f>IFERROR(VLOOKUP(B24,W30_PG_2_of_3!A$62:G$109,7,FALSE),0)</f>
        <v>132.09594070991574</v>
      </c>
      <c r="E24" s="480">
        <f t="shared" si="0"/>
        <v>67.195219860448745</v>
      </c>
      <c r="F24" s="480"/>
      <c r="G24" s="480">
        <f>IFERROR(VLOOKUP(B24,W30_PG_3_of_3!A$10:B$53,2,FALSE),0)</f>
        <v>13.742063549615001</v>
      </c>
      <c r="H24" s="480">
        <f>IFERROR(VLOOKUP(B24,W30_PG_3_of_3!A72:B115,2,FALSE),0)</f>
        <v>20.455721658099399</v>
      </c>
      <c r="I24" s="480">
        <f t="shared" si="1"/>
        <v>6.7136581084843989</v>
      </c>
      <c r="J24" s="479"/>
      <c r="K24" s="479">
        <f t="shared" si="2"/>
        <v>73.90887796893314</v>
      </c>
      <c r="L24" s="478">
        <f t="shared" si="3"/>
        <v>73.90887796893314</v>
      </c>
    </row>
    <row r="25" spans="1:12">
      <c r="A25" s="470">
        <f t="shared" si="4"/>
        <v>17</v>
      </c>
      <c r="B25" s="470" t="s">
        <v>872</v>
      </c>
      <c r="C25" s="480">
        <f>IFERROR(VLOOKUP(B25,W30_PG_2_of_3!A$11:G$58,7,FALSE),0)</f>
        <v>33537.549641998994</v>
      </c>
      <c r="D25" s="480">
        <f>IFERROR(VLOOKUP(B25,W30_PG_2_of_3!A$62:G$109,7,FALSE),0)</f>
        <v>68836.376059986709</v>
      </c>
      <c r="E25" s="480">
        <f t="shared" si="0"/>
        <v>35298.826417987715</v>
      </c>
      <c r="F25" s="480"/>
      <c r="G25" s="480">
        <f>IFERROR(VLOOKUP(B25,W30_PG_3_of_3!A$10:B$53,2,FALSE),0)</f>
        <v>8147.2625327519663</v>
      </c>
      <c r="H25" s="480">
        <f>IFERROR(VLOOKUP(B25,W30_PG_3_of_3!A73:B116,2,FALSE),0)</f>
        <v>11177.913689754989</v>
      </c>
      <c r="I25" s="480">
        <f t="shared" si="1"/>
        <v>3030.6511570030225</v>
      </c>
      <c r="J25" s="479"/>
      <c r="K25" s="479">
        <f t="shared" si="2"/>
        <v>38329.477574990735</v>
      </c>
      <c r="L25" s="478">
        <f t="shared" si="3"/>
        <v>38329.477574990735</v>
      </c>
    </row>
    <row r="26" spans="1:12">
      <c r="A26" s="470">
        <f t="shared" si="4"/>
        <v>18</v>
      </c>
      <c r="B26" s="470" t="s">
        <v>871</v>
      </c>
      <c r="C26" s="480">
        <f>IFERROR(VLOOKUP(B26,W30_PG_2_of_3!A$11:G$58,7,FALSE),0)</f>
        <v>4203.2050939617247</v>
      </c>
      <c r="D26" s="480">
        <f>IFERROR(VLOOKUP(B26,W30_PG_2_of_3!A$62:G$109,7,FALSE),0)</f>
        <v>8556.1516516909924</v>
      </c>
      <c r="E26" s="480">
        <f t="shared" si="0"/>
        <v>4352.9465577292676</v>
      </c>
      <c r="F26" s="480"/>
      <c r="G26" s="480">
        <f>IFERROR(VLOOKUP(B26,W30_PG_3_of_3!A$10:B$53,2,FALSE),0)</f>
        <v>1016.5081251964452</v>
      </c>
      <c r="H26" s="480">
        <f>IFERROR(VLOOKUP(B26,W30_PG_3_of_3!A74:B117,2,FALSE),0)</f>
        <v>1392.0935725251948</v>
      </c>
      <c r="I26" s="480">
        <f t="shared" si="1"/>
        <v>375.58544732874952</v>
      </c>
      <c r="J26" s="479"/>
      <c r="K26" s="479">
        <f t="shared" si="2"/>
        <v>4728.5320050580176</v>
      </c>
      <c r="L26" s="478">
        <f t="shared" si="3"/>
        <v>4728.5320050580176</v>
      </c>
    </row>
    <row r="27" spans="1:12">
      <c r="A27" s="470">
        <f t="shared" si="4"/>
        <v>19</v>
      </c>
      <c r="B27" s="470" t="s">
        <v>870</v>
      </c>
      <c r="C27" s="480">
        <f>IFERROR(VLOOKUP(B27,W30_PG_2_of_3!A$11:G$58,7,FALSE),0)</f>
        <v>68874.323723943016</v>
      </c>
      <c r="D27" s="480">
        <f>IFERROR(VLOOKUP(B27,W30_PG_2_of_3!A$62:G$109,7,FALSE),0)</f>
        <v>138108.69914431163</v>
      </c>
      <c r="E27" s="480">
        <f t="shared" si="0"/>
        <v>69234.375420368611</v>
      </c>
      <c r="F27" s="480"/>
      <c r="G27" s="480">
        <f>IFERROR(VLOOKUP(B27,W30_PG_3_of_3!A$10:B$53,2,FALSE),0)</f>
        <v>17510.387608208999</v>
      </c>
      <c r="H27" s="480">
        <f>IFERROR(VLOOKUP(B27,W30_PG_3_of_3!A75:B118,2,FALSE),0)</f>
        <v>23508.028155829794</v>
      </c>
      <c r="I27" s="480">
        <f t="shared" si="1"/>
        <v>5997.6405476207947</v>
      </c>
      <c r="J27" s="479"/>
      <c r="K27" s="479">
        <f t="shared" si="2"/>
        <v>75232.015967989399</v>
      </c>
      <c r="L27" s="478">
        <f t="shared" si="3"/>
        <v>75232.015967989399</v>
      </c>
    </row>
    <row r="28" spans="1:12">
      <c r="A28" s="470">
        <f t="shared" si="4"/>
        <v>20</v>
      </c>
      <c r="B28" s="470" t="s">
        <v>869</v>
      </c>
      <c r="C28" s="480">
        <f>IFERROR(VLOOKUP(B28,W30_PG_2_of_3!A$11:G$58,7,FALSE),0)</f>
        <v>973.60194917559602</v>
      </c>
      <c r="D28" s="480">
        <f>IFERROR(VLOOKUP(B28,W30_PG_2_of_3!A$62:G$109,7,FALSE),0)</f>
        <v>2045.6362261784209</v>
      </c>
      <c r="E28" s="480">
        <f t="shared" si="0"/>
        <v>1072.0342770028249</v>
      </c>
      <c r="F28" s="480"/>
      <c r="G28" s="480">
        <f>IFERROR(VLOOKUP(B28,W30_PG_3_of_3!A$10:B$53,2,FALSE),0)</f>
        <v>248.376383515361</v>
      </c>
      <c r="H28" s="480">
        <f>IFERROR(VLOOKUP(B28,W30_PG_3_of_3!A76:B119,2,FALSE),0)</f>
        <v>342.1367945123859</v>
      </c>
      <c r="I28" s="480">
        <f t="shared" si="1"/>
        <v>93.760410997024906</v>
      </c>
      <c r="J28" s="479"/>
      <c r="K28" s="479">
        <f t="shared" si="2"/>
        <v>1165.7946879998499</v>
      </c>
      <c r="L28" s="478">
        <f t="shared" si="3"/>
        <v>1165.7946879998499</v>
      </c>
    </row>
    <row r="29" spans="1:12">
      <c r="A29" s="470">
        <f t="shared" si="4"/>
        <v>21</v>
      </c>
      <c r="B29" s="470" t="s">
        <v>868</v>
      </c>
      <c r="C29" s="480">
        <f>IFERROR(VLOOKUP(B29,W30_PG_2_of_3!A$11:G$58,7,FALSE),0)</f>
        <v>75.182125789376002</v>
      </c>
      <c r="D29" s="480">
        <f>IFERROR(VLOOKUP(B29,W30_PG_2_of_3!A$62:G$109,7,FALSE),0)</f>
        <v>23.783447353839946</v>
      </c>
      <c r="E29" s="480">
        <f t="shared" si="0"/>
        <v>-51.398678435536056</v>
      </c>
      <c r="F29" s="480"/>
      <c r="G29" s="480">
        <f>IFERROR(VLOOKUP(B29,W30_PG_3_of_3!A$10:B$53,2,FALSE),0)</f>
        <v>2.2995570365989999</v>
      </c>
      <c r="H29" s="480">
        <f>IFERROR(VLOOKUP(B29,W30_PG_3_of_3!A77:B120,2,FALSE),0)</f>
        <v>3.4230011022551912</v>
      </c>
      <c r="I29" s="480">
        <f t="shared" si="1"/>
        <v>1.1234440656561913</v>
      </c>
      <c r="J29" s="479"/>
      <c r="K29" s="479">
        <f t="shared" si="2"/>
        <v>-50.275234369879861</v>
      </c>
      <c r="L29" s="478">
        <f t="shared" si="3"/>
        <v>-50.275234369879861</v>
      </c>
    </row>
    <row r="30" spans="1:12">
      <c r="A30" s="470">
        <f t="shared" si="4"/>
        <v>22</v>
      </c>
      <c r="B30" s="470" t="s">
        <v>867</v>
      </c>
      <c r="C30" s="480">
        <f>IFERROR(VLOOKUP(B30,W30_PG_2_of_3!A$11:G$58,7,FALSE),0)</f>
        <v>256225.43305559235</v>
      </c>
      <c r="D30" s="480">
        <f>IFERROR(VLOOKUP(B30,W30_PG_2_of_3!A$62:G$109,7,FALSE),0)</f>
        <v>516329.76007404237</v>
      </c>
      <c r="E30" s="480">
        <f t="shared" si="0"/>
        <v>260104.32701845001</v>
      </c>
      <c r="F30" s="480"/>
      <c r="G30" s="480">
        <f>IFERROR(VLOOKUP(B30,W30_PG_3_of_3!A$10:B$53,2,FALSE),0)</f>
        <v>68567.738190758871</v>
      </c>
      <c r="H30" s="480">
        <f>IFERROR(VLOOKUP(B30,W30_PG_3_of_3!A78:B121,2,FALSE),0)</f>
        <v>92368.280319566315</v>
      </c>
      <c r="I30" s="480">
        <f t="shared" si="1"/>
        <v>23800.542128807443</v>
      </c>
      <c r="J30" s="479"/>
      <c r="K30" s="479">
        <f t="shared" si="2"/>
        <v>283904.86914725747</v>
      </c>
      <c r="L30" s="478">
        <f t="shared" si="3"/>
        <v>283904.86914725747</v>
      </c>
    </row>
    <row r="31" spans="1:12">
      <c r="A31" s="470">
        <f t="shared" si="4"/>
        <v>23</v>
      </c>
      <c r="B31" s="470" t="s">
        <v>866</v>
      </c>
      <c r="C31" s="480">
        <f>IFERROR(VLOOKUP(B31,W30_PG_2_of_3!A$11:G$58,7,FALSE),0)</f>
        <v>121.64994276432797</v>
      </c>
      <c r="D31" s="480">
        <f>IFERROR(VLOOKUP(B31,W30_PG_2_of_3!A$62:G$109,7,FALSE),0)</f>
        <v>253.20227936551424</v>
      </c>
      <c r="E31" s="480">
        <f t="shared" si="0"/>
        <v>131.55233660118625</v>
      </c>
      <c r="F31" s="480"/>
      <c r="G31" s="480">
        <f>IFERROR(VLOOKUP(B31,W30_PG_3_of_3!A$10:B$53,2,FALSE),0)</f>
        <v>62.224844184917998</v>
      </c>
      <c r="H31" s="480">
        <f>IFERROR(VLOOKUP(B31,W30_PG_3_of_3!A79:B122,2,FALSE),0)</f>
        <v>83.23202121021157</v>
      </c>
      <c r="I31" s="480">
        <f t="shared" si="1"/>
        <v>21.007177025293572</v>
      </c>
      <c r="J31" s="479"/>
      <c r="K31" s="479">
        <f t="shared" si="2"/>
        <v>152.55951362647983</v>
      </c>
      <c r="L31" s="478">
        <f t="shared" si="3"/>
        <v>152.55951362647983</v>
      </c>
    </row>
    <row r="32" spans="1:12">
      <c r="A32" s="470">
        <f t="shared" si="4"/>
        <v>24</v>
      </c>
      <c r="B32" s="470" t="s">
        <v>865</v>
      </c>
      <c r="C32" s="480">
        <f>IFERROR(VLOOKUP(B32,W30_PG_2_of_3!A$11:G$58,7,FALSE),0)</f>
        <v>88.228130374564998</v>
      </c>
      <c r="D32" s="480">
        <f>IFERROR(VLOOKUP(B32,W30_PG_2_of_3!A$62:G$109,7,FALSE),0)</f>
        <v>177.36512086415334</v>
      </c>
      <c r="E32" s="480">
        <f t="shared" si="0"/>
        <v>89.136990489588342</v>
      </c>
      <c r="F32" s="480"/>
      <c r="G32" s="480">
        <f>IFERROR(VLOOKUP(B32,W30_PG_3_of_3!A$10:B$53,2,FALSE),0)</f>
        <v>18.012573033757999</v>
      </c>
      <c r="H32" s="480">
        <f>IFERROR(VLOOKUP(B32,W30_PG_3_of_3!A80:B123,2,FALSE),0)</f>
        <v>26.812580148129463</v>
      </c>
      <c r="I32" s="480">
        <f t="shared" si="1"/>
        <v>8.8000071143714642</v>
      </c>
      <c r="J32" s="479"/>
      <c r="K32" s="479">
        <f t="shared" si="2"/>
        <v>97.93699760395981</v>
      </c>
      <c r="L32" s="478">
        <f t="shared" si="3"/>
        <v>97.93699760395981</v>
      </c>
    </row>
    <row r="33" spans="1:14">
      <c r="A33" s="470">
        <f t="shared" si="4"/>
        <v>25</v>
      </c>
      <c r="B33" s="470" t="s">
        <v>864</v>
      </c>
      <c r="C33" s="480">
        <f>IFERROR(VLOOKUP(B33,W30_PG_2_of_3!A$11:G$58,7,FALSE),0)</f>
        <v>73.368400513534993</v>
      </c>
      <c r="D33" s="480">
        <f>IFERROR(VLOOKUP(B33,W30_PG_2_of_3!A$62:G$109,7,FALSE),0)</f>
        <v>151.86146355732998</v>
      </c>
      <c r="E33" s="480">
        <f t="shared" si="0"/>
        <v>78.49306304379499</v>
      </c>
      <c r="F33" s="480"/>
      <c r="G33" s="480">
        <f>IFERROR(VLOOKUP(B33,W30_PG_3_of_3!A$10:B$53,2,FALSE),0)</f>
        <v>16.65898035594299</v>
      </c>
      <c r="H33" s="480">
        <f>IFERROR(VLOOKUP(B33,W30_PG_3_of_3!A81:B124,2,FALSE),0)</f>
        <v>23.846112888605976</v>
      </c>
      <c r="I33" s="480">
        <f t="shared" si="1"/>
        <v>7.1871325326629858</v>
      </c>
      <c r="J33" s="479"/>
      <c r="K33" s="479">
        <f t="shared" si="2"/>
        <v>85.680195576457976</v>
      </c>
      <c r="L33" s="478">
        <f t="shared" si="3"/>
        <v>85.680195576457976</v>
      </c>
    </row>
    <row r="34" spans="1:14">
      <c r="A34" s="470">
        <f t="shared" si="4"/>
        <v>26</v>
      </c>
      <c r="B34" s="470" t="s">
        <v>863</v>
      </c>
      <c r="C34" s="480">
        <f>IFERROR(VLOOKUP(B34,W30_PG_2_of_3!A$11:G$58,7,FALSE),0)</f>
        <v>1327.960801509932</v>
      </c>
      <c r="D34" s="480">
        <f>IFERROR(VLOOKUP(B34,W30_PG_2_of_3!A$62:G$109,7,FALSE),0)</f>
        <v>2741.8919457539873</v>
      </c>
      <c r="E34" s="480">
        <f t="shared" si="0"/>
        <v>1413.9311442440553</v>
      </c>
      <c r="F34" s="480"/>
      <c r="G34" s="480">
        <f>IFERROR(VLOOKUP(B34,W30_PG_3_of_3!A$10:B$53,2,FALSE),0)</f>
        <v>252.17431111905785</v>
      </c>
      <c r="H34" s="480">
        <f>IFERROR(VLOOKUP(B34,W30_PG_3_of_3!A82:B125,2,FALSE),0)</f>
        <v>361.04761693138875</v>
      </c>
      <c r="I34" s="480">
        <f t="shared" si="1"/>
        <v>108.8733058123309</v>
      </c>
      <c r="J34" s="479"/>
      <c r="K34" s="479">
        <f t="shared" si="2"/>
        <v>1522.8044500563863</v>
      </c>
      <c r="L34" s="478">
        <f t="shared" si="3"/>
        <v>1522.8044500563863</v>
      </c>
    </row>
    <row r="35" spans="1:14">
      <c r="A35" s="470">
        <f t="shared" si="4"/>
        <v>27</v>
      </c>
      <c r="B35" s="470" t="s">
        <v>862</v>
      </c>
      <c r="C35" s="480">
        <f>IFERROR(VLOOKUP(B35,W30_PG_2_of_3!A$11:G$58,7,FALSE),0)</f>
        <v>8.5010991348000005</v>
      </c>
      <c r="D35" s="480">
        <f>IFERROR(VLOOKUP(B35,W30_PG_2_of_3!A$62:G$109,7,FALSE),0)</f>
        <v>17.983230216636791</v>
      </c>
      <c r="E35" s="480">
        <f t="shared" si="0"/>
        <v>9.4821310818367905</v>
      </c>
      <c r="F35" s="480"/>
      <c r="G35" s="480">
        <f>IFERROR(VLOOKUP(B35,W30_PG_3_of_3!A$10:B$53,2,FALSE),0)</f>
        <v>0.97135240986999982</v>
      </c>
      <c r="H35" s="480">
        <f>IFERROR(VLOOKUP(B35,W30_PG_3_of_3!A83:B126,2,FALSE),0)</f>
        <v>1.4459047184934224</v>
      </c>
      <c r="I35" s="480">
        <f t="shared" si="1"/>
        <v>0.47455230862342257</v>
      </c>
      <c r="J35" s="479"/>
      <c r="K35" s="479">
        <f t="shared" si="2"/>
        <v>9.9566833904602134</v>
      </c>
      <c r="L35" s="478">
        <f t="shared" si="3"/>
        <v>9.9566833904602134</v>
      </c>
    </row>
    <row r="36" spans="1:14">
      <c r="A36" s="470">
        <f t="shared" si="4"/>
        <v>28</v>
      </c>
      <c r="B36" s="470" t="s">
        <v>861</v>
      </c>
      <c r="C36" s="480">
        <f>IFERROR(VLOOKUP(B36,W30_PG_2_of_3!A$11:G$58,7,FALSE),0)</f>
        <v>5831.5139388224006</v>
      </c>
      <c r="D36" s="480">
        <f>IFERROR(VLOOKUP(B36,W30_PG_2_of_3!A$62:G$109,7,FALSE),0)</f>
        <v>12148.764951136518</v>
      </c>
      <c r="E36" s="480">
        <f t="shared" si="0"/>
        <v>6317.2510123141174</v>
      </c>
      <c r="F36" s="480"/>
      <c r="G36" s="480">
        <f>IFERROR(VLOOKUP(B36,W30_PG_3_of_3!A$10:B$53,2,FALSE),0)</f>
        <v>1604.2847798831272</v>
      </c>
      <c r="H36" s="480">
        <f>IFERROR(VLOOKUP(B36,W30_PG_3_of_3!A84:B127,2,FALSE),0)</f>
        <v>2178.955987555828</v>
      </c>
      <c r="I36" s="480">
        <f t="shared" si="1"/>
        <v>574.6712076727008</v>
      </c>
      <c r="J36" s="479"/>
      <c r="K36" s="479">
        <f t="shared" si="2"/>
        <v>6891.9222199868182</v>
      </c>
      <c r="L36" s="478">
        <f t="shared" si="3"/>
        <v>6891.9222199868182</v>
      </c>
    </row>
    <row r="37" spans="1:14">
      <c r="A37" s="470">
        <f t="shared" si="4"/>
        <v>29</v>
      </c>
      <c r="B37" s="470" t="s">
        <v>860</v>
      </c>
      <c r="C37" s="480">
        <f>IFERROR(VLOOKUP(B37,W30_PG_2_of_3!A$11:G$58,7,FALSE),0)</f>
        <v>19989.249047309724</v>
      </c>
      <c r="D37" s="480">
        <f>IFERROR(VLOOKUP(B37,W30_PG_2_of_3!A$62:G$109,7,FALSE),0)</f>
        <v>41016.166195936421</v>
      </c>
      <c r="E37" s="480">
        <f t="shared" si="0"/>
        <v>21026.917148626697</v>
      </c>
      <c r="F37" s="480"/>
      <c r="G37" s="480">
        <f>IFERROR(VLOOKUP(B37,W30_PG_3_of_3!A$10:B$53,2,FALSE),0)</f>
        <v>4566.1578576985867</v>
      </c>
      <c r="H37" s="480">
        <f>IFERROR(VLOOKUP(B37,W30_PG_3_of_3!A85:B128,2,FALSE),0)</f>
        <v>6171.3178802111552</v>
      </c>
      <c r="I37" s="480">
        <f t="shared" si="1"/>
        <v>1605.1600225125685</v>
      </c>
      <c r="J37" s="479"/>
      <c r="K37" s="479">
        <f t="shared" si="2"/>
        <v>22632.077171139266</v>
      </c>
      <c r="L37" s="478">
        <f t="shared" si="3"/>
        <v>22632.077171139266</v>
      </c>
    </row>
    <row r="38" spans="1:14">
      <c r="A38" s="470">
        <f t="shared" si="4"/>
        <v>30</v>
      </c>
      <c r="B38" s="470" t="s">
        <v>859</v>
      </c>
      <c r="C38" s="480">
        <f>IFERROR(VLOOKUP(B38,W30_PG_2_of_3!A$11:G$58,7,FALSE),0)</f>
        <v>492.917911951549</v>
      </c>
      <c r="D38" s="480">
        <f>IFERROR(VLOOKUP(B38,W30_PG_2_of_3!A$62:G$109,7,FALSE),0)</f>
        <v>982.46330545436956</v>
      </c>
      <c r="E38" s="480">
        <f t="shared" si="0"/>
        <v>489.54539350282056</v>
      </c>
      <c r="F38" s="480"/>
      <c r="G38" s="480">
        <f>IFERROR(VLOOKUP(B38,W30_PG_3_of_3!A$10:B$53,2,FALSE),0)</f>
        <v>123.50646487731102</v>
      </c>
      <c r="H38" s="480">
        <f>IFERROR(VLOOKUP(B38,W30_PG_3_of_3!A86:B129,2,FALSE),0)</f>
        <v>166.07265923574968</v>
      </c>
      <c r="I38" s="480">
        <f t="shared" si="1"/>
        <v>42.566194358438665</v>
      </c>
      <c r="J38" s="479"/>
      <c r="K38" s="479">
        <f t="shared" si="2"/>
        <v>532.11158786125918</v>
      </c>
      <c r="L38" s="478">
        <f t="shared" si="3"/>
        <v>532.11158786125918</v>
      </c>
    </row>
    <row r="39" spans="1:14">
      <c r="A39" s="470">
        <f t="shared" si="4"/>
        <v>31</v>
      </c>
      <c r="B39" s="470" t="s">
        <v>858</v>
      </c>
      <c r="C39" s="480">
        <f>IFERROR(VLOOKUP(B39,W30_PG_2_of_3!A$11:G$58,7,FALSE),0)</f>
        <v>6923.5972932687482</v>
      </c>
      <c r="D39" s="480">
        <f>IFERROR(VLOOKUP(B39,W30_PG_2_of_3!A$62:G$109,7,FALSE),0)</f>
        <v>14123.246533782534</v>
      </c>
      <c r="E39" s="480">
        <f t="shared" si="0"/>
        <v>7199.649240513786</v>
      </c>
      <c r="F39" s="480"/>
      <c r="G39" s="480">
        <f>IFERROR(VLOOKUP(B39,W30_PG_3_of_3!A$10:B$53,2,FALSE),0)</f>
        <v>1861.6307198766028</v>
      </c>
      <c r="H39" s="480">
        <f>IFERROR(VLOOKUP(B39,W30_PG_3_of_3!A87:B130,2,FALSE),0)</f>
        <v>2518.6067733468244</v>
      </c>
      <c r="I39" s="480">
        <f t="shared" si="1"/>
        <v>656.97605347022159</v>
      </c>
      <c r="J39" s="479"/>
      <c r="K39" s="479">
        <f t="shared" si="2"/>
        <v>7856.6252939840078</v>
      </c>
      <c r="L39" s="478">
        <f t="shared" si="3"/>
        <v>7856.6252939840078</v>
      </c>
    </row>
    <row r="40" spans="1:14">
      <c r="A40" s="470">
        <f t="shared" si="4"/>
        <v>32</v>
      </c>
      <c r="B40" s="470" t="s">
        <v>857</v>
      </c>
      <c r="C40" s="480">
        <f>IFERROR(VLOOKUP(B40,W30_PG_2_of_3!A$11:G$58,7,FALSE),0)</f>
        <v>91415.187324018014</v>
      </c>
      <c r="D40" s="480">
        <f>IFERROR(VLOOKUP(B40,W30_PG_2_of_3!A$62:G$109,7,FALSE),0)</f>
        <v>188411.02731246364</v>
      </c>
      <c r="E40" s="480">
        <f t="shared" si="0"/>
        <v>96995.83998844563</v>
      </c>
      <c r="F40" s="480"/>
      <c r="G40" s="480">
        <f>IFERROR(VLOOKUP(B40,W30_PG_3_of_3!A$10:B$53,2,FALSE),0)</f>
        <v>22969.339852775691</v>
      </c>
      <c r="H40" s="480">
        <f>IFERROR(VLOOKUP(B40,W30_PG_3_of_3!A88:B131,2,FALSE),0)</f>
        <v>31034.576534648229</v>
      </c>
      <c r="I40" s="480">
        <f t="shared" si="1"/>
        <v>8065.2366818725386</v>
      </c>
      <c r="J40" s="479"/>
      <c r="K40" s="479">
        <f t="shared" si="2"/>
        <v>105061.07667031817</v>
      </c>
      <c r="L40" s="478">
        <f t="shared" si="3"/>
        <v>105061.07667031817</v>
      </c>
    </row>
    <row r="41" spans="1:14">
      <c r="A41" s="470">
        <f t="shared" si="4"/>
        <v>33</v>
      </c>
      <c r="B41" s="470" t="s">
        <v>856</v>
      </c>
      <c r="C41" s="480">
        <f>IFERROR(VLOOKUP(B41,W30_PG_2_of_3!A$11:G$58,7,FALSE),0)</f>
        <v>-4.6501915264819997</v>
      </c>
      <c r="D41" s="480">
        <f>IFERROR(VLOOKUP(B41,W30_PG_2_of_3!A$62:G$109,7,FALSE),0)</f>
        <v>-9.9226452549202495</v>
      </c>
      <c r="E41" s="480">
        <f t="shared" si="0"/>
        <v>-5.2724537284382498</v>
      </c>
      <c r="F41" s="480"/>
      <c r="G41" s="480">
        <f>IFERROR(VLOOKUP(B41,W30_PG_3_of_3!A$10:B$53,2,FALSE),0)</f>
        <v>0</v>
      </c>
      <c r="H41" s="480">
        <f>IFERROR(VLOOKUP(B41,W30_PG_3_of_3!A89:B132,2,FALSE),0)</f>
        <v>0</v>
      </c>
      <c r="I41" s="480">
        <f t="shared" si="1"/>
        <v>0</v>
      </c>
      <c r="J41" s="479"/>
      <c r="K41" s="479">
        <f t="shared" si="2"/>
        <v>-5.2724537284382498</v>
      </c>
      <c r="L41" s="478">
        <f t="shared" si="3"/>
        <v>-5.2724537284382498</v>
      </c>
    </row>
    <row r="42" spans="1:14">
      <c r="A42" s="470">
        <f t="shared" si="4"/>
        <v>34</v>
      </c>
      <c r="B42" s="470" t="s">
        <v>855</v>
      </c>
      <c r="C42" s="480">
        <f>IFERROR(VLOOKUP(B42,W30_PG_2_of_3!A$11:G$58,7,FALSE),0)</f>
        <v>4869.1187610273528</v>
      </c>
      <c r="D42" s="480">
        <f>IFERROR(VLOOKUP(B42,W30_PG_2_of_3!A$62:G$109,7,FALSE),0)</f>
        <v>9832.8567541083466</v>
      </c>
      <c r="E42" s="480">
        <f t="shared" si="0"/>
        <v>4963.7379930809939</v>
      </c>
      <c r="F42" s="480"/>
      <c r="G42" s="480">
        <f>IFERROR(VLOOKUP(B42,W30_PG_3_of_3!A$10:B$53,2,FALSE),0)</f>
        <v>1062.334372191599</v>
      </c>
      <c r="H42" s="480">
        <f>IFERROR(VLOOKUP(B42,W30_PG_3_of_3!A90:B133,2,FALSE),0)</f>
        <v>1432.4573617144938</v>
      </c>
      <c r="I42" s="480">
        <f t="shared" si="1"/>
        <v>370.12298952289484</v>
      </c>
      <c r="J42" s="479"/>
      <c r="K42" s="479">
        <f t="shared" si="2"/>
        <v>5333.8609826038883</v>
      </c>
      <c r="L42" s="478">
        <f t="shared" si="3"/>
        <v>5333.8609826038883</v>
      </c>
    </row>
    <row r="43" spans="1:14">
      <c r="A43" s="470">
        <f t="shared" si="4"/>
        <v>35</v>
      </c>
      <c r="B43" s="470" t="s">
        <v>854</v>
      </c>
      <c r="C43" s="480">
        <f>IFERROR(VLOOKUP(B43,W30_PG_2_of_3!A$11:G$58,7,FALSE),0)</f>
        <v>659.91044737029802</v>
      </c>
      <c r="D43" s="480">
        <f>IFERROR(VLOOKUP(B43,W30_PG_2_of_3!A$62:G$109,7,FALSE),0)</f>
        <v>299.55958444867434</v>
      </c>
      <c r="E43" s="480">
        <f t="shared" si="0"/>
        <v>-360.35086292162367</v>
      </c>
      <c r="F43" s="480"/>
      <c r="G43" s="480">
        <f>IFERROR(VLOOKUP(B43,W30_PG_3_of_3!A$10:B$53,2,FALSE),0)</f>
        <v>58.74429406026298</v>
      </c>
      <c r="H43" s="480">
        <f>IFERROR(VLOOKUP(B43,W30_PG_3_of_3!A91:B134,2,FALSE),0)</f>
        <v>84.786682272995947</v>
      </c>
      <c r="I43" s="480">
        <f t="shared" si="1"/>
        <v>26.042388212732966</v>
      </c>
      <c r="J43" s="479"/>
      <c r="K43" s="479">
        <f t="shared" si="2"/>
        <v>-334.30847470889069</v>
      </c>
      <c r="L43" s="478">
        <f t="shared" si="3"/>
        <v>-334.30847470889069</v>
      </c>
    </row>
    <row r="44" spans="1:14">
      <c r="A44" s="470">
        <f t="shared" si="4"/>
        <v>36</v>
      </c>
      <c r="B44" s="470" t="s">
        <v>853</v>
      </c>
      <c r="C44" s="477">
        <f>IFERROR(VLOOKUP(B44,W30_PG_2_of_3!A$11:G$58,7,FALSE),0)</f>
        <v>23443.78264869652</v>
      </c>
      <c r="D44" s="477">
        <f>IFERROR(VLOOKUP(B44,W30_PG_2_of_3!A$62:G$109,7,FALSE),0)</f>
        <v>581.09388226669739</v>
      </c>
      <c r="E44" s="477">
        <f t="shared" si="0"/>
        <v>-22862.688766429823</v>
      </c>
      <c r="F44" s="477"/>
      <c r="G44" s="477">
        <f>IFERROR(VLOOKUP(B44,W30_PG_3_of_3!A$10:B$53,2,FALSE),0)</f>
        <v>1805.3364400942378</v>
      </c>
      <c r="H44" s="477">
        <f>IFERROR(VLOOKUP(B44,W30_PG_3_of_3!A92:B135,2,FALSE),0)</f>
        <v>2486.9180142965615</v>
      </c>
      <c r="I44" s="477">
        <f t="shared" si="1"/>
        <v>681.58157420232374</v>
      </c>
      <c r="J44" s="476"/>
      <c r="K44" s="476">
        <f t="shared" si="2"/>
        <v>-22181.1071922275</v>
      </c>
      <c r="L44" s="475">
        <f t="shared" si="3"/>
        <v>-22181.1071922275</v>
      </c>
      <c r="M44" s="474"/>
    </row>
    <row r="45" spans="1:14" ht="13.5" thickBot="1">
      <c r="A45" s="470">
        <f t="shared" si="4"/>
        <v>37</v>
      </c>
      <c r="B45" s="471" t="s">
        <v>244</v>
      </c>
      <c r="C45" s="473">
        <f>SUM(C9:C44)</f>
        <v>978954.43962625635</v>
      </c>
      <c r="D45" s="473">
        <f>SUM(D9:D44)</f>
        <v>1761459.1858644483</v>
      </c>
      <c r="E45" s="473">
        <f>SUM(E9:E44)</f>
        <v>782504.74623819231</v>
      </c>
      <c r="F45" s="473"/>
      <c r="G45" s="473">
        <f>SUM(G9:G44)</f>
        <v>153862.73742015407</v>
      </c>
      <c r="H45" s="473">
        <f>SUM(H9:H44)</f>
        <v>207954.14440600487</v>
      </c>
      <c r="I45" s="473">
        <f>SUM(I9:I44)</f>
        <v>54091.406985850794</v>
      </c>
      <c r="J45" s="472"/>
      <c r="K45" s="472">
        <f>SUM(K9:K44)</f>
        <v>836596.15322404308</v>
      </c>
      <c r="L45" s="472">
        <f>SUM(L9:L44)</f>
        <v>836596.15322404308</v>
      </c>
      <c r="M45" s="471"/>
      <c r="N45" s="471"/>
    </row>
    <row r="46" spans="1:14" ht="13" thickTop="1"/>
    <row r="47" spans="1:14">
      <c r="A47" s="470">
        <f>A45+1</f>
        <v>38</v>
      </c>
      <c r="B47" s="470" t="s">
        <v>903</v>
      </c>
    </row>
    <row r="50" spans="2:3">
      <c r="B50" s="470" t="s">
        <v>53</v>
      </c>
      <c r="C50" s="470" t="s">
        <v>54</v>
      </c>
    </row>
  </sheetData>
  <mergeCells count="9">
    <mergeCell ref="H6:H7"/>
    <mergeCell ref="I6:I7"/>
    <mergeCell ref="K6:K7"/>
    <mergeCell ref="A6:A7"/>
    <mergeCell ref="B6:B7"/>
    <mergeCell ref="C6:C7"/>
    <mergeCell ref="D6:D7"/>
    <mergeCell ref="E6:E7"/>
    <mergeCell ref="G6:G7"/>
  </mergeCells>
  <pageMargins left="0.7" right="0.7" top="0.75" bottom="0.75" header="0.3" footer="0.3"/>
  <pageSetup scale="74" orientation="portrait" horizontalDpi="200" verticalDpi="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D044-CF2F-4968-91A0-F4F3A73B55C4}">
  <dimension ref="A1:H163"/>
  <sheetViews>
    <sheetView topLeftCell="A121" zoomScale="90" zoomScaleNormal="90" workbookViewId="0">
      <selection activeCell="J157" sqref="J157"/>
    </sheetView>
  </sheetViews>
  <sheetFormatPr defaultColWidth="9.1796875" defaultRowHeight="12.5"/>
  <cols>
    <col min="1" max="1" width="14.81640625" style="470" customWidth="1"/>
    <col min="2" max="2" width="15.453125" style="488" customWidth="1"/>
    <col min="3" max="3" width="18.453125" style="488" bestFit="1" customWidth="1"/>
    <col min="4" max="4" width="14.81640625" style="488" bestFit="1" customWidth="1"/>
    <col min="5" max="5" width="15.7265625" style="488" bestFit="1" customWidth="1"/>
    <col min="6" max="6" width="15.7265625" style="488" customWidth="1"/>
    <col min="7" max="7" width="15.81640625" style="487" customWidth="1"/>
    <col min="8" max="8" width="14.7265625" style="470" bestFit="1" customWidth="1"/>
    <col min="9" max="16384" width="9.1796875" style="470"/>
  </cols>
  <sheetData>
    <row r="1" spans="1:7">
      <c r="B1" s="487"/>
      <c r="C1" s="487"/>
      <c r="D1" s="487"/>
      <c r="E1" s="487"/>
      <c r="F1" s="487"/>
    </row>
    <row r="2" spans="1:7">
      <c r="A2" s="349" t="s">
        <v>51</v>
      </c>
      <c r="B2" s="487"/>
      <c r="C2" s="487"/>
      <c r="D2" s="487"/>
      <c r="E2" s="487"/>
      <c r="F2" s="487"/>
    </row>
    <row r="3" spans="1:7">
      <c r="A3" s="349" t="s">
        <v>920</v>
      </c>
      <c r="B3" s="487"/>
      <c r="C3" s="487"/>
      <c r="D3" s="487"/>
      <c r="E3" s="487"/>
      <c r="F3" s="487"/>
    </row>
    <row r="4" spans="1:7">
      <c r="A4" s="349" t="s">
        <v>83</v>
      </c>
      <c r="B4" s="487"/>
      <c r="C4" s="487"/>
      <c r="D4" s="487"/>
      <c r="E4" s="487"/>
      <c r="F4" s="487"/>
    </row>
    <row r="5" spans="1:7">
      <c r="A5" s="470" t="s">
        <v>942</v>
      </c>
      <c r="B5" s="487"/>
      <c r="C5" s="487"/>
      <c r="D5" s="487"/>
      <c r="E5" s="487"/>
      <c r="F5" s="487"/>
    </row>
    <row r="6" spans="1:7">
      <c r="B6" s="487"/>
      <c r="C6" s="487"/>
      <c r="D6" s="487"/>
      <c r="E6" s="487"/>
      <c r="F6" s="487"/>
    </row>
    <row r="7" spans="1:7">
      <c r="A7" s="509" t="s">
        <v>941</v>
      </c>
      <c r="B7" s="507" t="s">
        <v>940</v>
      </c>
      <c r="C7" s="487"/>
      <c r="D7" s="487"/>
      <c r="E7" s="487"/>
      <c r="F7" s="487"/>
    </row>
    <row r="8" spans="1:7">
      <c r="B8" s="487"/>
      <c r="C8" s="487"/>
      <c r="D8" s="487"/>
      <c r="E8" s="487"/>
      <c r="F8" s="487"/>
    </row>
    <row r="9" spans="1:7">
      <c r="A9" s="511" t="s">
        <v>939</v>
      </c>
      <c r="B9" s="510" t="s">
        <v>633</v>
      </c>
      <c r="C9" s="487"/>
      <c r="D9" s="487"/>
      <c r="E9" s="487"/>
      <c r="F9" s="487"/>
    </row>
    <row r="10" spans="1:7">
      <c r="A10" s="509" t="s">
        <v>562</v>
      </c>
      <c r="B10" s="507" t="s">
        <v>938</v>
      </c>
      <c r="C10" s="507" t="s">
        <v>937</v>
      </c>
      <c r="D10" s="507" t="s">
        <v>936</v>
      </c>
      <c r="E10" s="507" t="s">
        <v>935</v>
      </c>
      <c r="F10" s="508" t="s">
        <v>934</v>
      </c>
      <c r="G10" s="507" t="s">
        <v>244</v>
      </c>
    </row>
    <row r="11" spans="1:7">
      <c r="A11" s="484" t="s">
        <v>931</v>
      </c>
      <c r="B11" s="494">
        <v>457085.65664495312</v>
      </c>
      <c r="C11" s="494">
        <v>33411.119852575175</v>
      </c>
      <c r="D11" s="494">
        <v>8621.3769932558498</v>
      </c>
      <c r="E11" s="494">
        <v>14147.433298595042</v>
      </c>
      <c r="F11" s="494">
        <v>988.30699410510601</v>
      </c>
      <c r="G11" s="492">
        <f t="shared" ref="G11:G57" si="0">SUM(B11:F11)</f>
        <v>514253.89378348429</v>
      </c>
    </row>
    <row r="12" spans="1:7">
      <c r="A12" s="484" t="s">
        <v>930</v>
      </c>
      <c r="B12" s="494">
        <v>64844.341166316743</v>
      </c>
      <c r="C12" s="494">
        <v>3982.8056086544443</v>
      </c>
      <c r="D12" s="494">
        <v>11361.788590763183</v>
      </c>
      <c r="E12" s="494">
        <v>333.54544102142796</v>
      </c>
      <c r="F12" s="494">
        <v>13.341121055109999</v>
      </c>
      <c r="G12" s="492">
        <f t="shared" si="0"/>
        <v>80535.821927810917</v>
      </c>
    </row>
    <row r="13" spans="1:7">
      <c r="A13" s="484" t="s">
        <v>929</v>
      </c>
      <c r="B13" s="494">
        <v>7148.0306436115179</v>
      </c>
      <c r="C13" s="494">
        <v>1187.6690590516453</v>
      </c>
      <c r="D13" s="494">
        <v>58707.356079301702</v>
      </c>
      <c r="E13" s="494">
        <v>0</v>
      </c>
      <c r="F13" s="494">
        <v>0</v>
      </c>
      <c r="G13" s="492">
        <f t="shared" si="0"/>
        <v>67043.055781964867</v>
      </c>
    </row>
    <row r="14" spans="1:7">
      <c r="A14" s="484" t="s">
        <v>928</v>
      </c>
      <c r="B14" s="494">
        <v>0</v>
      </c>
      <c r="C14" s="494">
        <v>326.84999999999997</v>
      </c>
      <c r="D14" s="494">
        <v>0</v>
      </c>
      <c r="E14" s="494">
        <v>0</v>
      </c>
      <c r="F14" s="494">
        <v>0</v>
      </c>
      <c r="G14" s="492">
        <f t="shared" si="0"/>
        <v>326.84999999999997</v>
      </c>
    </row>
    <row r="15" spans="1:7">
      <c r="A15" s="484" t="s">
        <v>927</v>
      </c>
      <c r="B15" s="494">
        <v>0</v>
      </c>
      <c r="C15" s="494">
        <v>0</v>
      </c>
      <c r="D15" s="494">
        <v>0</v>
      </c>
      <c r="E15" s="494">
        <v>0</v>
      </c>
      <c r="F15" s="494">
        <v>0</v>
      </c>
      <c r="G15" s="492">
        <f t="shared" si="0"/>
        <v>0</v>
      </c>
    </row>
    <row r="16" spans="1:7">
      <c r="A16" s="484" t="s">
        <v>926</v>
      </c>
      <c r="B16" s="494">
        <v>0</v>
      </c>
      <c r="C16" s="494">
        <v>461.15</v>
      </c>
      <c r="D16" s="494">
        <v>0</v>
      </c>
      <c r="E16" s="494">
        <v>0</v>
      </c>
      <c r="F16" s="494">
        <v>0</v>
      </c>
      <c r="G16" s="492">
        <f t="shared" si="0"/>
        <v>461.15</v>
      </c>
    </row>
    <row r="17" spans="1:7">
      <c r="A17" s="484" t="s">
        <v>925</v>
      </c>
      <c r="B17" s="494">
        <v>1900.2099999999994</v>
      </c>
      <c r="C17" s="494">
        <v>0</v>
      </c>
      <c r="D17" s="494">
        <v>0</v>
      </c>
      <c r="E17" s="494">
        <v>0</v>
      </c>
      <c r="F17" s="494">
        <v>0</v>
      </c>
      <c r="G17" s="492">
        <f t="shared" si="0"/>
        <v>1900.2099999999994</v>
      </c>
    </row>
    <row r="18" spans="1:7">
      <c r="A18" s="484" t="s">
        <v>924</v>
      </c>
      <c r="B18" s="494">
        <v>55278.239999999991</v>
      </c>
      <c r="C18" s="494">
        <v>0</v>
      </c>
      <c r="D18" s="494">
        <v>552.24</v>
      </c>
      <c r="E18" s="494">
        <v>0</v>
      </c>
      <c r="F18" s="494">
        <v>0</v>
      </c>
      <c r="G18" s="492">
        <f t="shared" si="0"/>
        <v>55830.479999999989</v>
      </c>
    </row>
    <row r="19" spans="1:7">
      <c r="A19" s="484" t="s">
        <v>923</v>
      </c>
      <c r="B19" s="494">
        <v>54.306505949521004</v>
      </c>
      <c r="C19" s="494">
        <v>1.7543747111179999</v>
      </c>
      <c r="D19" s="494">
        <v>0</v>
      </c>
      <c r="E19" s="494">
        <v>0</v>
      </c>
      <c r="F19" s="494">
        <v>0</v>
      </c>
      <c r="G19" s="492">
        <f t="shared" si="0"/>
        <v>56.060880660639</v>
      </c>
    </row>
    <row r="20" spans="1:7">
      <c r="A20" s="484" t="s">
        <v>922</v>
      </c>
      <c r="B20" s="494">
        <v>1146.686773997709</v>
      </c>
      <c r="C20" s="494">
        <v>49.799143446785493</v>
      </c>
      <c r="D20" s="494">
        <v>-39.135672812468002</v>
      </c>
      <c r="E20" s="494">
        <v>0</v>
      </c>
      <c r="F20" s="494">
        <v>0</v>
      </c>
      <c r="G20" s="492">
        <f t="shared" si="0"/>
        <v>1157.3502446320265</v>
      </c>
    </row>
    <row r="21" spans="1:7">
      <c r="A21" s="484" t="s">
        <v>921</v>
      </c>
      <c r="B21" s="494">
        <v>2.208786892025</v>
      </c>
      <c r="C21" s="494">
        <v>-41.341754694401999</v>
      </c>
      <c r="D21" s="494">
        <v>18.314984969483</v>
      </c>
      <c r="E21" s="494">
        <v>0</v>
      </c>
      <c r="F21" s="494">
        <v>0</v>
      </c>
      <c r="G21" s="492">
        <f t="shared" si="0"/>
        <v>-20.817982832893996</v>
      </c>
    </row>
    <row r="22" spans="1:7">
      <c r="A22" s="484" t="s">
        <v>893</v>
      </c>
      <c r="B22" s="494">
        <v>5111.4529338562124</v>
      </c>
      <c r="C22" s="494">
        <v>164.12795831519725</v>
      </c>
      <c r="D22" s="494">
        <v>35997.481207870958</v>
      </c>
      <c r="E22" s="494">
        <v>35.179244655706</v>
      </c>
      <c r="F22" s="494">
        <v>1871.7204060481281</v>
      </c>
      <c r="G22" s="492">
        <f t="shared" si="0"/>
        <v>43179.96175074621</v>
      </c>
    </row>
    <row r="23" spans="1:7">
      <c r="A23" s="484" t="s">
        <v>891</v>
      </c>
      <c r="B23" s="494">
        <v>14377.620332176244</v>
      </c>
      <c r="C23" s="494">
        <v>1959.2451679963613</v>
      </c>
      <c r="D23" s="494">
        <v>98619.625332157651</v>
      </c>
      <c r="E23" s="494">
        <v>0</v>
      </c>
      <c r="F23" s="494">
        <v>0</v>
      </c>
      <c r="G23" s="492">
        <f t="shared" si="0"/>
        <v>114956.49083233025</v>
      </c>
    </row>
    <row r="24" spans="1:7">
      <c r="A24" s="484" t="s">
        <v>889</v>
      </c>
      <c r="B24" s="494">
        <v>9880.2957380864009</v>
      </c>
      <c r="C24" s="494">
        <v>941.60225505024459</v>
      </c>
      <c r="D24" s="494">
        <v>46740.615974604727</v>
      </c>
      <c r="E24" s="494">
        <v>0</v>
      </c>
      <c r="F24" s="494">
        <v>0</v>
      </c>
      <c r="G24" s="492">
        <f t="shared" si="0"/>
        <v>57562.513967741368</v>
      </c>
    </row>
    <row r="25" spans="1:7">
      <c r="A25" s="484" t="s">
        <v>887</v>
      </c>
      <c r="B25" s="494">
        <v>553.69013122425395</v>
      </c>
      <c r="C25" s="494">
        <v>7.3805896490190017</v>
      </c>
      <c r="D25" s="494">
        <v>904.90551261657106</v>
      </c>
      <c r="E25" s="494">
        <v>0</v>
      </c>
      <c r="F25" s="494">
        <v>0</v>
      </c>
      <c r="G25" s="492">
        <f t="shared" si="0"/>
        <v>1465.9762334898442</v>
      </c>
    </row>
    <row r="26" spans="1:7">
      <c r="A26" s="484" t="s">
        <v>885</v>
      </c>
      <c r="B26" s="494">
        <v>8461.6030787529762</v>
      </c>
      <c r="C26" s="494">
        <v>377.93974783479291</v>
      </c>
      <c r="D26" s="494">
        <v>47367.908378491098</v>
      </c>
      <c r="E26" s="494">
        <v>0</v>
      </c>
      <c r="F26" s="494">
        <v>132.35605869884751</v>
      </c>
      <c r="G26" s="492">
        <f t="shared" si="0"/>
        <v>56339.807263777715</v>
      </c>
    </row>
    <row r="27" spans="1:7">
      <c r="A27" s="484" t="s">
        <v>884</v>
      </c>
      <c r="B27" s="494">
        <v>4963.510450191312</v>
      </c>
      <c r="C27" s="494">
        <v>408.42434199611751</v>
      </c>
      <c r="D27" s="494">
        <v>36279.39534326423</v>
      </c>
      <c r="E27" s="494">
        <v>0</v>
      </c>
      <c r="F27" s="494">
        <v>0</v>
      </c>
      <c r="G27" s="492">
        <f t="shared" si="0"/>
        <v>41651.330135451659</v>
      </c>
    </row>
    <row r="28" spans="1:7">
      <c r="A28" s="484" t="s">
        <v>883</v>
      </c>
      <c r="B28" s="494">
        <v>667.67646317784465</v>
      </c>
      <c r="C28" s="494">
        <v>-63.969280906221002</v>
      </c>
      <c r="D28" s="494">
        <v>3662.6669111639858</v>
      </c>
      <c r="E28" s="494">
        <v>0</v>
      </c>
      <c r="F28" s="494">
        <v>9.5848613874515003</v>
      </c>
      <c r="G28" s="492">
        <f t="shared" si="0"/>
        <v>4275.9589548230606</v>
      </c>
    </row>
    <row r="29" spans="1:7">
      <c r="A29" s="484" t="s">
        <v>882</v>
      </c>
      <c r="B29" s="494">
        <v>9430.9835873731736</v>
      </c>
      <c r="C29" s="494">
        <v>3302.8375026030076</v>
      </c>
      <c r="D29" s="494">
        <v>60322.56315037475</v>
      </c>
      <c r="E29" s="494">
        <v>0</v>
      </c>
      <c r="F29" s="494">
        <v>1407.1420141928606</v>
      </c>
      <c r="G29" s="492">
        <f t="shared" si="0"/>
        <v>74463.526254543787</v>
      </c>
    </row>
    <row r="30" spans="1:7">
      <c r="A30" s="484" t="s">
        <v>881</v>
      </c>
      <c r="B30" s="494">
        <v>5001.3676816986244</v>
      </c>
      <c r="C30" s="494">
        <v>280.11947135262756</v>
      </c>
      <c r="D30" s="494">
        <v>21920.633256017518</v>
      </c>
      <c r="E30" s="494">
        <v>0</v>
      </c>
      <c r="F30" s="494">
        <v>0</v>
      </c>
      <c r="G30" s="492">
        <f t="shared" si="0"/>
        <v>27202.120409068768</v>
      </c>
    </row>
    <row r="31" spans="1:7">
      <c r="A31" s="484" t="s">
        <v>880</v>
      </c>
      <c r="B31" s="494">
        <v>806.85363010926426</v>
      </c>
      <c r="C31" s="494">
        <v>216.23366913290999</v>
      </c>
      <c r="D31" s="494">
        <v>6352.8981275990473</v>
      </c>
      <c r="E31" s="494">
        <v>0</v>
      </c>
      <c r="F31" s="494">
        <v>2.3199999999999998</v>
      </c>
      <c r="G31" s="492">
        <f t="shared" si="0"/>
        <v>7378.3054268412216</v>
      </c>
    </row>
    <row r="32" spans="1:7">
      <c r="A32" s="484" t="s">
        <v>878</v>
      </c>
      <c r="B32" s="494">
        <v>0</v>
      </c>
      <c r="C32" s="494">
        <v>962.94554019466295</v>
      </c>
      <c r="D32" s="494">
        <v>0</v>
      </c>
      <c r="E32" s="494">
        <v>0</v>
      </c>
      <c r="F32" s="494">
        <v>0</v>
      </c>
      <c r="G32" s="492">
        <f t="shared" si="0"/>
        <v>962.94554019466295</v>
      </c>
    </row>
    <row r="33" spans="1:7">
      <c r="A33" s="484" t="s">
        <v>877</v>
      </c>
      <c r="B33" s="494">
        <v>0</v>
      </c>
      <c r="C33" s="494">
        <v>-5.1982995962640004</v>
      </c>
      <c r="D33" s="494">
        <v>0</v>
      </c>
      <c r="E33" s="494">
        <v>-300.69261877671204</v>
      </c>
      <c r="F33" s="494">
        <v>0</v>
      </c>
      <c r="G33" s="492">
        <f t="shared" si="0"/>
        <v>-305.89091837297605</v>
      </c>
    </row>
    <row r="34" spans="1:7">
      <c r="A34" s="484" t="s">
        <v>876</v>
      </c>
      <c r="B34" s="494">
        <v>6694.2307043866476</v>
      </c>
      <c r="C34" s="494">
        <v>411.413687330973</v>
      </c>
      <c r="D34" s="494">
        <v>0</v>
      </c>
      <c r="E34" s="494">
        <v>0</v>
      </c>
      <c r="F34" s="494">
        <v>0</v>
      </c>
      <c r="G34" s="492">
        <f t="shared" si="0"/>
        <v>7105.6443917176202</v>
      </c>
    </row>
    <row r="35" spans="1:7">
      <c r="A35" s="484" t="s">
        <v>875</v>
      </c>
      <c r="B35" s="494">
        <v>22184.115352453693</v>
      </c>
      <c r="C35" s="494">
        <v>1330.9718681142331</v>
      </c>
      <c r="D35" s="494">
        <v>0</v>
      </c>
      <c r="E35" s="494">
        <v>0</v>
      </c>
      <c r="F35" s="494">
        <v>0</v>
      </c>
      <c r="G35" s="492">
        <f t="shared" si="0"/>
        <v>23515.087220567926</v>
      </c>
    </row>
    <row r="36" spans="1:7">
      <c r="A36" s="484" t="s">
        <v>874</v>
      </c>
      <c r="B36" s="494">
        <v>2.2780460266670008</v>
      </c>
      <c r="C36" s="494">
        <v>3.8522507626599998</v>
      </c>
      <c r="D36" s="494">
        <v>0</v>
      </c>
      <c r="E36" s="494">
        <v>0</v>
      </c>
      <c r="F36" s="494">
        <v>0</v>
      </c>
      <c r="G36" s="492">
        <f t="shared" si="0"/>
        <v>6.1302967893270006</v>
      </c>
    </row>
    <row r="37" spans="1:7">
      <c r="A37" s="484" t="s">
        <v>873</v>
      </c>
      <c r="B37" s="494">
        <v>60.731859139679997</v>
      </c>
      <c r="C37" s="494">
        <v>4.1688617097869995</v>
      </c>
      <c r="D37" s="494">
        <v>0</v>
      </c>
      <c r="E37" s="494">
        <v>0</v>
      </c>
      <c r="F37" s="494">
        <v>0</v>
      </c>
      <c r="G37" s="492">
        <f t="shared" si="0"/>
        <v>64.900720849466992</v>
      </c>
    </row>
    <row r="38" spans="1:7">
      <c r="A38" s="484" t="s">
        <v>872</v>
      </c>
      <c r="B38" s="494">
        <v>31659.58430654278</v>
      </c>
      <c r="C38" s="494">
        <v>1877.9653354562151</v>
      </c>
      <c r="D38" s="494">
        <v>0</v>
      </c>
      <c r="E38" s="494">
        <v>0</v>
      </c>
      <c r="F38" s="494">
        <v>0</v>
      </c>
      <c r="G38" s="492">
        <f t="shared" si="0"/>
        <v>33537.549641998994</v>
      </c>
    </row>
    <row r="39" spans="1:7">
      <c r="A39" s="484" t="s">
        <v>871</v>
      </c>
      <c r="B39" s="494">
        <v>3933.7624677049621</v>
      </c>
      <c r="C39" s="494">
        <v>269.44262625676299</v>
      </c>
      <c r="D39" s="494">
        <v>0</v>
      </c>
      <c r="E39" s="494">
        <v>0</v>
      </c>
      <c r="F39" s="494">
        <v>0</v>
      </c>
      <c r="G39" s="492">
        <f t="shared" si="0"/>
        <v>4203.2050939617247</v>
      </c>
    </row>
    <row r="40" spans="1:7">
      <c r="A40" s="484" t="s">
        <v>870</v>
      </c>
      <c r="B40" s="494">
        <v>63437.470860646477</v>
      </c>
      <c r="C40" s="494">
        <v>5394.2247777163675</v>
      </c>
      <c r="D40" s="494">
        <v>0</v>
      </c>
      <c r="E40" s="494">
        <v>20.399541067691189</v>
      </c>
      <c r="F40" s="494">
        <v>22.228544512481999</v>
      </c>
      <c r="G40" s="492">
        <f t="shared" si="0"/>
        <v>68874.323723943016</v>
      </c>
    </row>
    <row r="41" spans="1:7">
      <c r="A41" s="484" t="s">
        <v>869</v>
      </c>
      <c r="B41" s="494">
        <v>941.79063009328297</v>
      </c>
      <c r="C41" s="494">
        <v>31.811319082312995</v>
      </c>
      <c r="D41" s="494">
        <v>0</v>
      </c>
      <c r="E41" s="494">
        <v>0</v>
      </c>
      <c r="F41" s="494">
        <v>0</v>
      </c>
      <c r="G41" s="492">
        <f t="shared" si="0"/>
        <v>973.60194917559602</v>
      </c>
    </row>
    <row r="42" spans="1:7">
      <c r="A42" s="484" t="s">
        <v>868</v>
      </c>
      <c r="B42" s="494">
        <v>10.828355587316999</v>
      </c>
      <c r="C42" s="494">
        <v>3.430938799437</v>
      </c>
      <c r="D42" s="494">
        <v>0</v>
      </c>
      <c r="E42" s="494">
        <v>60.922831402622002</v>
      </c>
      <c r="F42" s="494">
        <v>0</v>
      </c>
      <c r="G42" s="492">
        <f t="shared" si="0"/>
        <v>75.182125789376002</v>
      </c>
    </row>
    <row r="43" spans="1:7">
      <c r="A43" s="484" t="s">
        <v>867</v>
      </c>
      <c r="B43" s="494">
        <v>237469.52600363063</v>
      </c>
      <c r="C43" s="494">
        <v>14175.729614583488</v>
      </c>
      <c r="D43" s="494">
        <v>0</v>
      </c>
      <c r="E43" s="494">
        <v>4580.1774373782282</v>
      </c>
      <c r="F43" s="494">
        <v>0</v>
      </c>
      <c r="G43" s="492">
        <f t="shared" si="0"/>
        <v>256225.43305559235</v>
      </c>
    </row>
    <row r="44" spans="1:7">
      <c r="A44" s="484" t="s">
        <v>866</v>
      </c>
      <c r="B44" s="494">
        <v>116.52475131497798</v>
      </c>
      <c r="C44" s="494">
        <v>5.1251914493499999</v>
      </c>
      <c r="D44" s="494">
        <v>0</v>
      </c>
      <c r="E44" s="494">
        <v>0</v>
      </c>
      <c r="F44" s="494">
        <v>0</v>
      </c>
      <c r="G44" s="492">
        <f t="shared" si="0"/>
        <v>121.64994276432797</v>
      </c>
    </row>
    <row r="45" spans="1:7">
      <c r="A45" s="484" t="s">
        <v>865</v>
      </c>
      <c r="B45" s="494">
        <v>81.499809716263997</v>
      </c>
      <c r="C45" s="494">
        <v>6.7283206583009996</v>
      </c>
      <c r="D45" s="494">
        <v>0</v>
      </c>
      <c r="E45" s="494">
        <v>0</v>
      </c>
      <c r="F45" s="494">
        <v>0</v>
      </c>
      <c r="G45" s="492">
        <f t="shared" si="0"/>
        <v>88.228130374564998</v>
      </c>
    </row>
    <row r="46" spans="1:7">
      <c r="A46" s="484" t="s">
        <v>864</v>
      </c>
      <c r="B46" s="494">
        <v>69.870479257648995</v>
      </c>
      <c r="C46" s="494">
        <v>3.4979212558859998</v>
      </c>
      <c r="D46" s="494">
        <v>0</v>
      </c>
      <c r="E46" s="494">
        <v>0</v>
      </c>
      <c r="F46" s="494">
        <v>0</v>
      </c>
      <c r="G46" s="492">
        <f t="shared" si="0"/>
        <v>73.368400513534993</v>
      </c>
    </row>
    <row r="47" spans="1:7">
      <c r="A47" s="484" t="s">
        <v>863</v>
      </c>
      <c r="B47" s="494">
        <v>1261.3915121903319</v>
      </c>
      <c r="C47" s="494">
        <v>66.569289319600003</v>
      </c>
      <c r="D47" s="494">
        <v>0</v>
      </c>
      <c r="E47" s="494">
        <v>0</v>
      </c>
      <c r="F47" s="494">
        <v>0</v>
      </c>
      <c r="G47" s="492">
        <f t="shared" si="0"/>
        <v>1327.960801509932</v>
      </c>
    </row>
    <row r="48" spans="1:7">
      <c r="A48" s="484" t="s">
        <v>862</v>
      </c>
      <c r="B48" s="494">
        <v>8.2816882045150013</v>
      </c>
      <c r="C48" s="494">
        <v>0.21941093028500003</v>
      </c>
      <c r="D48" s="494">
        <v>0</v>
      </c>
      <c r="E48" s="494">
        <v>0</v>
      </c>
      <c r="F48" s="494">
        <v>0</v>
      </c>
      <c r="G48" s="492">
        <f t="shared" si="0"/>
        <v>8.5010991348000005</v>
      </c>
    </row>
    <row r="49" spans="1:8">
      <c r="A49" s="484" t="s">
        <v>861</v>
      </c>
      <c r="B49" s="494">
        <v>5591.1316236170414</v>
      </c>
      <c r="C49" s="494">
        <v>240.38231520535902</v>
      </c>
      <c r="D49" s="494">
        <v>0</v>
      </c>
      <c r="E49" s="494">
        <v>0</v>
      </c>
      <c r="F49" s="494">
        <v>0</v>
      </c>
      <c r="G49" s="492">
        <f t="shared" si="0"/>
        <v>5831.5139388224006</v>
      </c>
    </row>
    <row r="50" spans="1:8">
      <c r="A50" s="484" t="s">
        <v>860</v>
      </c>
      <c r="B50" s="494">
        <v>18864.125376528173</v>
      </c>
      <c r="C50" s="494">
        <v>1125.1236707815508</v>
      </c>
      <c r="D50" s="494">
        <v>0</v>
      </c>
      <c r="E50" s="494">
        <v>0</v>
      </c>
      <c r="F50" s="494">
        <v>0</v>
      </c>
      <c r="G50" s="492">
        <f t="shared" si="0"/>
        <v>19989.249047309724</v>
      </c>
    </row>
    <row r="51" spans="1:8">
      <c r="A51" s="484" t="s">
        <v>859</v>
      </c>
      <c r="B51" s="494">
        <v>451.27140977578301</v>
      </c>
      <c r="C51" s="494">
        <v>41.646502175766003</v>
      </c>
      <c r="D51" s="494">
        <v>0</v>
      </c>
      <c r="E51" s="494">
        <v>0</v>
      </c>
      <c r="F51" s="494">
        <v>0</v>
      </c>
      <c r="G51" s="492">
        <f t="shared" si="0"/>
        <v>492.917911951549</v>
      </c>
    </row>
    <row r="52" spans="1:8">
      <c r="A52" s="484" t="s">
        <v>858</v>
      </c>
      <c r="B52" s="494">
        <v>6493.8768890171732</v>
      </c>
      <c r="C52" s="494">
        <v>429.72040425157502</v>
      </c>
      <c r="D52" s="494">
        <v>0</v>
      </c>
      <c r="E52" s="494">
        <v>0</v>
      </c>
      <c r="F52" s="494">
        <v>0</v>
      </c>
      <c r="G52" s="492">
        <f t="shared" si="0"/>
        <v>6923.5972932687482</v>
      </c>
    </row>
    <row r="53" spans="1:8">
      <c r="A53" s="484" t="s">
        <v>857</v>
      </c>
      <c r="B53" s="494">
        <v>86548.2424145611</v>
      </c>
      <c r="C53" s="494">
        <v>4605.969894758071</v>
      </c>
      <c r="D53" s="494">
        <v>177.86583036124802</v>
      </c>
      <c r="E53" s="494">
        <v>83.109184337583997</v>
      </c>
      <c r="F53" s="494">
        <v>0</v>
      </c>
      <c r="G53" s="492">
        <f t="shared" si="0"/>
        <v>91415.187324018014</v>
      </c>
    </row>
    <row r="54" spans="1:8">
      <c r="A54" s="484" t="s">
        <v>856</v>
      </c>
      <c r="B54" s="494">
        <v>-4.571275042561</v>
      </c>
      <c r="C54" s="494">
        <v>-7.8916483920999994E-2</v>
      </c>
      <c r="D54" s="494">
        <v>0</v>
      </c>
      <c r="E54" s="494">
        <v>0</v>
      </c>
      <c r="F54" s="494">
        <v>0</v>
      </c>
      <c r="G54" s="492">
        <f t="shared" si="0"/>
        <v>-4.6501915264819997</v>
      </c>
    </row>
    <row r="55" spans="1:8">
      <c r="A55" s="484" t="s">
        <v>855</v>
      </c>
      <c r="B55" s="494">
        <v>4519.140059361247</v>
      </c>
      <c r="C55" s="494">
        <v>349.97870166610602</v>
      </c>
      <c r="D55" s="494">
        <v>0</v>
      </c>
      <c r="E55" s="494">
        <v>0</v>
      </c>
      <c r="F55" s="494">
        <v>0</v>
      </c>
      <c r="G55" s="492">
        <f t="shared" si="0"/>
        <v>4869.1187610273528</v>
      </c>
    </row>
    <row r="56" spans="1:8">
      <c r="A56" s="484" t="s">
        <v>854</v>
      </c>
      <c r="B56" s="494">
        <v>134.003262037105</v>
      </c>
      <c r="C56" s="494">
        <v>103.34883271658701</v>
      </c>
      <c r="D56" s="494">
        <v>0</v>
      </c>
      <c r="E56" s="494">
        <v>422.55835261660604</v>
      </c>
      <c r="F56" s="494">
        <v>0</v>
      </c>
      <c r="G56" s="492">
        <f t="shared" si="0"/>
        <v>659.91044737029802</v>
      </c>
      <c r="H56" s="470" t="s">
        <v>313</v>
      </c>
    </row>
    <row r="57" spans="1:8">
      <c r="A57" s="484" t="s">
        <v>853</v>
      </c>
      <c r="B57" s="494">
        <v>198.33599114469598</v>
      </c>
      <c r="C57" s="494">
        <v>1755.0793698503849</v>
      </c>
      <c r="D57" s="494">
        <v>0</v>
      </c>
      <c r="E57" s="494">
        <v>21490.36728770144</v>
      </c>
      <c r="F57" s="494">
        <v>0</v>
      </c>
      <c r="G57" s="492">
        <f t="shared" si="0"/>
        <v>23443.78264869652</v>
      </c>
      <c r="H57" s="474">
        <f>SUM(G22:G57)</f>
        <v>978954.43962625635</v>
      </c>
    </row>
    <row r="58" spans="1:8" ht="13">
      <c r="A58" s="491" t="s">
        <v>244</v>
      </c>
      <c r="B58" s="490">
        <f t="shared" ref="B58:G58" si="1">SUM(B11:B57)</f>
        <v>1137442.1771262623</v>
      </c>
      <c r="C58" s="490">
        <f t="shared" si="1"/>
        <v>80167.817135714344</v>
      </c>
      <c r="D58" s="490">
        <f t="shared" si="1"/>
        <v>437568.49999999953</v>
      </c>
      <c r="E58" s="490">
        <f t="shared" si="1"/>
        <v>40872.999999999636</v>
      </c>
      <c r="F58" s="490">
        <f t="shared" si="1"/>
        <v>4446.9999999999854</v>
      </c>
      <c r="G58" s="490">
        <f t="shared" si="1"/>
        <v>1700498.4942619756</v>
      </c>
    </row>
    <row r="59" spans="1:8">
      <c r="A59" s="484"/>
      <c r="B59" s="494"/>
      <c r="C59" s="494"/>
      <c r="D59" s="494"/>
      <c r="E59" s="493"/>
      <c r="F59" s="493"/>
      <c r="G59" s="492"/>
    </row>
    <row r="60" spans="1:8">
      <c r="A60" s="484"/>
      <c r="B60" s="494"/>
      <c r="C60" s="494"/>
      <c r="D60" s="494"/>
      <c r="E60" s="493"/>
      <c r="F60" s="493"/>
      <c r="G60" s="492"/>
    </row>
    <row r="61" spans="1:8" ht="13">
      <c r="A61" s="502" t="s">
        <v>933</v>
      </c>
      <c r="B61" s="505">
        <v>2467302.6513407202</v>
      </c>
      <c r="C61" s="505">
        <v>6891.39</v>
      </c>
      <c r="D61" s="505">
        <v>682559.2</v>
      </c>
      <c r="E61" s="506">
        <v>0</v>
      </c>
      <c r="F61" s="506">
        <v>7702</v>
      </c>
      <c r="G61" s="505">
        <f t="shared" ref="G61:G108" si="2">SUM(B61:F61)</f>
        <v>3164455.2413407201</v>
      </c>
    </row>
    <row r="62" spans="1:8">
      <c r="A62" s="484" t="s">
        <v>931</v>
      </c>
      <c r="B62" s="494">
        <v>991495.37023429608</v>
      </c>
      <c r="C62" s="494">
        <v>2872.0820227677978</v>
      </c>
      <c r="D62" s="494">
        <v>13448.409068329014</v>
      </c>
      <c r="E62" s="493">
        <v>0</v>
      </c>
      <c r="F62" s="493">
        <v>1711.7023765679226</v>
      </c>
      <c r="G62" s="492">
        <f t="shared" si="2"/>
        <v>1009527.5637019607</v>
      </c>
    </row>
    <row r="63" spans="1:8">
      <c r="A63" s="484" t="s">
        <v>930</v>
      </c>
      <c r="B63" s="494">
        <v>140658.24012989429</v>
      </c>
      <c r="C63" s="494">
        <v>342.36937999291649</v>
      </c>
      <c r="D63" s="494">
        <v>17723.152674565132</v>
      </c>
      <c r="E63" s="493">
        <v>0</v>
      </c>
      <c r="F63" s="493">
        <v>23.106209661897356</v>
      </c>
      <c r="G63" s="492">
        <f t="shared" si="2"/>
        <v>158746.86839411422</v>
      </c>
    </row>
    <row r="64" spans="1:8">
      <c r="A64" s="484" t="s">
        <v>929</v>
      </c>
      <c r="B64" s="494">
        <v>15505.276060191045</v>
      </c>
      <c r="C64" s="494">
        <v>102.09424193355392</v>
      </c>
      <c r="D64" s="494">
        <v>91577.081073256748</v>
      </c>
      <c r="E64" s="493">
        <v>0</v>
      </c>
      <c r="F64" s="493">
        <v>0</v>
      </c>
      <c r="G64" s="492">
        <f t="shared" si="2"/>
        <v>107184.45137538135</v>
      </c>
    </row>
    <row r="65" spans="1:7">
      <c r="A65" s="484" t="s">
        <v>928</v>
      </c>
      <c r="B65" s="494">
        <v>0</v>
      </c>
      <c r="C65" s="494">
        <v>28.096634093193998</v>
      </c>
      <c r="D65" s="494">
        <v>0</v>
      </c>
      <c r="E65" s="493">
        <v>0</v>
      </c>
      <c r="F65" s="493">
        <v>0</v>
      </c>
      <c r="G65" s="492">
        <f t="shared" si="2"/>
        <v>28.096634093193998</v>
      </c>
    </row>
    <row r="66" spans="1:7">
      <c r="A66" s="484" t="s">
        <v>927</v>
      </c>
      <c r="B66" s="498">
        <v>0</v>
      </c>
      <c r="C66" s="498">
        <v>0</v>
      </c>
      <c r="D66" s="498">
        <v>0</v>
      </c>
      <c r="E66" s="497">
        <v>0</v>
      </c>
      <c r="F66" s="497">
        <v>0</v>
      </c>
      <c r="G66" s="492">
        <f t="shared" si="2"/>
        <v>0</v>
      </c>
    </row>
    <row r="67" spans="1:7">
      <c r="A67" s="484" t="s">
        <v>926</v>
      </c>
      <c r="B67" s="494">
        <v>0</v>
      </c>
      <c r="C67" s="494">
        <v>39.641311953729272</v>
      </c>
      <c r="D67" s="494">
        <v>0</v>
      </c>
      <c r="E67" s="494">
        <v>0</v>
      </c>
      <c r="F67" s="494">
        <v>0</v>
      </c>
      <c r="G67" s="492">
        <f t="shared" si="2"/>
        <v>39.641311953729272</v>
      </c>
    </row>
    <row r="68" spans="1:7">
      <c r="A68" s="484" t="s">
        <v>925</v>
      </c>
      <c r="B68" s="494">
        <v>4121.8738546774603</v>
      </c>
      <c r="C68" s="494">
        <v>0</v>
      </c>
      <c r="D68" s="494">
        <v>0</v>
      </c>
      <c r="E68" s="494">
        <v>0</v>
      </c>
      <c r="F68" s="494">
        <v>0</v>
      </c>
      <c r="G68" s="492">
        <f t="shared" si="2"/>
        <v>4121.8738546774603</v>
      </c>
    </row>
    <row r="69" spans="1:7">
      <c r="A69" s="504" t="s">
        <v>924</v>
      </c>
      <c r="B69" s="498">
        <v>119907.76397797393</v>
      </c>
      <c r="C69" s="498">
        <v>0</v>
      </c>
      <c r="D69" s="498">
        <v>861.43424997000557</v>
      </c>
      <c r="E69" s="497">
        <v>0</v>
      </c>
      <c r="F69" s="497">
        <v>0</v>
      </c>
      <c r="G69" s="492">
        <f t="shared" si="2"/>
        <v>120769.19822794393</v>
      </c>
    </row>
    <row r="70" spans="1:7">
      <c r="A70" s="484" t="s">
        <v>923</v>
      </c>
      <c r="B70" s="496">
        <v>117.79991001637538</v>
      </c>
      <c r="C70" s="496">
        <v>0.15080931412157067</v>
      </c>
      <c r="D70" s="496">
        <v>0</v>
      </c>
      <c r="E70" s="495">
        <v>0</v>
      </c>
      <c r="F70" s="495">
        <v>0</v>
      </c>
      <c r="G70" s="492">
        <f t="shared" si="2"/>
        <v>117.95071933049695</v>
      </c>
    </row>
    <row r="71" spans="1:7">
      <c r="A71" s="503" t="s">
        <v>922</v>
      </c>
      <c r="B71" s="494">
        <v>2487.3557308116474</v>
      </c>
      <c r="C71" s="494">
        <v>4.2808270202808991</v>
      </c>
      <c r="D71" s="494">
        <v>-61.047386926481082</v>
      </c>
      <c r="E71" s="493">
        <v>0</v>
      </c>
      <c r="F71" s="493">
        <v>0</v>
      </c>
      <c r="G71" s="492">
        <f t="shared" si="2"/>
        <v>2430.5891709054472</v>
      </c>
    </row>
    <row r="72" spans="1:7">
      <c r="A72" s="484" t="s">
        <v>921</v>
      </c>
      <c r="B72" s="494">
        <v>4.7912288330195798</v>
      </c>
      <c r="C72" s="494">
        <v>-3.553814148444848</v>
      </c>
      <c r="D72" s="494">
        <v>28.569381682599076</v>
      </c>
      <c r="E72" s="493">
        <v>0</v>
      </c>
      <c r="F72" s="493">
        <v>0</v>
      </c>
      <c r="G72" s="492">
        <f t="shared" si="2"/>
        <v>29.806796367173806</v>
      </c>
    </row>
    <row r="73" spans="1:7">
      <c r="A73" s="484" t="s">
        <v>893</v>
      </c>
      <c r="B73" s="494">
        <v>11087.597795757483</v>
      </c>
      <c r="C73" s="494">
        <v>14.108744651201148</v>
      </c>
      <c r="D73" s="494">
        <v>56152.149835418822</v>
      </c>
      <c r="E73" s="493">
        <v>0</v>
      </c>
      <c r="F73" s="493">
        <v>3241.7338806797234</v>
      </c>
      <c r="G73" s="492">
        <f t="shared" si="2"/>
        <v>70495.590256507232</v>
      </c>
    </row>
    <row r="74" spans="1:7">
      <c r="A74" s="484" t="s">
        <v>891</v>
      </c>
      <c r="B74" s="494">
        <v>31187.467353437958</v>
      </c>
      <c r="C74" s="494">
        <v>168.42035974928004</v>
      </c>
      <c r="D74" s="494">
        <v>153835.87385978957</v>
      </c>
      <c r="E74" s="493">
        <v>0</v>
      </c>
      <c r="F74" s="493">
        <v>0</v>
      </c>
      <c r="G74" s="492">
        <f t="shared" si="2"/>
        <v>185191.7615729768</v>
      </c>
    </row>
    <row r="75" spans="1:7">
      <c r="A75" s="484" t="s">
        <v>889</v>
      </c>
      <c r="B75" s="494">
        <v>21432.016818825017</v>
      </c>
      <c r="C75" s="494">
        <v>80.941881662759855</v>
      </c>
      <c r="D75" s="494">
        <v>72910.269928327689</v>
      </c>
      <c r="E75" s="493">
        <v>0</v>
      </c>
      <c r="F75" s="493">
        <v>0</v>
      </c>
      <c r="G75" s="492">
        <f t="shared" si="2"/>
        <v>94423.228628815472</v>
      </c>
    </row>
    <row r="76" spans="1:7">
      <c r="A76" s="484" t="s">
        <v>887</v>
      </c>
      <c r="B76" s="494">
        <v>1201.0466608881047</v>
      </c>
      <c r="C76" s="494">
        <v>0.63444921756310857</v>
      </c>
      <c r="D76" s="494">
        <v>1411.554037292806</v>
      </c>
      <c r="E76" s="493">
        <v>0</v>
      </c>
      <c r="F76" s="493">
        <v>0</v>
      </c>
      <c r="G76" s="492">
        <f t="shared" si="2"/>
        <v>2613.2351473984736</v>
      </c>
    </row>
    <row r="77" spans="1:7">
      <c r="A77" s="484" t="s">
        <v>885</v>
      </c>
      <c r="B77" s="494">
        <v>18354.63475035402</v>
      </c>
      <c r="C77" s="494">
        <v>32.488403867793131</v>
      </c>
      <c r="D77" s="494">
        <v>73888.777753645918</v>
      </c>
      <c r="E77" s="493">
        <v>0</v>
      </c>
      <c r="F77" s="493">
        <v>229.23462201451019</v>
      </c>
      <c r="G77" s="492">
        <f t="shared" si="2"/>
        <v>92505.135529882245</v>
      </c>
    </row>
    <row r="78" spans="1:7">
      <c r="A78" s="484" t="s">
        <v>884</v>
      </c>
      <c r="B78" s="494">
        <v>10766.685762132567</v>
      </c>
      <c r="C78" s="494">
        <v>35.108916297440544</v>
      </c>
      <c r="D78" s="494">
        <v>56591.905180519585</v>
      </c>
      <c r="E78" s="493">
        <v>0</v>
      </c>
      <c r="F78" s="493">
        <v>0</v>
      </c>
      <c r="G78" s="492">
        <f t="shared" si="2"/>
        <v>67393.699858949592</v>
      </c>
    </row>
    <row r="79" spans="1:7">
      <c r="A79" s="484" t="s">
        <v>883</v>
      </c>
      <c r="B79" s="494">
        <v>1448.3021123750937</v>
      </c>
      <c r="C79" s="494">
        <v>-5.498918399347815</v>
      </c>
      <c r="D79" s="494">
        <v>5713.361443409578</v>
      </c>
      <c r="E79" s="493">
        <v>0</v>
      </c>
      <c r="F79" s="493">
        <v>16.600540230751449</v>
      </c>
      <c r="G79" s="492">
        <f t="shared" si="2"/>
        <v>7172.7651776160747</v>
      </c>
    </row>
    <row r="80" spans="1:7">
      <c r="A80" s="484" t="s">
        <v>882</v>
      </c>
      <c r="B80" s="494">
        <v>20457.383485344115</v>
      </c>
      <c r="C80" s="494">
        <v>283.91805653943828</v>
      </c>
      <c r="D80" s="494">
        <v>94096.628175632635</v>
      </c>
      <c r="E80" s="493">
        <v>0</v>
      </c>
      <c r="F80" s="493">
        <v>2437.1054178802447</v>
      </c>
      <c r="G80" s="492">
        <f t="shared" si="2"/>
        <v>117275.03513539644</v>
      </c>
    </row>
    <row r="81" spans="1:7">
      <c r="A81" s="484" t="s">
        <v>881</v>
      </c>
      <c r="B81" s="494">
        <v>10848.804439942107</v>
      </c>
      <c r="C81" s="494">
        <v>24.079590910123041</v>
      </c>
      <c r="D81" s="494">
        <v>34193.800282060358</v>
      </c>
      <c r="E81" s="493">
        <v>0</v>
      </c>
      <c r="F81" s="493">
        <v>0</v>
      </c>
      <c r="G81" s="492">
        <f t="shared" si="2"/>
        <v>45066.684312912592</v>
      </c>
    </row>
    <row r="82" spans="1:7">
      <c r="A82" s="484" t="s">
        <v>880</v>
      </c>
      <c r="B82" s="494">
        <v>1750.2007054478063</v>
      </c>
      <c r="C82" s="494">
        <v>18.587848493976292</v>
      </c>
      <c r="D82" s="494">
        <v>9909.82912082453</v>
      </c>
      <c r="E82" s="493">
        <v>0</v>
      </c>
      <c r="F82" s="493">
        <v>4.018133573195426</v>
      </c>
      <c r="G82" s="492">
        <f t="shared" si="2"/>
        <v>11682.635808339508</v>
      </c>
    </row>
    <row r="83" spans="1:7">
      <c r="A83" s="484" t="s">
        <v>878</v>
      </c>
      <c r="B83" s="494">
        <v>0</v>
      </c>
      <c r="C83" s="494">
        <v>82.776590162222689</v>
      </c>
      <c r="D83" s="494">
        <v>0</v>
      </c>
      <c r="E83" s="493">
        <v>0</v>
      </c>
      <c r="F83" s="493">
        <v>0</v>
      </c>
      <c r="G83" s="492">
        <f t="shared" si="2"/>
        <v>82.776590162222689</v>
      </c>
    </row>
    <row r="84" spans="1:7">
      <c r="A84" s="484" t="s">
        <v>877</v>
      </c>
      <c r="B84" s="494">
        <v>0</v>
      </c>
      <c r="C84" s="494">
        <v>-0.4468555045526319</v>
      </c>
      <c r="D84" s="494">
        <v>0</v>
      </c>
      <c r="E84" s="493">
        <v>0</v>
      </c>
      <c r="F84" s="493">
        <v>0</v>
      </c>
      <c r="G84" s="492">
        <f t="shared" si="2"/>
        <v>-0.4468555045526319</v>
      </c>
    </row>
    <row r="85" spans="1:7">
      <c r="A85" s="484" t="s">
        <v>876</v>
      </c>
      <c r="B85" s="494">
        <v>14520.907961536046</v>
      </c>
      <c r="C85" s="494">
        <v>35.365885983999</v>
      </c>
      <c r="D85" s="494">
        <v>0</v>
      </c>
      <c r="E85" s="493">
        <v>0</v>
      </c>
      <c r="F85" s="493">
        <v>0</v>
      </c>
      <c r="G85" s="492">
        <f t="shared" si="2"/>
        <v>14556.273847520046</v>
      </c>
    </row>
    <row r="86" spans="1:7">
      <c r="A86" s="484" t="s">
        <v>875</v>
      </c>
      <c r="B86" s="494">
        <v>48121.062966949838</v>
      </c>
      <c r="C86" s="494">
        <v>114.41281801052614</v>
      </c>
      <c r="D86" s="494">
        <v>0</v>
      </c>
      <c r="E86" s="493">
        <v>0</v>
      </c>
      <c r="F86" s="493">
        <v>0</v>
      </c>
      <c r="G86" s="492">
        <f t="shared" si="2"/>
        <v>48235.475784960363</v>
      </c>
    </row>
    <row r="87" spans="1:7">
      <c r="A87" s="484" t="s">
        <v>874</v>
      </c>
      <c r="B87" s="494">
        <v>4.9414634998608511</v>
      </c>
      <c r="C87" s="494">
        <v>0.33114664253842913</v>
      </c>
      <c r="D87" s="494">
        <v>0</v>
      </c>
      <c r="E87" s="493">
        <v>0</v>
      </c>
      <c r="F87" s="493">
        <v>0</v>
      </c>
      <c r="G87" s="492">
        <f t="shared" si="2"/>
        <v>5.2726101423992802</v>
      </c>
    </row>
    <row r="88" spans="1:7">
      <c r="A88" s="484" t="s">
        <v>873</v>
      </c>
      <c r="B88" s="494">
        <v>131.73757760131849</v>
      </c>
      <c r="C88" s="494">
        <v>0.35836310859725395</v>
      </c>
      <c r="D88" s="494">
        <v>0</v>
      </c>
      <c r="E88" s="493">
        <v>0</v>
      </c>
      <c r="F88" s="493">
        <v>0</v>
      </c>
      <c r="G88" s="492">
        <f t="shared" si="2"/>
        <v>132.09594070991574</v>
      </c>
    </row>
    <row r="89" spans="1:7">
      <c r="A89" s="484" t="s">
        <v>872</v>
      </c>
      <c r="B89" s="494">
        <v>68674.942665860915</v>
      </c>
      <c r="C89" s="494">
        <v>161.43339412579351</v>
      </c>
      <c r="D89" s="494">
        <v>0</v>
      </c>
      <c r="E89" s="493">
        <v>0</v>
      </c>
      <c r="F89" s="493">
        <v>0</v>
      </c>
      <c r="G89" s="492">
        <f t="shared" si="2"/>
        <v>68836.376059986709</v>
      </c>
    </row>
    <row r="90" spans="1:7">
      <c r="A90" s="484" t="s">
        <v>871</v>
      </c>
      <c r="B90" s="494">
        <v>8532.9898622492128</v>
      </c>
      <c r="C90" s="494">
        <v>23.161789441779096</v>
      </c>
      <c r="D90" s="494">
        <v>0</v>
      </c>
      <c r="E90" s="493">
        <v>0</v>
      </c>
      <c r="F90" s="493">
        <v>0</v>
      </c>
      <c r="G90" s="492">
        <f t="shared" si="2"/>
        <v>8556.1516516909924</v>
      </c>
    </row>
    <row r="91" spans="1:7">
      <c r="A91" s="484" t="s">
        <v>870</v>
      </c>
      <c r="B91" s="494">
        <v>137606.50272725752</v>
      </c>
      <c r="C91" s="494">
        <v>463.69759766234517</v>
      </c>
      <c r="D91" s="494">
        <v>0</v>
      </c>
      <c r="E91" s="493">
        <v>0</v>
      </c>
      <c r="F91" s="493">
        <v>38.498819391755546</v>
      </c>
      <c r="G91" s="492">
        <f t="shared" si="2"/>
        <v>138108.69914431163</v>
      </c>
    </row>
    <row r="92" spans="1:7">
      <c r="A92" s="484" t="s">
        <v>869</v>
      </c>
      <c r="B92" s="494">
        <v>2042.9016660062391</v>
      </c>
      <c r="C92" s="494">
        <v>2.7345601721816988</v>
      </c>
      <c r="D92" s="494">
        <v>0</v>
      </c>
      <c r="E92" s="493">
        <v>0</v>
      </c>
      <c r="F92" s="493">
        <v>0</v>
      </c>
      <c r="G92" s="492">
        <f t="shared" si="2"/>
        <v>2045.6362261784209</v>
      </c>
    </row>
    <row r="93" spans="1:7">
      <c r="A93" s="484" t="s">
        <v>868</v>
      </c>
      <c r="B93" s="494">
        <v>23.488517471496596</v>
      </c>
      <c r="C93" s="494">
        <v>0.29492988234334927</v>
      </c>
      <c r="D93" s="494">
        <v>0</v>
      </c>
      <c r="E93" s="493">
        <v>0</v>
      </c>
      <c r="F93" s="493">
        <v>0</v>
      </c>
      <c r="G93" s="492">
        <f t="shared" si="2"/>
        <v>23.783447353839946</v>
      </c>
    </row>
    <row r="94" spans="1:7">
      <c r="A94" s="484" t="s">
        <v>867</v>
      </c>
      <c r="B94" s="494">
        <v>515111.18798291491</v>
      </c>
      <c r="C94" s="494">
        <v>1218.5720911274479</v>
      </c>
      <c r="D94" s="494">
        <v>0</v>
      </c>
      <c r="E94" s="493">
        <v>0</v>
      </c>
      <c r="F94" s="493">
        <v>0</v>
      </c>
      <c r="G94" s="492">
        <f t="shared" si="2"/>
        <v>516329.76007404237</v>
      </c>
    </row>
    <row r="95" spans="1:7">
      <c r="A95" s="484" t="s">
        <v>866</v>
      </c>
      <c r="B95" s="494">
        <v>252.76170837328553</v>
      </c>
      <c r="C95" s="494">
        <v>0.44057099222870921</v>
      </c>
      <c r="D95" s="494">
        <v>0</v>
      </c>
      <c r="E95" s="493">
        <v>0</v>
      </c>
      <c r="F95" s="493">
        <v>0</v>
      </c>
      <c r="G95" s="492">
        <f t="shared" si="2"/>
        <v>253.20227936551424</v>
      </c>
    </row>
    <row r="96" spans="1:7">
      <c r="A96" s="484" t="s">
        <v>865</v>
      </c>
      <c r="B96" s="494">
        <v>176.7867419025564</v>
      </c>
      <c r="C96" s="494">
        <v>0.5783789615969448</v>
      </c>
      <c r="D96" s="494">
        <v>0</v>
      </c>
      <c r="E96" s="493">
        <v>0</v>
      </c>
      <c r="F96" s="493">
        <v>0</v>
      </c>
      <c r="G96" s="492">
        <f t="shared" si="2"/>
        <v>177.36512086415334</v>
      </c>
    </row>
    <row r="97" spans="1:8">
      <c r="A97" s="484" t="s">
        <v>864</v>
      </c>
      <c r="B97" s="494">
        <v>151.56077573841171</v>
      </c>
      <c r="C97" s="494">
        <v>0.3006878189182639</v>
      </c>
      <c r="D97" s="494">
        <v>0</v>
      </c>
      <c r="E97" s="493">
        <v>0</v>
      </c>
      <c r="F97" s="493">
        <v>0</v>
      </c>
      <c r="G97" s="492">
        <f t="shared" si="2"/>
        <v>151.86146355732998</v>
      </c>
    </row>
    <row r="98" spans="1:8">
      <c r="A98" s="484" t="s">
        <v>863</v>
      </c>
      <c r="B98" s="494">
        <v>2736.1695257941992</v>
      </c>
      <c r="C98" s="494">
        <v>5.7224199597881862</v>
      </c>
      <c r="D98" s="494">
        <v>0</v>
      </c>
      <c r="E98" s="493">
        <v>0</v>
      </c>
      <c r="F98" s="493">
        <v>0</v>
      </c>
      <c r="G98" s="492">
        <f t="shared" si="2"/>
        <v>2741.8919457539873</v>
      </c>
    </row>
    <row r="99" spans="1:8">
      <c r="A99" s="484" t="s">
        <v>862</v>
      </c>
      <c r="B99" s="494">
        <v>17.964369244862997</v>
      </c>
      <c r="C99" s="494">
        <v>1.886097177379515E-2</v>
      </c>
      <c r="D99" s="494">
        <v>0</v>
      </c>
      <c r="E99" s="493">
        <v>0</v>
      </c>
      <c r="F99" s="493">
        <v>0</v>
      </c>
      <c r="G99" s="492">
        <f t="shared" si="2"/>
        <v>17.983230216636791</v>
      </c>
    </row>
    <row r="100" spans="1:8">
      <c r="A100" s="484" t="s">
        <v>861</v>
      </c>
      <c r="B100" s="494">
        <v>12128.101240098427</v>
      </c>
      <c r="C100" s="494">
        <v>20.663711038090248</v>
      </c>
      <c r="D100" s="494">
        <v>0</v>
      </c>
      <c r="E100" s="493">
        <v>0</v>
      </c>
      <c r="F100" s="493">
        <v>0</v>
      </c>
      <c r="G100" s="492">
        <f t="shared" si="2"/>
        <v>12148.764951136518</v>
      </c>
    </row>
    <row r="101" spans="1:8">
      <c r="A101" s="484" t="s">
        <v>860</v>
      </c>
      <c r="B101" s="494">
        <v>40919.448471942109</v>
      </c>
      <c r="C101" s="494">
        <v>96.717723994310873</v>
      </c>
      <c r="D101" s="494">
        <v>0</v>
      </c>
      <c r="E101" s="493">
        <v>0</v>
      </c>
      <c r="F101" s="493">
        <v>0</v>
      </c>
      <c r="G101" s="492">
        <f t="shared" si="2"/>
        <v>41016.166195936421</v>
      </c>
    </row>
    <row r="102" spans="1:8">
      <c r="A102" s="484" t="s">
        <v>859</v>
      </c>
      <c r="B102" s="494">
        <v>978.8832946454545</v>
      </c>
      <c r="C102" s="494">
        <v>3.580010808915115</v>
      </c>
      <c r="D102" s="494">
        <v>0</v>
      </c>
      <c r="E102" s="493">
        <v>0</v>
      </c>
      <c r="F102" s="493">
        <v>0</v>
      </c>
      <c r="G102" s="492">
        <f t="shared" si="2"/>
        <v>982.46330545436956</v>
      </c>
    </row>
    <row r="103" spans="1:8">
      <c r="A103" s="484" t="s">
        <v>858</v>
      </c>
      <c r="B103" s="494">
        <v>14086.306968353023</v>
      </c>
      <c r="C103" s="494">
        <v>36.939565429511738</v>
      </c>
      <c r="D103" s="494">
        <v>0</v>
      </c>
      <c r="E103" s="493">
        <v>0</v>
      </c>
      <c r="F103" s="493">
        <v>0</v>
      </c>
      <c r="G103" s="492">
        <f t="shared" si="2"/>
        <v>14123.246533782534</v>
      </c>
    </row>
    <row r="104" spans="1:8">
      <c r="A104" s="484" t="s">
        <v>857</v>
      </c>
      <c r="B104" s="494">
        <v>187737.63824886005</v>
      </c>
      <c r="C104" s="494">
        <v>395.93774140212577</v>
      </c>
      <c r="D104" s="494">
        <v>277.45132220145939</v>
      </c>
      <c r="E104" s="493">
        <v>0</v>
      </c>
      <c r="F104" s="493">
        <v>0</v>
      </c>
      <c r="G104" s="492">
        <f t="shared" si="2"/>
        <v>188411.02731246364</v>
      </c>
    </row>
    <row r="105" spans="1:8">
      <c r="A105" s="484" t="s">
        <v>856</v>
      </c>
      <c r="B105" s="494">
        <v>-9.915861447140994</v>
      </c>
      <c r="C105" s="494">
        <v>-6.7838077792558198E-3</v>
      </c>
      <c r="D105" s="494">
        <v>0</v>
      </c>
      <c r="E105" s="493">
        <v>0</v>
      </c>
      <c r="F105" s="493">
        <v>0</v>
      </c>
      <c r="G105" s="492">
        <f t="shared" si="2"/>
        <v>-9.9226452549202495</v>
      </c>
    </row>
    <row r="106" spans="1:8">
      <c r="A106" s="484" t="s">
        <v>855</v>
      </c>
      <c r="B106" s="494">
        <v>9802.7719337897797</v>
      </c>
      <c r="C106" s="494">
        <v>30.084820318567193</v>
      </c>
      <c r="D106" s="494">
        <v>0</v>
      </c>
      <c r="E106" s="493">
        <v>0</v>
      </c>
      <c r="F106" s="493">
        <v>0</v>
      </c>
      <c r="G106" s="492">
        <f t="shared" si="2"/>
        <v>9832.8567541083466</v>
      </c>
    </row>
    <row r="107" spans="1:8">
      <c r="A107" s="484" t="s">
        <v>854</v>
      </c>
      <c r="B107" s="494">
        <v>290.67552651140448</v>
      </c>
      <c r="C107" s="494">
        <v>8.8840579372698851</v>
      </c>
      <c r="D107" s="494">
        <v>0</v>
      </c>
      <c r="E107" s="493">
        <v>0</v>
      </c>
      <c r="F107" s="493">
        <v>0</v>
      </c>
      <c r="G107" s="492">
        <f t="shared" si="2"/>
        <v>299.55958444867434</v>
      </c>
      <c r="H107" s="470" t="s">
        <v>313</v>
      </c>
    </row>
    <row r="108" spans="1:8">
      <c r="A108" s="484" t="s">
        <v>853</v>
      </c>
      <c r="B108" s="494">
        <v>430.22399436949758</v>
      </c>
      <c r="C108" s="494">
        <v>150.86988789719985</v>
      </c>
      <c r="D108" s="494">
        <v>0</v>
      </c>
      <c r="E108" s="493">
        <v>0</v>
      </c>
      <c r="F108" s="493">
        <v>0</v>
      </c>
      <c r="G108" s="492">
        <f t="shared" si="2"/>
        <v>581.09388226669739</v>
      </c>
      <c r="H108" s="474">
        <f>SUM(G73:G108)</f>
        <v>1761459.1858644483</v>
      </c>
    </row>
    <row r="109" spans="1:8" ht="13">
      <c r="A109" s="491" t="s">
        <v>88</v>
      </c>
      <c r="B109" s="490">
        <f t="shared" ref="B109:G109" si="3">SUM(B62:B108)</f>
        <v>2467302.6513407202</v>
      </c>
      <c r="C109" s="490">
        <f t="shared" si="3"/>
        <v>6891.3747104551167</v>
      </c>
      <c r="D109" s="490">
        <f t="shared" si="3"/>
        <v>682559.20000000007</v>
      </c>
      <c r="E109" s="490">
        <f t="shared" si="3"/>
        <v>0</v>
      </c>
      <c r="F109" s="490">
        <f t="shared" si="3"/>
        <v>7701.9999999999982</v>
      </c>
      <c r="G109" s="490">
        <f t="shared" si="3"/>
        <v>3164455.2260511769</v>
      </c>
    </row>
    <row r="110" spans="1:8">
      <c r="A110" s="484"/>
      <c r="B110" s="494"/>
      <c r="C110" s="494"/>
      <c r="D110" s="494"/>
      <c r="E110" s="493"/>
      <c r="F110" s="493"/>
      <c r="G110" s="492"/>
    </row>
    <row r="111" spans="1:8">
      <c r="A111" s="484"/>
      <c r="B111" s="494"/>
      <c r="C111" s="494"/>
      <c r="D111" s="494"/>
      <c r="E111" s="493"/>
      <c r="F111" s="493"/>
      <c r="G111" s="492"/>
    </row>
    <row r="112" spans="1:8" ht="13">
      <c r="A112" s="502" t="s">
        <v>932</v>
      </c>
      <c r="B112" s="501"/>
      <c r="C112" s="501"/>
      <c r="D112" s="501"/>
      <c r="E112" s="500"/>
      <c r="F112" s="500"/>
      <c r="G112" s="499"/>
    </row>
    <row r="113" spans="1:7">
      <c r="A113" s="484" t="s">
        <v>931</v>
      </c>
      <c r="B113" s="494">
        <v>534409.71358934301</v>
      </c>
      <c r="C113" s="494">
        <v>-30539.037829807377</v>
      </c>
      <c r="D113" s="494">
        <v>4827.0320750731644</v>
      </c>
      <c r="E113" s="493">
        <v>-14147.433298595042</v>
      </c>
      <c r="F113" s="493">
        <v>723.39538246281654</v>
      </c>
      <c r="G113" s="492">
        <f t="shared" ref="G113:G159" si="4">SUM(B113:F113)</f>
        <v>495273.6699184766</v>
      </c>
    </row>
    <row r="114" spans="1:7">
      <c r="A114" s="484" t="s">
        <v>930</v>
      </c>
      <c r="B114" s="494">
        <v>75813.898963577551</v>
      </c>
      <c r="C114" s="494">
        <v>-3640.4362286615278</v>
      </c>
      <c r="D114" s="494">
        <v>6361.3640838019492</v>
      </c>
      <c r="E114" s="493">
        <v>-333.54544102142796</v>
      </c>
      <c r="F114" s="493">
        <v>9.7650886067873568</v>
      </c>
      <c r="G114" s="492">
        <f t="shared" si="4"/>
        <v>78211.046466303334</v>
      </c>
    </row>
    <row r="115" spans="1:7">
      <c r="A115" s="484" t="s">
        <v>929</v>
      </c>
      <c r="B115" s="494">
        <v>8357.245416579528</v>
      </c>
      <c r="C115" s="494">
        <v>-1085.5748171180912</v>
      </c>
      <c r="D115" s="494">
        <v>32869.724993955046</v>
      </c>
      <c r="E115" s="493">
        <v>0</v>
      </c>
      <c r="F115" s="493">
        <v>0</v>
      </c>
      <c r="G115" s="492">
        <f t="shared" si="4"/>
        <v>40141.395593416484</v>
      </c>
    </row>
    <row r="116" spans="1:7">
      <c r="A116" s="484" t="s">
        <v>928</v>
      </c>
      <c r="B116" s="494">
        <v>0</v>
      </c>
      <c r="C116" s="494">
        <v>-298.75336590680598</v>
      </c>
      <c r="D116" s="494">
        <v>0</v>
      </c>
      <c r="E116" s="493">
        <v>0</v>
      </c>
      <c r="F116" s="493">
        <v>0</v>
      </c>
      <c r="G116" s="492">
        <f t="shared" si="4"/>
        <v>-298.75336590680598</v>
      </c>
    </row>
    <row r="117" spans="1:7">
      <c r="A117" s="484" t="s">
        <v>927</v>
      </c>
      <c r="B117" s="494">
        <v>0</v>
      </c>
      <c r="C117" s="494">
        <v>0</v>
      </c>
      <c r="D117" s="494">
        <v>0</v>
      </c>
      <c r="E117" s="493">
        <v>0</v>
      </c>
      <c r="F117" s="493">
        <v>0</v>
      </c>
      <c r="G117" s="492">
        <f t="shared" si="4"/>
        <v>0</v>
      </c>
    </row>
    <row r="118" spans="1:7">
      <c r="A118" s="484" t="s">
        <v>926</v>
      </c>
      <c r="B118" s="494">
        <v>0</v>
      </c>
      <c r="C118" s="494">
        <v>-421.50868804627072</v>
      </c>
      <c r="D118" s="494">
        <v>0</v>
      </c>
      <c r="E118" s="493">
        <v>0</v>
      </c>
      <c r="F118" s="493">
        <v>0</v>
      </c>
      <c r="G118" s="492">
        <f t="shared" si="4"/>
        <v>-421.50868804627072</v>
      </c>
    </row>
    <row r="119" spans="1:7">
      <c r="A119" s="484" t="s">
        <v>925</v>
      </c>
      <c r="B119" s="494">
        <v>2221.6638546774611</v>
      </c>
      <c r="C119" s="494">
        <v>0</v>
      </c>
      <c r="D119" s="494">
        <v>0</v>
      </c>
      <c r="E119" s="493">
        <v>0</v>
      </c>
      <c r="F119" s="493">
        <v>0</v>
      </c>
      <c r="G119" s="492">
        <f t="shared" si="4"/>
        <v>2221.6638546774611</v>
      </c>
    </row>
    <row r="120" spans="1:7">
      <c r="A120" s="484" t="s">
        <v>924</v>
      </c>
      <c r="B120" s="494">
        <v>64629.523977973935</v>
      </c>
      <c r="C120" s="494">
        <v>0</v>
      </c>
      <c r="D120" s="494">
        <v>309.19424997000556</v>
      </c>
      <c r="E120" s="493">
        <v>0</v>
      </c>
      <c r="F120" s="493">
        <v>0</v>
      </c>
      <c r="G120" s="492">
        <f t="shared" si="4"/>
        <v>64938.718227943944</v>
      </c>
    </row>
    <row r="121" spans="1:7">
      <c r="A121" s="484" t="s">
        <v>923</v>
      </c>
      <c r="B121" s="494">
        <v>63.493404066854374</v>
      </c>
      <c r="C121" s="494">
        <v>-1.6035653969964292</v>
      </c>
      <c r="D121" s="494">
        <v>0</v>
      </c>
      <c r="E121" s="493">
        <v>0</v>
      </c>
      <c r="F121" s="493">
        <v>0</v>
      </c>
      <c r="G121" s="492">
        <f t="shared" si="4"/>
        <v>61.889838669857944</v>
      </c>
    </row>
    <row r="122" spans="1:7">
      <c r="A122" s="484" t="s">
        <v>922</v>
      </c>
      <c r="B122" s="494">
        <v>1340.6689568139384</v>
      </c>
      <c r="C122" s="494">
        <v>-45.518316426504597</v>
      </c>
      <c r="D122" s="494">
        <v>-21.91171411401308</v>
      </c>
      <c r="E122" s="493">
        <v>0</v>
      </c>
      <c r="F122" s="493">
        <v>0</v>
      </c>
      <c r="G122" s="492">
        <f t="shared" si="4"/>
        <v>1273.2389262734209</v>
      </c>
    </row>
    <row r="123" spans="1:7">
      <c r="A123" s="484" t="s">
        <v>921</v>
      </c>
      <c r="B123" s="494">
        <v>2.5824419409945798</v>
      </c>
      <c r="C123" s="494">
        <v>37.787940545957149</v>
      </c>
      <c r="D123" s="494">
        <v>10.254396713116076</v>
      </c>
      <c r="E123" s="493">
        <v>0</v>
      </c>
      <c r="F123" s="493">
        <v>0</v>
      </c>
      <c r="G123" s="492">
        <f t="shared" si="4"/>
        <v>50.624779200067806</v>
      </c>
    </row>
    <row r="124" spans="1:7">
      <c r="A124" s="484" t="s">
        <v>893</v>
      </c>
      <c r="B124" s="494">
        <v>5976.1448619012708</v>
      </c>
      <c r="C124" s="494">
        <v>-150.01921366399611</v>
      </c>
      <c r="D124" s="494">
        <v>20154.668627547864</v>
      </c>
      <c r="E124" s="493">
        <v>-35.179244655706</v>
      </c>
      <c r="F124" s="493">
        <v>1370.0134746315953</v>
      </c>
      <c r="G124" s="492">
        <f t="shared" si="4"/>
        <v>27315.628505761029</v>
      </c>
    </row>
    <row r="125" spans="1:7">
      <c r="A125" s="484" t="s">
        <v>891</v>
      </c>
      <c r="B125" s="494">
        <v>16809.847021261714</v>
      </c>
      <c r="C125" s="494">
        <v>-1790.8248082470811</v>
      </c>
      <c r="D125" s="494">
        <v>55216.24852763192</v>
      </c>
      <c r="E125" s="493">
        <v>0</v>
      </c>
      <c r="F125" s="493">
        <v>0</v>
      </c>
      <c r="G125" s="492">
        <f t="shared" si="4"/>
        <v>70235.270740646549</v>
      </c>
    </row>
    <row r="126" spans="1:7">
      <c r="A126" s="484" t="s">
        <v>889</v>
      </c>
      <c r="B126" s="494">
        <v>11551.721080738616</v>
      </c>
      <c r="C126" s="494">
        <v>-860.6603733874847</v>
      </c>
      <c r="D126" s="494">
        <v>26169.653953722962</v>
      </c>
      <c r="E126" s="493">
        <v>0</v>
      </c>
      <c r="F126" s="493">
        <v>0</v>
      </c>
      <c r="G126" s="492">
        <f t="shared" si="4"/>
        <v>36860.714661074089</v>
      </c>
    </row>
    <row r="127" spans="1:7">
      <c r="A127" s="484" t="s">
        <v>887</v>
      </c>
      <c r="B127" s="498">
        <v>647.35652966385078</v>
      </c>
      <c r="C127" s="498">
        <v>-6.7461404314558928</v>
      </c>
      <c r="D127" s="498">
        <v>506.64852467623496</v>
      </c>
      <c r="E127" s="497">
        <v>0</v>
      </c>
      <c r="F127" s="497">
        <v>0</v>
      </c>
      <c r="G127" s="492">
        <f t="shared" si="4"/>
        <v>1147.2589139086299</v>
      </c>
    </row>
    <row r="128" spans="1:7">
      <c r="A128" s="484" t="s">
        <v>885</v>
      </c>
      <c r="B128" s="496">
        <v>9893.0316716010439</v>
      </c>
      <c r="C128" s="496">
        <v>-345.45134396699979</v>
      </c>
      <c r="D128" s="496">
        <v>26520.86937515482</v>
      </c>
      <c r="E128" s="496">
        <v>0</v>
      </c>
      <c r="F128" s="496">
        <v>96.878563315662689</v>
      </c>
      <c r="G128" s="492">
        <f t="shared" si="4"/>
        <v>36165.32826610453</v>
      </c>
    </row>
    <row r="129" spans="1:7">
      <c r="A129" s="484" t="s">
        <v>884</v>
      </c>
      <c r="B129" s="496">
        <v>5803.1753119412551</v>
      </c>
      <c r="C129" s="496">
        <v>-373.31542569867696</v>
      </c>
      <c r="D129" s="496">
        <v>20312.509837255355</v>
      </c>
      <c r="E129" s="496">
        <v>0</v>
      </c>
      <c r="F129" s="496">
        <v>0</v>
      </c>
      <c r="G129" s="492">
        <f t="shared" si="4"/>
        <v>25742.369723497934</v>
      </c>
    </row>
    <row r="130" spans="1:7">
      <c r="A130" s="484" t="s">
        <v>883</v>
      </c>
      <c r="B130" s="498">
        <v>780.625649197249</v>
      </c>
      <c r="C130" s="498">
        <v>58.470362506873187</v>
      </c>
      <c r="D130" s="498">
        <v>2050.6945322455922</v>
      </c>
      <c r="E130" s="497">
        <v>0</v>
      </c>
      <c r="F130" s="497">
        <v>7.0156788432999484</v>
      </c>
      <c r="G130" s="492">
        <f t="shared" si="4"/>
        <v>2896.8062227930145</v>
      </c>
    </row>
    <row r="131" spans="1:7">
      <c r="A131" s="484" t="s">
        <v>882</v>
      </c>
      <c r="B131" s="496">
        <v>11026.399897970941</v>
      </c>
      <c r="C131" s="496">
        <v>-3018.9194460635695</v>
      </c>
      <c r="D131" s="496">
        <v>33774.065025257885</v>
      </c>
      <c r="E131" s="495">
        <v>0</v>
      </c>
      <c r="F131" s="495">
        <v>1029.963403687384</v>
      </c>
      <c r="G131" s="492">
        <f t="shared" si="4"/>
        <v>42811.508880852642</v>
      </c>
    </row>
    <row r="132" spans="1:7">
      <c r="A132" s="484" t="s">
        <v>881</v>
      </c>
      <c r="B132" s="496">
        <v>5847.4367582434825</v>
      </c>
      <c r="C132" s="496">
        <v>-256.03988044250451</v>
      </c>
      <c r="D132" s="496">
        <v>12273.16702604284</v>
      </c>
      <c r="E132" s="495">
        <v>0</v>
      </c>
      <c r="F132" s="495">
        <v>0</v>
      </c>
      <c r="G132" s="492">
        <f t="shared" si="4"/>
        <v>17864.563903843817</v>
      </c>
    </row>
    <row r="133" spans="1:7">
      <c r="A133" s="484" t="s">
        <v>880</v>
      </c>
      <c r="B133" s="494">
        <v>943.34707533854203</v>
      </c>
      <c r="C133" s="494">
        <v>-197.64582063893371</v>
      </c>
      <c r="D133" s="494">
        <v>3556.9309932254828</v>
      </c>
      <c r="E133" s="493">
        <v>0</v>
      </c>
      <c r="F133" s="493">
        <v>1.6981335731954261</v>
      </c>
      <c r="G133" s="492">
        <f t="shared" si="4"/>
        <v>4304.3303814982864</v>
      </c>
    </row>
    <row r="134" spans="1:7">
      <c r="A134" s="484" t="s">
        <v>878</v>
      </c>
      <c r="B134" s="494">
        <v>0</v>
      </c>
      <c r="C134" s="494">
        <v>-880.16895003244031</v>
      </c>
      <c r="D134" s="494">
        <v>0</v>
      </c>
      <c r="E134" s="493">
        <v>0</v>
      </c>
      <c r="F134" s="493">
        <v>0</v>
      </c>
      <c r="G134" s="492">
        <f t="shared" si="4"/>
        <v>-880.16895003244031</v>
      </c>
    </row>
    <row r="135" spans="1:7">
      <c r="A135" s="484" t="s">
        <v>877</v>
      </c>
      <c r="B135" s="494">
        <v>0</v>
      </c>
      <c r="C135" s="494">
        <v>4.7514440917113685</v>
      </c>
      <c r="D135" s="494">
        <v>0</v>
      </c>
      <c r="E135" s="493">
        <v>300.69261877671204</v>
      </c>
      <c r="F135" s="493">
        <v>0</v>
      </c>
      <c r="G135" s="492">
        <f t="shared" si="4"/>
        <v>305.44406286842343</v>
      </c>
    </row>
    <row r="136" spans="1:7">
      <c r="A136" s="484" t="s">
        <v>876</v>
      </c>
      <c r="B136" s="494">
        <v>7826.6772571493984</v>
      </c>
      <c r="C136" s="494">
        <v>-376.04780134697398</v>
      </c>
      <c r="D136" s="494">
        <v>0</v>
      </c>
      <c r="E136" s="493">
        <v>0</v>
      </c>
      <c r="F136" s="493">
        <v>0</v>
      </c>
      <c r="G136" s="492">
        <f t="shared" si="4"/>
        <v>7450.6294558024247</v>
      </c>
    </row>
    <row r="137" spans="1:7">
      <c r="A137" s="484" t="s">
        <v>875</v>
      </c>
      <c r="B137" s="494">
        <v>25936.947614496145</v>
      </c>
      <c r="C137" s="494">
        <v>-1216.559050103707</v>
      </c>
      <c r="D137" s="494">
        <v>0</v>
      </c>
      <c r="E137" s="493">
        <v>0</v>
      </c>
      <c r="F137" s="493">
        <v>0</v>
      </c>
      <c r="G137" s="492">
        <f t="shared" si="4"/>
        <v>24720.388564392437</v>
      </c>
    </row>
    <row r="138" spans="1:7">
      <c r="A138" s="484" t="s">
        <v>874</v>
      </c>
      <c r="B138" s="494">
        <v>2.6634174731938502</v>
      </c>
      <c r="C138" s="494">
        <v>-3.5211041201215707</v>
      </c>
      <c r="D138" s="494">
        <v>0</v>
      </c>
      <c r="E138" s="493">
        <v>0</v>
      </c>
      <c r="F138" s="493">
        <v>0</v>
      </c>
      <c r="G138" s="492">
        <f t="shared" si="4"/>
        <v>-0.85768664692772045</v>
      </c>
    </row>
    <row r="139" spans="1:7">
      <c r="A139" s="484" t="s">
        <v>873</v>
      </c>
      <c r="B139" s="494">
        <v>71.005718461638494</v>
      </c>
      <c r="C139" s="494">
        <v>-3.8104986011897455</v>
      </c>
      <c r="D139" s="494">
        <v>0</v>
      </c>
      <c r="E139" s="493">
        <v>0</v>
      </c>
      <c r="F139" s="493">
        <v>0</v>
      </c>
      <c r="G139" s="492">
        <f t="shared" si="4"/>
        <v>67.195219860448745</v>
      </c>
    </row>
    <row r="140" spans="1:7">
      <c r="A140" s="484" t="s">
        <v>872</v>
      </c>
      <c r="B140" s="494">
        <v>37015.358359318139</v>
      </c>
      <c r="C140" s="494">
        <v>-1716.5319413304217</v>
      </c>
      <c r="D140" s="494">
        <v>0</v>
      </c>
      <c r="E140" s="493">
        <v>0</v>
      </c>
      <c r="F140" s="493">
        <v>0</v>
      </c>
      <c r="G140" s="492">
        <f t="shared" si="4"/>
        <v>35298.826417987715</v>
      </c>
    </row>
    <row r="141" spans="1:7">
      <c r="A141" s="484" t="s">
        <v>871</v>
      </c>
      <c r="B141" s="494">
        <v>4599.2273945442503</v>
      </c>
      <c r="C141" s="494">
        <v>-246.2808368149839</v>
      </c>
      <c r="D141" s="494">
        <v>0</v>
      </c>
      <c r="E141" s="493">
        <v>0</v>
      </c>
      <c r="F141" s="493">
        <v>0</v>
      </c>
      <c r="G141" s="492">
        <f t="shared" si="4"/>
        <v>4352.9465577292667</v>
      </c>
    </row>
    <row r="142" spans="1:7">
      <c r="A142" s="484" t="s">
        <v>870</v>
      </c>
      <c r="B142" s="494">
        <v>74169.03186661104</v>
      </c>
      <c r="C142" s="494">
        <v>-4930.5271800540222</v>
      </c>
      <c r="D142" s="494">
        <v>0</v>
      </c>
      <c r="E142" s="493">
        <v>-20.399541067691189</v>
      </c>
      <c r="F142" s="493">
        <v>16.270274879273547</v>
      </c>
      <c r="G142" s="492">
        <f t="shared" si="4"/>
        <v>69234.375420368611</v>
      </c>
    </row>
    <row r="143" spans="1:7">
      <c r="A143" s="484" t="s">
        <v>869</v>
      </c>
      <c r="B143" s="494">
        <v>1101.1110359129561</v>
      </c>
      <c r="C143" s="494">
        <v>-29.076758910131296</v>
      </c>
      <c r="D143" s="494">
        <v>0</v>
      </c>
      <c r="E143" s="493">
        <v>0</v>
      </c>
      <c r="F143" s="493">
        <v>0</v>
      </c>
      <c r="G143" s="492">
        <f t="shared" si="4"/>
        <v>1072.0342770028249</v>
      </c>
    </row>
    <row r="144" spans="1:7">
      <c r="A144" s="484" t="s">
        <v>868</v>
      </c>
      <c r="B144" s="494">
        <v>12.660161884179598</v>
      </c>
      <c r="C144" s="494">
        <v>-3.1360089170936507</v>
      </c>
      <c r="D144" s="494">
        <v>0</v>
      </c>
      <c r="E144" s="493">
        <v>-60.922831402622002</v>
      </c>
      <c r="F144" s="493">
        <v>0</v>
      </c>
      <c r="G144" s="492">
        <f t="shared" si="4"/>
        <v>-51.398678435536056</v>
      </c>
    </row>
    <row r="145" spans="1:8">
      <c r="A145" s="484" t="s">
        <v>867</v>
      </c>
      <c r="B145" s="494">
        <v>277641.66197928425</v>
      </c>
      <c r="C145" s="494">
        <v>-12957.157523456041</v>
      </c>
      <c r="D145" s="494">
        <v>0</v>
      </c>
      <c r="E145" s="493">
        <v>-4580.1774373782282</v>
      </c>
      <c r="F145" s="493">
        <v>0</v>
      </c>
      <c r="G145" s="492">
        <f t="shared" si="4"/>
        <v>260104.32701844999</v>
      </c>
    </row>
    <row r="146" spans="1:8">
      <c r="A146" s="484" t="s">
        <v>866</v>
      </c>
      <c r="B146" s="494">
        <v>136.23695705830755</v>
      </c>
      <c r="C146" s="494">
        <v>-4.6846204571212908</v>
      </c>
      <c r="D146" s="494">
        <v>0</v>
      </c>
      <c r="E146" s="493">
        <v>0</v>
      </c>
      <c r="F146" s="493">
        <v>0</v>
      </c>
      <c r="G146" s="492">
        <f t="shared" si="4"/>
        <v>131.55233660118625</v>
      </c>
    </row>
    <row r="147" spans="1:8">
      <c r="A147" s="484" t="s">
        <v>865</v>
      </c>
      <c r="B147" s="494">
        <v>95.286932186292404</v>
      </c>
      <c r="C147" s="494">
        <v>-6.1499416967040546</v>
      </c>
      <c r="D147" s="494">
        <v>0</v>
      </c>
      <c r="E147" s="493">
        <v>0</v>
      </c>
      <c r="F147" s="493">
        <v>0</v>
      </c>
      <c r="G147" s="492">
        <f t="shared" si="4"/>
        <v>89.136990489588356</v>
      </c>
    </row>
    <row r="148" spans="1:8">
      <c r="A148" s="484" t="s">
        <v>864</v>
      </c>
      <c r="B148" s="494">
        <v>81.690296480762711</v>
      </c>
      <c r="C148" s="494">
        <v>-3.197233436967736</v>
      </c>
      <c r="D148" s="494">
        <v>0</v>
      </c>
      <c r="E148" s="493">
        <v>0</v>
      </c>
      <c r="F148" s="493">
        <v>0</v>
      </c>
      <c r="G148" s="492">
        <f t="shared" si="4"/>
        <v>78.493063043794976</v>
      </c>
    </row>
    <row r="149" spans="1:8">
      <c r="A149" s="484" t="s">
        <v>863</v>
      </c>
      <c r="B149" s="494">
        <v>1474.7780136038673</v>
      </c>
      <c r="C149" s="494">
        <v>-60.846869359811819</v>
      </c>
      <c r="D149" s="494">
        <v>0</v>
      </c>
      <c r="E149" s="493">
        <v>0</v>
      </c>
      <c r="F149" s="493">
        <v>0</v>
      </c>
      <c r="G149" s="492">
        <f t="shared" si="4"/>
        <v>1413.9311442440555</v>
      </c>
    </row>
    <row r="150" spans="1:8">
      <c r="A150" s="484" t="s">
        <v>862</v>
      </c>
      <c r="B150" s="494">
        <v>9.6826810403479957</v>
      </c>
      <c r="C150" s="494">
        <v>-0.20054995851120488</v>
      </c>
      <c r="D150" s="494">
        <v>0</v>
      </c>
      <c r="E150" s="493">
        <v>0</v>
      </c>
      <c r="F150" s="493">
        <v>0</v>
      </c>
      <c r="G150" s="492">
        <f t="shared" si="4"/>
        <v>9.4821310818367905</v>
      </c>
    </row>
    <row r="151" spans="1:8">
      <c r="A151" s="484" t="s">
        <v>861</v>
      </c>
      <c r="B151" s="494">
        <v>6536.9696164813859</v>
      </c>
      <c r="C151" s="494">
        <v>-219.71860416726878</v>
      </c>
      <c r="D151" s="494">
        <v>0</v>
      </c>
      <c r="E151" s="493">
        <v>0</v>
      </c>
      <c r="F151" s="493">
        <v>0</v>
      </c>
      <c r="G151" s="492">
        <f t="shared" si="4"/>
        <v>6317.2510123141174</v>
      </c>
    </row>
    <row r="152" spans="1:8">
      <c r="A152" s="484" t="s">
        <v>860</v>
      </c>
      <c r="B152" s="494">
        <v>22055.323095413936</v>
      </c>
      <c r="C152" s="494">
        <v>-1028.4059467872398</v>
      </c>
      <c r="D152" s="494">
        <v>0</v>
      </c>
      <c r="E152" s="493">
        <v>0</v>
      </c>
      <c r="F152" s="493">
        <v>0</v>
      </c>
      <c r="G152" s="492">
        <f t="shared" si="4"/>
        <v>21026.917148626697</v>
      </c>
    </row>
    <row r="153" spans="1:8">
      <c r="A153" s="484" t="s">
        <v>859</v>
      </c>
      <c r="B153" s="494">
        <v>527.61188486967148</v>
      </c>
      <c r="C153" s="494">
        <v>-38.06649136685089</v>
      </c>
      <c r="D153" s="494">
        <v>0</v>
      </c>
      <c r="E153" s="493">
        <v>0</v>
      </c>
      <c r="F153" s="493">
        <v>0</v>
      </c>
      <c r="G153" s="492">
        <f t="shared" si="4"/>
        <v>489.54539350282062</v>
      </c>
    </row>
    <row r="154" spans="1:8">
      <c r="A154" s="484" t="s">
        <v>858</v>
      </c>
      <c r="B154" s="494">
        <v>7592.4300793358498</v>
      </c>
      <c r="C154" s="494">
        <v>-392.78083882206329</v>
      </c>
      <c r="D154" s="494">
        <v>0</v>
      </c>
      <c r="E154" s="493">
        <v>0</v>
      </c>
      <c r="F154" s="493">
        <v>0</v>
      </c>
      <c r="G154" s="492">
        <f t="shared" si="4"/>
        <v>7199.6492405137869</v>
      </c>
    </row>
    <row r="155" spans="1:8">
      <c r="A155" s="484" t="s">
        <v>857</v>
      </c>
      <c r="B155" s="494">
        <v>101189.39583429895</v>
      </c>
      <c r="C155" s="494">
        <v>-4210.0321533559454</v>
      </c>
      <c r="D155" s="494">
        <v>99.585491840211375</v>
      </c>
      <c r="E155" s="493">
        <v>-83.109184337583997</v>
      </c>
      <c r="F155" s="493">
        <v>0</v>
      </c>
      <c r="G155" s="492">
        <f t="shared" si="4"/>
        <v>96995.83998844563</v>
      </c>
    </row>
    <row r="156" spans="1:8">
      <c r="A156" s="484" t="s">
        <v>856</v>
      </c>
      <c r="B156" s="494">
        <v>-5.344586404579994</v>
      </c>
      <c r="C156" s="494">
        <v>7.2132676141744179E-2</v>
      </c>
      <c r="D156" s="494">
        <v>0</v>
      </c>
      <c r="E156" s="493">
        <v>0</v>
      </c>
      <c r="F156" s="493">
        <v>0</v>
      </c>
      <c r="G156" s="492">
        <f t="shared" si="4"/>
        <v>-5.2724537284382498</v>
      </c>
    </row>
    <row r="157" spans="1:8">
      <c r="A157" s="484" t="s">
        <v>855</v>
      </c>
      <c r="B157" s="494">
        <v>5283.6318744285327</v>
      </c>
      <c r="C157" s="494">
        <v>-319.89388134753881</v>
      </c>
      <c r="D157" s="494">
        <v>0</v>
      </c>
      <c r="E157" s="493">
        <v>0</v>
      </c>
      <c r="F157" s="493">
        <v>0</v>
      </c>
      <c r="G157" s="492">
        <f t="shared" si="4"/>
        <v>4963.7379930809939</v>
      </c>
    </row>
    <row r="158" spans="1:8">
      <c r="A158" s="484" t="s">
        <v>854</v>
      </c>
      <c r="B158" s="494">
        <v>156.67226447429948</v>
      </c>
      <c r="C158" s="494">
        <v>-94.464774779317125</v>
      </c>
      <c r="D158" s="494">
        <v>0</v>
      </c>
      <c r="E158" s="493">
        <v>-422.55835261660604</v>
      </c>
      <c r="F158" s="493">
        <v>0</v>
      </c>
      <c r="G158" s="492">
        <f t="shared" si="4"/>
        <v>-360.35086292162367</v>
      </c>
      <c r="H158" s="470" t="s">
        <v>313</v>
      </c>
    </row>
    <row r="159" spans="1:8">
      <c r="A159" s="484" t="s">
        <v>853</v>
      </c>
      <c r="B159" s="494">
        <v>231.88800322480159</v>
      </c>
      <c r="C159" s="494">
        <v>-1604.2094819531851</v>
      </c>
      <c r="D159" s="494">
        <v>0</v>
      </c>
      <c r="E159" s="493">
        <v>-21490.36728770144</v>
      </c>
      <c r="F159" s="493">
        <v>0</v>
      </c>
      <c r="G159" s="492">
        <f t="shared" si="4"/>
        <v>-22862.688766429823</v>
      </c>
      <c r="H159" s="474">
        <f>SUM(G124:G159)</f>
        <v>782504.74623819231</v>
      </c>
    </row>
    <row r="160" spans="1:8" ht="13">
      <c r="A160" s="491" t="s">
        <v>88</v>
      </c>
      <c r="B160" s="490">
        <f t="shared" ref="B160:G160" si="5">SUM(B113:B159)</f>
        <v>1329860.4742144586</v>
      </c>
      <c r="C160" s="490">
        <f t="shared" si="5"/>
        <v>-73276.442425259258</v>
      </c>
      <c r="D160" s="490">
        <f t="shared" si="5"/>
        <v>244990.70000000045</v>
      </c>
      <c r="E160" s="490">
        <f t="shared" si="5"/>
        <v>-40872.999999999636</v>
      </c>
      <c r="F160" s="490">
        <f t="shared" si="5"/>
        <v>3255.0000000000146</v>
      </c>
      <c r="G160" s="490">
        <f t="shared" si="5"/>
        <v>1463956.7317892006</v>
      </c>
    </row>
    <row r="163" spans="1:2">
      <c r="A163" s="489" t="s">
        <v>53</v>
      </c>
      <c r="B163" s="487" t="s">
        <v>54</v>
      </c>
    </row>
  </sheetData>
  <pageMargins left="0.7" right="0.7" top="0.75" bottom="0.75" header="0.3" footer="0.3"/>
  <pageSetup scale="83" fitToHeight="100" orientation="portrait" horizontalDpi="1200" verticalDpi="1200" r:id="rId1"/>
  <rowBreaks count="1" manualBreakCount="1">
    <brk id="129"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A37F-6AE1-415D-9C3A-E1118AF4D64E}">
  <dimension ref="A1:C153"/>
  <sheetViews>
    <sheetView topLeftCell="A121" zoomScale="90" zoomScaleNormal="90" workbookViewId="0">
      <selection sqref="A1:C1"/>
    </sheetView>
  </sheetViews>
  <sheetFormatPr defaultColWidth="9.1796875" defaultRowHeight="12.5"/>
  <cols>
    <col min="1" max="1" width="30.54296875" style="470" bestFit="1" customWidth="1"/>
    <col min="2" max="2" width="14.81640625" style="512" bestFit="1" customWidth="1"/>
    <col min="3" max="3" width="13.26953125" style="470" bestFit="1" customWidth="1"/>
    <col min="4" max="16384" width="9.1796875" style="470"/>
  </cols>
  <sheetData>
    <row r="1" spans="1:2">
      <c r="B1" s="470"/>
    </row>
    <row r="2" spans="1:2">
      <c r="A2" s="349" t="s">
        <v>51</v>
      </c>
      <c r="B2" s="470"/>
    </row>
    <row r="3" spans="1:2">
      <c r="A3" s="349" t="s">
        <v>920</v>
      </c>
      <c r="B3" s="470"/>
    </row>
    <row r="4" spans="1:2">
      <c r="A4" s="349" t="s">
        <v>83</v>
      </c>
      <c r="B4" s="470"/>
    </row>
    <row r="5" spans="1:2">
      <c r="A5" s="470" t="s">
        <v>946</v>
      </c>
      <c r="B5" s="470"/>
    </row>
    <row r="6" spans="1:2">
      <c r="B6" s="470"/>
    </row>
    <row r="7" spans="1:2">
      <c r="A7" s="509" t="s">
        <v>941</v>
      </c>
      <c r="B7" s="509" t="s">
        <v>945</v>
      </c>
    </row>
    <row r="8" spans="1:2">
      <c r="B8" s="470"/>
    </row>
    <row r="9" spans="1:2" ht="37.5">
      <c r="A9" s="509" t="s">
        <v>562</v>
      </c>
      <c r="B9" s="519" t="s">
        <v>939</v>
      </c>
    </row>
    <row r="10" spans="1:2">
      <c r="A10" s="484" t="s">
        <v>931</v>
      </c>
      <c r="B10" s="515">
        <v>117697.31646683278</v>
      </c>
    </row>
    <row r="11" spans="1:2">
      <c r="A11" s="484" t="s">
        <v>930</v>
      </c>
      <c r="B11" s="515">
        <v>15889.302583171528</v>
      </c>
    </row>
    <row r="12" spans="1:2">
      <c r="A12" s="484" t="s">
        <v>929</v>
      </c>
      <c r="B12" s="515">
        <v>2740.6730959426759</v>
      </c>
    </row>
    <row r="13" spans="1:2">
      <c r="A13" s="484" t="s">
        <v>927</v>
      </c>
      <c r="B13" s="515">
        <v>0</v>
      </c>
    </row>
    <row r="14" spans="1:2">
      <c r="A14" s="484" t="s">
        <v>926</v>
      </c>
      <c r="B14" s="515">
        <v>0</v>
      </c>
    </row>
    <row r="15" spans="1:2">
      <c r="A15" s="484" t="s">
        <v>925</v>
      </c>
      <c r="B15" s="515">
        <v>432.9000000000002</v>
      </c>
    </row>
    <row r="16" spans="1:2">
      <c r="A16" s="484" t="s">
        <v>924</v>
      </c>
      <c r="B16" s="515">
        <v>8359.9600000000009</v>
      </c>
    </row>
    <row r="17" spans="1:2">
      <c r="A17" s="484" t="s">
        <v>923</v>
      </c>
      <c r="B17" s="515">
        <v>10.818112846281</v>
      </c>
    </row>
    <row r="18" spans="1:2">
      <c r="A18" s="484" t="s">
        <v>922</v>
      </c>
      <c r="B18" s="515">
        <v>144.96842819964047</v>
      </c>
    </row>
    <row r="19" spans="1:2">
      <c r="A19" s="484" t="s">
        <v>921</v>
      </c>
      <c r="B19" s="515">
        <v>6.0134715784340003</v>
      </c>
    </row>
    <row r="20" spans="1:2">
      <c r="A20" s="484" t="s">
        <v>893</v>
      </c>
      <c r="B20" s="515">
        <v>1402.2800997909173</v>
      </c>
    </row>
    <row r="21" spans="1:2">
      <c r="A21" s="484" t="s">
        <v>891</v>
      </c>
      <c r="B21" s="515">
        <v>4954.4828970275603</v>
      </c>
    </row>
    <row r="22" spans="1:2">
      <c r="A22" s="484" t="s">
        <v>889</v>
      </c>
      <c r="B22" s="515">
        <v>2592.215714184938</v>
      </c>
    </row>
    <row r="23" spans="1:2">
      <c r="A23" s="484" t="s">
        <v>887</v>
      </c>
      <c r="B23" s="515">
        <v>96.101266509102487</v>
      </c>
    </row>
    <row r="24" spans="1:2">
      <c r="A24" s="484" t="s">
        <v>885</v>
      </c>
      <c r="B24" s="515">
        <v>2141.3465072602503</v>
      </c>
    </row>
    <row r="25" spans="1:2">
      <c r="A25" s="484" t="s">
        <v>884</v>
      </c>
      <c r="B25" s="515">
        <v>1723.0507051239256</v>
      </c>
    </row>
    <row r="26" spans="1:2">
      <c r="A26" s="484" t="s">
        <v>883</v>
      </c>
      <c r="B26" s="515">
        <v>183.910873248683</v>
      </c>
    </row>
    <row r="27" spans="1:2">
      <c r="A27" s="484" t="s">
        <v>882</v>
      </c>
      <c r="B27" s="515">
        <v>2846.7062451360352</v>
      </c>
    </row>
    <row r="28" spans="1:2">
      <c r="A28" s="484" t="s">
        <v>881</v>
      </c>
      <c r="B28" s="515">
        <v>1198.9729386397237</v>
      </c>
    </row>
    <row r="29" spans="1:2">
      <c r="A29" s="484" t="s">
        <v>880</v>
      </c>
      <c r="B29" s="515">
        <v>237.69566661072741</v>
      </c>
    </row>
    <row r="30" spans="1:2">
      <c r="A30" s="484" t="s">
        <v>877</v>
      </c>
      <c r="B30" s="515">
        <v>33.817968054322002</v>
      </c>
    </row>
    <row r="31" spans="1:2">
      <c r="A31" s="484" t="s">
        <v>876</v>
      </c>
      <c r="B31" s="515">
        <v>1677.3565784884788</v>
      </c>
    </row>
    <row r="32" spans="1:2">
      <c r="A32" s="484" t="s">
        <v>875</v>
      </c>
      <c r="B32" s="515">
        <v>4864.0749569566879</v>
      </c>
    </row>
    <row r="33" spans="1:2">
      <c r="A33" s="484" t="s">
        <v>874</v>
      </c>
      <c r="B33" s="515">
        <v>3.0336995438969998</v>
      </c>
    </row>
    <row r="34" spans="1:2">
      <c r="A34" s="484" t="s">
        <v>873</v>
      </c>
      <c r="B34" s="515">
        <v>13.742063549615001</v>
      </c>
    </row>
    <row r="35" spans="1:2">
      <c r="A35" s="484" t="s">
        <v>872</v>
      </c>
      <c r="B35" s="515">
        <v>8147.2625327519663</v>
      </c>
    </row>
    <row r="36" spans="1:2">
      <c r="A36" s="484" t="s">
        <v>871</v>
      </c>
      <c r="B36" s="515">
        <v>1016.5081251964452</v>
      </c>
    </row>
    <row r="37" spans="1:2">
      <c r="A37" s="484" t="s">
        <v>870</v>
      </c>
      <c r="B37" s="515">
        <v>17510.387608208999</v>
      </c>
    </row>
    <row r="38" spans="1:2">
      <c r="A38" s="484" t="s">
        <v>869</v>
      </c>
      <c r="B38" s="515">
        <v>248.376383515361</v>
      </c>
    </row>
    <row r="39" spans="1:2">
      <c r="A39" s="484" t="s">
        <v>868</v>
      </c>
      <c r="B39" s="515">
        <v>2.2995570365989999</v>
      </c>
    </row>
    <row r="40" spans="1:2">
      <c r="A40" s="484" t="s">
        <v>867</v>
      </c>
      <c r="B40" s="515">
        <v>68567.738190758871</v>
      </c>
    </row>
    <row r="41" spans="1:2">
      <c r="A41" s="484" t="s">
        <v>866</v>
      </c>
      <c r="B41" s="515">
        <v>62.224844184917998</v>
      </c>
    </row>
    <row r="42" spans="1:2">
      <c r="A42" s="484" t="s">
        <v>865</v>
      </c>
      <c r="B42" s="515">
        <v>18.012573033757999</v>
      </c>
    </row>
    <row r="43" spans="1:2">
      <c r="A43" s="484" t="s">
        <v>864</v>
      </c>
      <c r="B43" s="515">
        <v>16.65898035594299</v>
      </c>
    </row>
    <row r="44" spans="1:2">
      <c r="A44" s="484" t="s">
        <v>863</v>
      </c>
      <c r="B44" s="515">
        <v>252.17431111905785</v>
      </c>
    </row>
    <row r="45" spans="1:2">
      <c r="A45" s="484" t="s">
        <v>862</v>
      </c>
      <c r="B45" s="515">
        <v>0.97135240986999982</v>
      </c>
    </row>
    <row r="46" spans="1:2">
      <c r="A46" s="484" t="s">
        <v>861</v>
      </c>
      <c r="B46" s="515">
        <v>1604.2847798831272</v>
      </c>
    </row>
    <row r="47" spans="1:2">
      <c r="A47" s="484" t="s">
        <v>860</v>
      </c>
      <c r="B47" s="515">
        <v>4566.1578576985867</v>
      </c>
    </row>
    <row r="48" spans="1:2">
      <c r="A48" s="484" t="s">
        <v>859</v>
      </c>
      <c r="B48" s="515">
        <v>123.50646487731102</v>
      </c>
    </row>
    <row r="49" spans="1:3">
      <c r="A49" s="484" t="s">
        <v>858</v>
      </c>
      <c r="B49" s="515">
        <v>1861.6307198766028</v>
      </c>
    </row>
    <row r="50" spans="1:3">
      <c r="A50" s="484" t="s">
        <v>857</v>
      </c>
      <c r="B50" s="515">
        <v>22969.339852775691</v>
      </c>
    </row>
    <row r="51" spans="1:3">
      <c r="A51" s="484" t="s">
        <v>855</v>
      </c>
      <c r="B51" s="515">
        <v>1062.334372191599</v>
      </c>
    </row>
    <row r="52" spans="1:3">
      <c r="A52" s="484" t="s">
        <v>854</v>
      </c>
      <c r="B52" s="515">
        <v>58.74429406026298</v>
      </c>
      <c r="C52" s="470" t="s">
        <v>313</v>
      </c>
    </row>
    <row r="53" spans="1:3">
      <c r="A53" s="484" t="s">
        <v>853</v>
      </c>
      <c r="B53" s="515">
        <v>1805.3364400942378</v>
      </c>
      <c r="C53" s="474">
        <f>SUM(B20:B53)</f>
        <v>153862.73742015407</v>
      </c>
    </row>
    <row r="54" spans="1:3" ht="13">
      <c r="A54" s="514" t="s">
        <v>244</v>
      </c>
      <c r="B54" s="513">
        <f>SUM(B10:B53)</f>
        <v>299144.68957872537</v>
      </c>
      <c r="C54" s="478"/>
    </row>
    <row r="57" spans="1:3" ht="26">
      <c r="A57" s="517" t="s">
        <v>944</v>
      </c>
      <c r="B57" s="518">
        <v>404259.27700896235</v>
      </c>
    </row>
    <row r="58" spans="1:3">
      <c r="A58" s="484" t="s">
        <v>931</v>
      </c>
      <c r="B58" s="515">
        <v>158973.38394897158</v>
      </c>
    </row>
    <row r="59" spans="1:3">
      <c r="A59" s="484" t="s">
        <v>930</v>
      </c>
      <c r="B59" s="515">
        <v>21701.81434441181</v>
      </c>
    </row>
    <row r="60" spans="1:3">
      <c r="A60" s="484" t="s">
        <v>929</v>
      </c>
      <c r="B60" s="515">
        <v>3695.8134266721727</v>
      </c>
    </row>
    <row r="61" spans="1:3">
      <c r="A61" s="484" t="s">
        <v>927</v>
      </c>
      <c r="B61" s="515">
        <v>0</v>
      </c>
    </row>
    <row r="62" spans="1:3">
      <c r="A62" s="484" t="s">
        <v>926</v>
      </c>
      <c r="B62" s="515">
        <v>0</v>
      </c>
    </row>
    <row r="63" spans="1:3">
      <c r="A63" s="484" t="s">
        <v>925</v>
      </c>
      <c r="B63" s="515">
        <v>594.37978115408453</v>
      </c>
    </row>
    <row r="64" spans="1:3">
      <c r="A64" s="484" t="s">
        <v>924</v>
      </c>
      <c r="B64" s="515">
        <v>11125.420335846593</v>
      </c>
    </row>
    <row r="65" spans="1:2">
      <c r="A65" s="484" t="s">
        <v>923</v>
      </c>
      <c r="B65" s="515">
        <v>15.004283553039373</v>
      </c>
    </row>
    <row r="66" spans="1:2">
      <c r="A66" s="484" t="s">
        <v>922</v>
      </c>
      <c r="B66" s="515">
        <v>191.77148294442839</v>
      </c>
    </row>
    <row r="67" spans="1:2">
      <c r="A67" s="484" t="s">
        <v>921</v>
      </c>
      <c r="B67" s="515">
        <v>7.5449994038278145</v>
      </c>
    </row>
    <row r="68" spans="1:2">
      <c r="A68" s="484" t="s">
        <v>893</v>
      </c>
      <c r="B68" s="515">
        <v>1913.1206715345736</v>
      </c>
    </row>
    <row r="69" spans="1:2">
      <c r="A69" s="484" t="s">
        <v>891</v>
      </c>
      <c r="B69" s="515">
        <v>6687.1634080068688</v>
      </c>
    </row>
    <row r="70" spans="1:2">
      <c r="A70" s="484" t="s">
        <v>889</v>
      </c>
      <c r="B70" s="515">
        <v>3504.5466783623306</v>
      </c>
    </row>
    <row r="71" spans="1:2">
      <c r="A71" s="484" t="s">
        <v>887</v>
      </c>
      <c r="B71" s="515">
        <v>129.58233904236826</v>
      </c>
    </row>
    <row r="72" spans="1:2">
      <c r="A72" s="484" t="s">
        <v>885</v>
      </c>
      <c r="B72" s="515">
        <v>2917.045403753059</v>
      </c>
    </row>
    <row r="73" spans="1:2">
      <c r="A73" s="484" t="s">
        <v>884</v>
      </c>
      <c r="B73" s="515">
        <v>2325.9308195690542</v>
      </c>
    </row>
    <row r="74" spans="1:2">
      <c r="A74" s="484" t="s">
        <v>883</v>
      </c>
      <c r="B74" s="515">
        <v>245.71475592417553</v>
      </c>
    </row>
    <row r="75" spans="1:2">
      <c r="A75" s="484" t="s">
        <v>882</v>
      </c>
      <c r="B75" s="515">
        <v>3872.1029463537552</v>
      </c>
    </row>
    <row r="76" spans="1:2">
      <c r="A76" s="484" t="s">
        <v>881</v>
      </c>
      <c r="B76" s="515">
        <v>1626.4384551093287</v>
      </c>
    </row>
    <row r="77" spans="1:2">
      <c r="A77" s="484" t="s">
        <v>880</v>
      </c>
      <c r="B77" s="515">
        <v>326.80793372552398</v>
      </c>
    </row>
    <row r="78" spans="1:2">
      <c r="A78" s="484" t="s">
        <v>877</v>
      </c>
      <c r="B78" s="515">
        <v>45.727140406982272</v>
      </c>
    </row>
    <row r="79" spans="1:2">
      <c r="A79" s="484" t="s">
        <v>876</v>
      </c>
      <c r="B79" s="515">
        <v>2279.2511237612166</v>
      </c>
    </row>
    <row r="80" spans="1:2">
      <c r="A80" s="484" t="s">
        <v>875</v>
      </c>
      <c r="B80" s="515">
        <v>6693.7895388409124</v>
      </c>
    </row>
    <row r="81" spans="1:2">
      <c r="A81" s="484" t="s">
        <v>874</v>
      </c>
      <c r="B81" s="515">
        <v>4.5158074870057421</v>
      </c>
    </row>
    <row r="82" spans="1:2">
      <c r="A82" s="484" t="s">
        <v>873</v>
      </c>
      <c r="B82" s="515">
        <v>20.455721658099399</v>
      </c>
    </row>
    <row r="83" spans="1:2">
      <c r="A83" s="484" t="s">
        <v>872</v>
      </c>
      <c r="B83" s="515">
        <v>11177.913689754989</v>
      </c>
    </row>
    <row r="84" spans="1:2">
      <c r="A84" s="484" t="s">
        <v>871</v>
      </c>
      <c r="B84" s="515">
        <v>1392.0935725251948</v>
      </c>
    </row>
    <row r="85" spans="1:2">
      <c r="A85" s="484" t="s">
        <v>870</v>
      </c>
      <c r="B85" s="515">
        <v>23508.028155829794</v>
      </c>
    </row>
    <row r="86" spans="1:2">
      <c r="A86" s="484" t="s">
        <v>869</v>
      </c>
      <c r="B86" s="515">
        <v>342.1367945123859</v>
      </c>
    </row>
    <row r="87" spans="1:2">
      <c r="A87" s="484" t="s">
        <v>868</v>
      </c>
      <c r="B87" s="515">
        <v>3.4230011022551912</v>
      </c>
    </row>
    <row r="88" spans="1:2">
      <c r="A88" s="484" t="s">
        <v>867</v>
      </c>
      <c r="B88" s="515">
        <v>92368.280319566315</v>
      </c>
    </row>
    <row r="89" spans="1:2">
      <c r="A89" s="484" t="s">
        <v>866</v>
      </c>
      <c r="B89" s="515">
        <v>83.23202121021157</v>
      </c>
    </row>
    <row r="90" spans="1:2">
      <c r="A90" s="484" t="s">
        <v>865</v>
      </c>
      <c r="B90" s="515">
        <v>26.812580148129463</v>
      </c>
    </row>
    <row r="91" spans="1:2">
      <c r="A91" s="484" t="s">
        <v>864</v>
      </c>
      <c r="B91" s="515">
        <v>23.846112888605976</v>
      </c>
    </row>
    <row r="92" spans="1:2">
      <c r="A92" s="484" t="s">
        <v>863</v>
      </c>
      <c r="B92" s="515">
        <v>361.04761693138875</v>
      </c>
    </row>
    <row r="93" spans="1:2">
      <c r="A93" s="484" t="s">
        <v>862</v>
      </c>
      <c r="B93" s="515">
        <v>1.4459047184934224</v>
      </c>
    </row>
    <row r="94" spans="1:2">
      <c r="A94" s="484" t="s">
        <v>861</v>
      </c>
      <c r="B94" s="515">
        <v>2178.955987555828</v>
      </c>
    </row>
    <row r="95" spans="1:2">
      <c r="A95" s="484" t="s">
        <v>860</v>
      </c>
      <c r="B95" s="515">
        <v>6171.3178802111552</v>
      </c>
    </row>
    <row r="96" spans="1:2">
      <c r="A96" s="484" t="s">
        <v>859</v>
      </c>
      <c r="B96" s="515">
        <v>166.07265923574968</v>
      </c>
    </row>
    <row r="97" spans="1:3">
      <c r="A97" s="484" t="s">
        <v>858</v>
      </c>
      <c r="B97" s="515">
        <v>2518.6067733468244</v>
      </c>
    </row>
    <row r="98" spans="1:3">
      <c r="A98" s="484" t="s">
        <v>857</v>
      </c>
      <c r="B98" s="515">
        <v>31034.576534648229</v>
      </c>
    </row>
    <row r="99" spans="1:3">
      <c r="A99" s="484" t="s">
        <v>855</v>
      </c>
      <c r="B99" s="515">
        <v>1432.4573617144938</v>
      </c>
    </row>
    <row r="100" spans="1:3">
      <c r="A100" s="484" t="s">
        <v>854</v>
      </c>
      <c r="B100" s="515">
        <v>84.786682272995947</v>
      </c>
      <c r="C100" s="478" t="s">
        <v>313</v>
      </c>
    </row>
    <row r="101" spans="1:3">
      <c r="A101" s="484" t="s">
        <v>853</v>
      </c>
      <c r="B101" s="515">
        <v>2486.9180142965615</v>
      </c>
      <c r="C101" s="474">
        <f>SUM(B68:B101)</f>
        <v>207954.14440600487</v>
      </c>
    </row>
    <row r="102" spans="1:3" ht="13">
      <c r="A102" s="514" t="s">
        <v>244</v>
      </c>
      <c r="B102" s="513">
        <f>SUM(B58:B101)</f>
        <v>404259.27700896235</v>
      </c>
    </row>
    <row r="105" spans="1:3" ht="26">
      <c r="A105" s="517" t="s">
        <v>943</v>
      </c>
      <c r="B105" s="516"/>
    </row>
    <row r="106" spans="1:3">
      <c r="A106" s="484" t="s">
        <v>931</v>
      </c>
      <c r="B106" s="515">
        <f t="shared" ref="B106:B150" si="0">B58-B10</f>
        <v>41276.067482138795</v>
      </c>
    </row>
    <row r="107" spans="1:3">
      <c r="A107" s="484" t="s">
        <v>930</v>
      </c>
      <c r="B107" s="515">
        <f t="shared" si="0"/>
        <v>5812.5117612402828</v>
      </c>
    </row>
    <row r="108" spans="1:3">
      <c r="A108" s="484" t="s">
        <v>929</v>
      </c>
      <c r="B108" s="515">
        <f t="shared" si="0"/>
        <v>955.14033072949678</v>
      </c>
    </row>
    <row r="109" spans="1:3">
      <c r="A109" s="484" t="s">
        <v>927</v>
      </c>
      <c r="B109" s="515">
        <f t="shared" si="0"/>
        <v>0</v>
      </c>
    </row>
    <row r="110" spans="1:3">
      <c r="A110" s="484" t="s">
        <v>926</v>
      </c>
      <c r="B110" s="515">
        <f t="shared" si="0"/>
        <v>0</v>
      </c>
    </row>
    <row r="111" spans="1:3">
      <c r="A111" s="484" t="s">
        <v>925</v>
      </c>
      <c r="B111" s="515">
        <f t="shared" si="0"/>
        <v>161.47978115408432</v>
      </c>
    </row>
    <row r="112" spans="1:3">
      <c r="A112" s="484" t="s">
        <v>924</v>
      </c>
      <c r="B112" s="515">
        <f t="shared" si="0"/>
        <v>2765.460335846592</v>
      </c>
    </row>
    <row r="113" spans="1:2">
      <c r="A113" s="484" t="s">
        <v>923</v>
      </c>
      <c r="B113" s="515">
        <f t="shared" si="0"/>
        <v>4.1861707067583733</v>
      </c>
    </row>
    <row r="114" spans="1:2">
      <c r="A114" s="484" t="s">
        <v>922</v>
      </c>
      <c r="B114" s="515">
        <f t="shared" si="0"/>
        <v>46.803054744787914</v>
      </c>
    </row>
    <row r="115" spans="1:2">
      <c r="A115" s="484" t="s">
        <v>921</v>
      </c>
      <c r="B115" s="515">
        <f t="shared" si="0"/>
        <v>1.5315278253938143</v>
      </c>
    </row>
    <row r="116" spans="1:2">
      <c r="A116" s="484" t="s">
        <v>893</v>
      </c>
      <c r="B116" s="515">
        <f t="shared" si="0"/>
        <v>510.84057174365626</v>
      </c>
    </row>
    <row r="117" spans="1:2">
      <c r="A117" s="484" t="s">
        <v>891</v>
      </c>
      <c r="B117" s="515">
        <f t="shared" si="0"/>
        <v>1732.6805109793086</v>
      </c>
    </row>
    <row r="118" spans="1:2">
      <c r="A118" s="484" t="s">
        <v>889</v>
      </c>
      <c r="B118" s="515">
        <f t="shared" si="0"/>
        <v>912.33096417739262</v>
      </c>
    </row>
    <row r="119" spans="1:2">
      <c r="A119" s="484" t="s">
        <v>887</v>
      </c>
      <c r="B119" s="515">
        <f t="shared" si="0"/>
        <v>33.481072533265774</v>
      </c>
    </row>
    <row r="120" spans="1:2">
      <c r="A120" s="484" t="s">
        <v>885</v>
      </c>
      <c r="B120" s="515">
        <f t="shared" si="0"/>
        <v>775.69889649280867</v>
      </c>
    </row>
    <row r="121" spans="1:2">
      <c r="A121" s="484" t="s">
        <v>884</v>
      </c>
      <c r="B121" s="515">
        <f t="shared" si="0"/>
        <v>602.88011444512858</v>
      </c>
    </row>
    <row r="122" spans="1:2">
      <c r="A122" s="484" t="s">
        <v>883</v>
      </c>
      <c r="B122" s="515">
        <f t="shared" si="0"/>
        <v>61.803882675492531</v>
      </c>
    </row>
    <row r="123" spans="1:2">
      <c r="A123" s="484" t="s">
        <v>882</v>
      </c>
      <c r="B123" s="515">
        <f t="shared" si="0"/>
        <v>1025.39670121772</v>
      </c>
    </row>
    <row r="124" spans="1:2">
      <c r="A124" s="484" t="s">
        <v>881</v>
      </c>
      <c r="B124" s="515">
        <f t="shared" si="0"/>
        <v>427.46551646960506</v>
      </c>
    </row>
    <row r="125" spans="1:2">
      <c r="A125" s="484" t="s">
        <v>880</v>
      </c>
      <c r="B125" s="515">
        <f t="shared" si="0"/>
        <v>89.112267114796566</v>
      </c>
    </row>
    <row r="126" spans="1:2">
      <c r="A126" s="484" t="s">
        <v>877</v>
      </c>
      <c r="B126" s="515">
        <f t="shared" si="0"/>
        <v>11.909172352660271</v>
      </c>
    </row>
    <row r="127" spans="1:2">
      <c r="A127" s="484" t="s">
        <v>876</v>
      </c>
      <c r="B127" s="515">
        <f t="shared" si="0"/>
        <v>601.89454527273779</v>
      </c>
    </row>
    <row r="128" spans="1:2">
      <c r="A128" s="484" t="s">
        <v>875</v>
      </c>
      <c r="B128" s="515">
        <f t="shared" si="0"/>
        <v>1829.7145818842246</v>
      </c>
    </row>
    <row r="129" spans="1:2">
      <c r="A129" s="484" t="s">
        <v>874</v>
      </c>
      <c r="B129" s="515">
        <f t="shared" si="0"/>
        <v>1.4821079431087423</v>
      </c>
    </row>
    <row r="130" spans="1:2">
      <c r="A130" s="484" t="s">
        <v>873</v>
      </c>
      <c r="B130" s="515">
        <f t="shared" si="0"/>
        <v>6.7136581084843989</v>
      </c>
    </row>
    <row r="131" spans="1:2">
      <c r="A131" s="484" t="s">
        <v>872</v>
      </c>
      <c r="B131" s="515">
        <f t="shared" si="0"/>
        <v>3030.6511570030225</v>
      </c>
    </row>
    <row r="132" spans="1:2">
      <c r="A132" s="484" t="s">
        <v>871</v>
      </c>
      <c r="B132" s="515">
        <f t="shared" si="0"/>
        <v>375.58544732874952</v>
      </c>
    </row>
    <row r="133" spans="1:2">
      <c r="A133" s="484" t="s">
        <v>870</v>
      </c>
      <c r="B133" s="515">
        <f t="shared" si="0"/>
        <v>5997.6405476207947</v>
      </c>
    </row>
    <row r="134" spans="1:2">
      <c r="A134" s="484" t="s">
        <v>869</v>
      </c>
      <c r="B134" s="515">
        <f t="shared" si="0"/>
        <v>93.760410997024906</v>
      </c>
    </row>
    <row r="135" spans="1:2">
      <c r="A135" s="484" t="s">
        <v>868</v>
      </c>
      <c r="B135" s="515">
        <f t="shared" si="0"/>
        <v>1.1234440656561913</v>
      </c>
    </row>
    <row r="136" spans="1:2">
      <c r="A136" s="484" t="s">
        <v>867</v>
      </c>
      <c r="B136" s="515">
        <f t="shared" si="0"/>
        <v>23800.542128807443</v>
      </c>
    </row>
    <row r="137" spans="1:2">
      <c r="A137" s="484" t="s">
        <v>866</v>
      </c>
      <c r="B137" s="515">
        <f t="shared" si="0"/>
        <v>21.007177025293572</v>
      </c>
    </row>
    <row r="138" spans="1:2">
      <c r="A138" s="484" t="s">
        <v>865</v>
      </c>
      <c r="B138" s="515">
        <f t="shared" si="0"/>
        <v>8.8000071143714642</v>
      </c>
    </row>
    <row r="139" spans="1:2">
      <c r="A139" s="484" t="s">
        <v>864</v>
      </c>
      <c r="B139" s="515">
        <f t="shared" si="0"/>
        <v>7.1871325326629858</v>
      </c>
    </row>
    <row r="140" spans="1:2">
      <c r="A140" s="484" t="s">
        <v>863</v>
      </c>
      <c r="B140" s="515">
        <f t="shared" si="0"/>
        <v>108.8733058123309</v>
      </c>
    </row>
    <row r="141" spans="1:2">
      <c r="A141" s="484" t="s">
        <v>862</v>
      </c>
      <c r="B141" s="515">
        <f t="shared" si="0"/>
        <v>0.47455230862342257</v>
      </c>
    </row>
    <row r="142" spans="1:2">
      <c r="A142" s="484" t="s">
        <v>861</v>
      </c>
      <c r="B142" s="515">
        <f t="shared" si="0"/>
        <v>574.6712076727008</v>
      </c>
    </row>
    <row r="143" spans="1:2">
      <c r="A143" s="484" t="s">
        <v>860</v>
      </c>
      <c r="B143" s="515">
        <f t="shared" si="0"/>
        <v>1605.1600225125685</v>
      </c>
    </row>
    <row r="144" spans="1:2">
      <c r="A144" s="484" t="s">
        <v>859</v>
      </c>
      <c r="B144" s="515">
        <f t="shared" si="0"/>
        <v>42.566194358438665</v>
      </c>
    </row>
    <row r="145" spans="1:3">
      <c r="A145" s="484" t="s">
        <v>858</v>
      </c>
      <c r="B145" s="515">
        <f t="shared" si="0"/>
        <v>656.97605347022159</v>
      </c>
    </row>
    <row r="146" spans="1:3">
      <c r="A146" s="484" t="s">
        <v>857</v>
      </c>
      <c r="B146" s="515">
        <f t="shared" si="0"/>
        <v>8065.2366818725386</v>
      </c>
    </row>
    <row r="147" spans="1:3">
      <c r="A147" s="484" t="s">
        <v>855</v>
      </c>
      <c r="B147" s="515">
        <f t="shared" si="0"/>
        <v>370.12298952289484</v>
      </c>
    </row>
    <row r="148" spans="1:3">
      <c r="A148" s="484" t="s">
        <v>854</v>
      </c>
      <c r="B148" s="515">
        <f t="shared" si="0"/>
        <v>26.042388212732966</v>
      </c>
      <c r="C148" s="478" t="s">
        <v>313</v>
      </c>
    </row>
    <row r="149" spans="1:3">
      <c r="A149" s="484" t="s">
        <v>853</v>
      </c>
      <c r="B149" s="515">
        <f t="shared" si="0"/>
        <v>681.58157420232374</v>
      </c>
      <c r="C149" s="474">
        <f>SUM(B116:B149)</f>
        <v>54091.406985850794</v>
      </c>
    </row>
    <row r="150" spans="1:3" ht="13">
      <c r="A150" s="514" t="s">
        <v>244</v>
      </c>
      <c r="B150" s="513">
        <f t="shared" si="0"/>
        <v>105114.58743023698</v>
      </c>
    </row>
    <row r="153" spans="1:3">
      <c r="A153" s="489" t="s">
        <v>53</v>
      </c>
      <c r="B153" s="470" t="s">
        <v>54</v>
      </c>
    </row>
  </sheetData>
  <pageMargins left="0.7" right="0.7" top="0.75" bottom="0.75" header="0.3" footer="0.3"/>
  <pageSetup scale="79" fitToHeight="100" orientation="portrait" horizontalDpi="1200" verticalDpi="1200" r:id="rId1"/>
  <rowBreaks count="2" manualBreakCount="2">
    <brk id="54" max="16383" man="1"/>
    <brk id="104"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B9A2-8A17-4DB3-95C1-1E027C0B7CD2}">
  <sheetPr>
    <pageSetUpPr fitToPage="1"/>
  </sheetPr>
  <dimension ref="A1:L50"/>
  <sheetViews>
    <sheetView workbookViewId="0">
      <pane ySplit="8" topLeftCell="A45" activePane="bottomLeft" state="frozen"/>
      <selection sqref="A1:C1"/>
      <selection pane="bottomLeft" sqref="A1:C1"/>
    </sheetView>
  </sheetViews>
  <sheetFormatPr defaultColWidth="9.1796875" defaultRowHeight="12.5"/>
  <cols>
    <col min="1" max="1" width="4.54296875" style="432" customWidth="1"/>
    <col min="2" max="2" width="12.26953125" style="432" bestFit="1" customWidth="1"/>
    <col min="3" max="4" width="17.26953125" style="432" bestFit="1" customWidth="1"/>
    <col min="5" max="5" width="16.81640625" style="432" bestFit="1" customWidth="1"/>
    <col min="6" max="6" width="2.7265625" style="432" customWidth="1"/>
    <col min="7" max="7" width="17.453125" style="432" customWidth="1"/>
    <col min="8" max="8" width="17.1796875" style="432" customWidth="1"/>
    <col min="9" max="9" width="12.7265625" style="432" customWidth="1"/>
    <col min="10" max="10" width="12" style="432" bestFit="1" customWidth="1"/>
    <col min="11" max="16384" width="9.1796875" style="432"/>
  </cols>
  <sheetData>
    <row r="1" spans="1:12">
      <c r="A1" s="349" t="s">
        <v>51</v>
      </c>
    </row>
    <row r="2" spans="1:12">
      <c r="A2" s="349" t="s">
        <v>955</v>
      </c>
    </row>
    <row r="3" spans="1:12">
      <c r="A3" s="349" t="s">
        <v>83</v>
      </c>
    </row>
    <row r="4" spans="1:12">
      <c r="A4" s="349" t="s">
        <v>919</v>
      </c>
    </row>
    <row r="6" spans="1:12" ht="51" customHeight="1">
      <c r="A6" s="753" t="s">
        <v>103</v>
      </c>
      <c r="B6" s="754" t="s">
        <v>56</v>
      </c>
      <c r="C6" s="752" t="s">
        <v>954</v>
      </c>
      <c r="D6" s="752" t="s">
        <v>953</v>
      </c>
      <c r="E6" s="752" t="s">
        <v>952</v>
      </c>
      <c r="F6" s="449"/>
      <c r="G6" s="752" t="s">
        <v>951</v>
      </c>
      <c r="H6" s="752" t="s">
        <v>950</v>
      </c>
      <c r="I6" s="752" t="s">
        <v>949</v>
      </c>
      <c r="J6" s="466" t="s">
        <v>355</v>
      </c>
    </row>
    <row r="7" spans="1:12">
      <c r="A7" s="753"/>
      <c r="B7" s="754"/>
      <c r="C7" s="752"/>
      <c r="D7" s="752"/>
      <c r="E7" s="752"/>
      <c r="F7" s="449"/>
      <c r="G7" s="752"/>
      <c r="H7" s="752"/>
      <c r="I7" s="752"/>
      <c r="J7" s="525">
        <v>1</v>
      </c>
    </row>
    <row r="8" spans="1:12">
      <c r="B8" s="449" t="s">
        <v>912</v>
      </c>
      <c r="C8" s="449" t="s">
        <v>911</v>
      </c>
      <c r="D8" s="449" t="s">
        <v>910</v>
      </c>
      <c r="E8" s="449" t="s">
        <v>909</v>
      </c>
      <c r="F8" s="449"/>
      <c r="G8" s="449" t="s">
        <v>908</v>
      </c>
      <c r="H8" s="449" t="s">
        <v>907</v>
      </c>
      <c r="I8" s="449" t="s">
        <v>906</v>
      </c>
      <c r="J8" s="449" t="s">
        <v>905</v>
      </c>
    </row>
    <row r="9" spans="1:12">
      <c r="A9" s="432">
        <v>1</v>
      </c>
      <c r="B9" s="432" t="s">
        <v>893</v>
      </c>
      <c r="C9" s="520">
        <f>W31_PG_2_of_4!B20</f>
        <v>1195313.5386211236</v>
      </c>
      <c r="D9" s="520">
        <f>W31_PG_2_of_4!E20</f>
        <v>1298646.0944511807</v>
      </c>
      <c r="E9" s="520">
        <f t="shared" ref="E9:E45" si="0">D9-C9</f>
        <v>103332.55583005701</v>
      </c>
      <c r="F9" s="520"/>
      <c r="G9" s="520">
        <f>W31_PG_2_of_4!I20</f>
        <v>1331112.24681246</v>
      </c>
      <c r="H9" s="520">
        <f t="shared" ref="H9:H45" si="1">G9-D9</f>
        <v>32466.152361279353</v>
      </c>
      <c r="I9" s="520">
        <f t="shared" ref="I9:I45" si="2">E9+H9</f>
        <v>135798.70819133637</v>
      </c>
      <c r="J9" s="520">
        <f t="shared" ref="J9:J45" si="3">I9*J$7</f>
        <v>135798.70819133637</v>
      </c>
      <c r="L9" s="520"/>
    </row>
    <row r="10" spans="1:12">
      <c r="A10" s="432">
        <f t="shared" ref="A10:A46" si="4">A9+1</f>
        <v>2</v>
      </c>
      <c r="B10" s="432" t="s">
        <v>891</v>
      </c>
      <c r="C10" s="520">
        <f>W31_PG_2_of_4!B21</f>
        <v>2177193.3605193025</v>
      </c>
      <c r="D10" s="520">
        <f>W31_PG_2_of_4!E21</f>
        <v>2365407.5379795646</v>
      </c>
      <c r="E10" s="520">
        <f t="shared" si="0"/>
        <v>188214.17746026209</v>
      </c>
      <c r="F10" s="520"/>
      <c r="G10" s="520">
        <f>W31_PG_2_of_4!I21</f>
        <v>2424542.7264290536</v>
      </c>
      <c r="H10" s="520">
        <f t="shared" si="1"/>
        <v>59135.188449488953</v>
      </c>
      <c r="I10" s="520">
        <f t="shared" si="2"/>
        <v>247349.36590975104</v>
      </c>
      <c r="J10" s="520">
        <f t="shared" si="3"/>
        <v>247349.36590975104</v>
      </c>
      <c r="L10" s="520"/>
    </row>
    <row r="11" spans="1:12">
      <c r="A11" s="432">
        <f t="shared" si="4"/>
        <v>3</v>
      </c>
      <c r="B11" s="432" t="s">
        <v>889</v>
      </c>
      <c r="C11" s="520">
        <f>W31_PG_2_of_4!B22</f>
        <v>1305890.4646074923</v>
      </c>
      <c r="D11" s="520">
        <f>W31_PG_2_of_4!E22</f>
        <v>1418782.1829575216</v>
      </c>
      <c r="E11" s="520">
        <f t="shared" si="0"/>
        <v>112891.71835002932</v>
      </c>
      <c r="F11" s="520"/>
      <c r="G11" s="520">
        <f>W31_PG_2_of_4!I22</f>
        <v>1454251.7375314594</v>
      </c>
      <c r="H11" s="520">
        <f t="shared" si="1"/>
        <v>35469.554573937785</v>
      </c>
      <c r="I11" s="520">
        <f t="shared" si="2"/>
        <v>148361.2729239671</v>
      </c>
      <c r="J11" s="520">
        <f t="shared" si="3"/>
        <v>148361.2729239671</v>
      </c>
      <c r="L11" s="520"/>
    </row>
    <row r="12" spans="1:12">
      <c r="A12" s="432">
        <f t="shared" si="4"/>
        <v>4</v>
      </c>
      <c r="B12" s="432" t="s">
        <v>887</v>
      </c>
      <c r="C12" s="520">
        <f>W31_PG_2_of_4!B23</f>
        <v>46965.216052925687</v>
      </c>
      <c r="D12" s="520">
        <f>W31_PG_2_of_4!E23</f>
        <v>51025.268627464364</v>
      </c>
      <c r="E12" s="520">
        <f t="shared" si="0"/>
        <v>4060.0525745386767</v>
      </c>
      <c r="F12" s="520"/>
      <c r="G12" s="520">
        <f>W31_PG_2_of_4!I23</f>
        <v>52300.90034315097</v>
      </c>
      <c r="H12" s="520">
        <f t="shared" si="1"/>
        <v>1275.6317156866062</v>
      </c>
      <c r="I12" s="520">
        <f t="shared" si="2"/>
        <v>5335.6842902252829</v>
      </c>
      <c r="J12" s="520">
        <f t="shared" si="3"/>
        <v>5335.6842902252829</v>
      </c>
      <c r="L12" s="520"/>
    </row>
    <row r="13" spans="1:12">
      <c r="A13" s="432">
        <f t="shared" si="4"/>
        <v>5</v>
      </c>
      <c r="B13" s="432" t="s">
        <v>885</v>
      </c>
      <c r="C13" s="520">
        <f>W31_PG_2_of_4!B24</f>
        <v>1307134.1338929443</v>
      </c>
      <c r="D13" s="520">
        <f>W31_PG_2_of_4!E24</f>
        <v>1420133.3650600889</v>
      </c>
      <c r="E13" s="520">
        <f t="shared" si="0"/>
        <v>112999.23116714461</v>
      </c>
      <c r="F13" s="520"/>
      <c r="G13" s="520">
        <f>W31_PG_2_of_4!I24</f>
        <v>1455636.699186591</v>
      </c>
      <c r="H13" s="520">
        <f t="shared" si="1"/>
        <v>35503.334126502043</v>
      </c>
      <c r="I13" s="520">
        <f t="shared" si="2"/>
        <v>148502.56529364665</v>
      </c>
      <c r="J13" s="520">
        <f t="shared" si="3"/>
        <v>148502.56529364665</v>
      </c>
      <c r="L13" s="520"/>
    </row>
    <row r="14" spans="1:12">
      <c r="A14" s="432">
        <f t="shared" si="4"/>
        <v>6</v>
      </c>
      <c r="B14" s="432" t="s">
        <v>884</v>
      </c>
      <c r="C14" s="520">
        <f>W31_PG_2_of_4!B25</f>
        <v>1025018.5906448347</v>
      </c>
      <c r="D14" s="520">
        <f>W31_PG_2_of_4!E25</f>
        <v>1113629.4758413977</v>
      </c>
      <c r="E14" s="520">
        <f t="shared" si="0"/>
        <v>88610.885196562973</v>
      </c>
      <c r="F14" s="520"/>
      <c r="G14" s="520">
        <f>W31_PG_2_of_4!I25</f>
        <v>1141470.2127374324</v>
      </c>
      <c r="H14" s="520">
        <f t="shared" si="1"/>
        <v>27840.736896034796</v>
      </c>
      <c r="I14" s="520">
        <f t="shared" si="2"/>
        <v>116451.62209259777</v>
      </c>
      <c r="J14" s="520">
        <f t="shared" si="3"/>
        <v>116451.62209259777</v>
      </c>
      <c r="L14" s="520"/>
    </row>
    <row r="15" spans="1:12">
      <c r="A15" s="432">
        <f t="shared" si="4"/>
        <v>7</v>
      </c>
      <c r="B15" s="432" t="s">
        <v>883</v>
      </c>
      <c r="C15" s="520">
        <f>W31_PG_2_of_4!B26</f>
        <v>117693.71642230546</v>
      </c>
      <c r="D15" s="520">
        <f>W31_PG_2_of_4!E26</f>
        <v>127868.11178394758</v>
      </c>
      <c r="E15" s="520">
        <f t="shared" si="0"/>
        <v>10174.39536164212</v>
      </c>
      <c r="F15" s="520"/>
      <c r="G15" s="520">
        <f>W31_PG_2_of_4!I26</f>
        <v>131064.81457854624</v>
      </c>
      <c r="H15" s="520">
        <f t="shared" si="1"/>
        <v>3196.7027945986629</v>
      </c>
      <c r="I15" s="520">
        <f t="shared" si="2"/>
        <v>13371.098156240783</v>
      </c>
      <c r="J15" s="520">
        <f t="shared" si="3"/>
        <v>13371.098156240783</v>
      </c>
      <c r="L15" s="520"/>
    </row>
    <row r="16" spans="1:12">
      <c r="A16" s="432">
        <f t="shared" si="4"/>
        <v>8</v>
      </c>
      <c r="B16" s="432" t="s">
        <v>882</v>
      </c>
      <c r="C16" s="520">
        <f>W31_PG_2_of_4!B27</f>
        <v>1411551.5162281974</v>
      </c>
      <c r="D16" s="520">
        <f>W31_PG_2_of_4!E27</f>
        <v>1533577.4292166089</v>
      </c>
      <c r="E16" s="520">
        <f t="shared" si="0"/>
        <v>122025.9129884115</v>
      </c>
      <c r="F16" s="520"/>
      <c r="G16" s="520">
        <f>W31_PG_2_of_4!I27</f>
        <v>1571916.8649470243</v>
      </c>
      <c r="H16" s="520">
        <f t="shared" si="1"/>
        <v>38339.435730415396</v>
      </c>
      <c r="I16" s="520">
        <f t="shared" si="2"/>
        <v>160365.34871882689</v>
      </c>
      <c r="J16" s="520">
        <f t="shared" si="3"/>
        <v>160365.34871882689</v>
      </c>
      <c r="L16" s="520"/>
    </row>
    <row r="17" spans="1:12">
      <c r="A17" s="432">
        <f t="shared" si="4"/>
        <v>9</v>
      </c>
      <c r="B17" s="432" t="s">
        <v>881</v>
      </c>
      <c r="C17" s="520">
        <f>W31_PG_2_of_4!B28</f>
        <v>598235.17641596065</v>
      </c>
      <c r="D17" s="520">
        <f>W31_PG_2_of_4!E28</f>
        <v>649951.45651249215</v>
      </c>
      <c r="E17" s="520">
        <f t="shared" si="0"/>
        <v>51716.280096531496</v>
      </c>
      <c r="F17" s="520"/>
      <c r="G17" s="520">
        <f>W31_PG_2_of_4!I28</f>
        <v>666200.24292530434</v>
      </c>
      <c r="H17" s="520">
        <f t="shared" si="1"/>
        <v>16248.786412812187</v>
      </c>
      <c r="I17" s="520">
        <f t="shared" si="2"/>
        <v>67965.066509343684</v>
      </c>
      <c r="J17" s="520">
        <f t="shared" si="3"/>
        <v>67965.066509343684</v>
      </c>
      <c r="L17" s="520"/>
    </row>
    <row r="18" spans="1:12">
      <c r="A18" s="432">
        <f t="shared" si="4"/>
        <v>10</v>
      </c>
      <c r="B18" s="432" t="s">
        <v>880</v>
      </c>
      <c r="C18" s="520">
        <f>W31_PG_2_of_4!B29</f>
        <v>109934.19923825125</v>
      </c>
      <c r="D18" s="520">
        <f>W31_PG_2_of_4!E29</f>
        <v>119437.79926734781</v>
      </c>
      <c r="E18" s="520">
        <f t="shared" si="0"/>
        <v>9503.6000290965603</v>
      </c>
      <c r="F18" s="520"/>
      <c r="G18" s="520">
        <f>W31_PG_2_of_4!I29</f>
        <v>122423.7442490315</v>
      </c>
      <c r="H18" s="520">
        <f t="shared" si="1"/>
        <v>2985.9449816836859</v>
      </c>
      <c r="I18" s="520">
        <f t="shared" si="2"/>
        <v>12489.545010780246</v>
      </c>
      <c r="J18" s="520">
        <f t="shared" si="3"/>
        <v>12489.545010780246</v>
      </c>
      <c r="L18" s="520"/>
    </row>
    <row r="19" spans="1:12">
      <c r="A19" s="432">
        <f t="shared" si="4"/>
        <v>11</v>
      </c>
      <c r="B19" s="432" t="s">
        <v>879</v>
      </c>
      <c r="C19" s="520">
        <f>W31_PG_2_of_4!B30</f>
        <v>-9252.6541600590481</v>
      </c>
      <c r="D19" s="520">
        <f>W31_PG_2_of_4!E30</f>
        <v>-10052.528311633905</v>
      </c>
      <c r="E19" s="520">
        <f t="shared" si="0"/>
        <v>-799.87415157485702</v>
      </c>
      <c r="F19" s="520"/>
      <c r="G19" s="520">
        <f>W31_PG_2_of_4!I30</f>
        <v>-10303.841519424754</v>
      </c>
      <c r="H19" s="520">
        <f t="shared" si="1"/>
        <v>-251.31320779084854</v>
      </c>
      <c r="I19" s="520">
        <f t="shared" si="2"/>
        <v>-1051.1873593657056</v>
      </c>
      <c r="J19" s="520">
        <f t="shared" si="3"/>
        <v>-1051.1873593657056</v>
      </c>
      <c r="L19" s="520"/>
    </row>
    <row r="20" spans="1:12">
      <c r="A20" s="432">
        <f t="shared" si="4"/>
        <v>12</v>
      </c>
      <c r="B20" s="432" t="s">
        <v>878</v>
      </c>
      <c r="C20" s="520">
        <f>W31_PG_2_of_4!B31</f>
        <v>37089.537790657982</v>
      </c>
      <c r="D20" s="520">
        <f>W31_PG_2_of_4!E31</f>
        <v>40295.856978580254</v>
      </c>
      <c r="E20" s="520">
        <f t="shared" si="0"/>
        <v>3206.3191879222722</v>
      </c>
      <c r="F20" s="520"/>
      <c r="G20" s="520">
        <f>W31_PG_2_of_4!I31</f>
        <v>41303.25340304475</v>
      </c>
      <c r="H20" s="520">
        <f t="shared" si="1"/>
        <v>1007.3964244644958</v>
      </c>
      <c r="I20" s="520">
        <f t="shared" si="2"/>
        <v>4213.715612386768</v>
      </c>
      <c r="J20" s="520">
        <f t="shared" si="3"/>
        <v>4213.715612386768</v>
      </c>
      <c r="L20" s="520"/>
    </row>
    <row r="21" spans="1:12">
      <c r="A21" s="432">
        <f t="shared" si="4"/>
        <v>13</v>
      </c>
      <c r="B21" s="432" t="s">
        <v>877</v>
      </c>
      <c r="C21" s="520">
        <f>W31_PG_2_of_4!B32</f>
        <v>1303.6863831527965</v>
      </c>
      <c r="D21" s="520">
        <f>W31_PG_2_of_4!E32</f>
        <v>1416.3875629013521</v>
      </c>
      <c r="E21" s="520">
        <f t="shared" si="0"/>
        <v>112.70117974855566</v>
      </c>
      <c r="F21" s="520"/>
      <c r="G21" s="520">
        <f>W31_PG_2_of_4!I32</f>
        <v>1451.797251973886</v>
      </c>
      <c r="H21" s="520">
        <f t="shared" si="1"/>
        <v>35.409689072533865</v>
      </c>
      <c r="I21" s="520">
        <f t="shared" si="2"/>
        <v>148.11086882108953</v>
      </c>
      <c r="J21" s="520">
        <f t="shared" si="3"/>
        <v>148.11086882108953</v>
      </c>
      <c r="L21" s="520"/>
    </row>
    <row r="22" spans="1:12">
      <c r="A22" s="432">
        <f t="shared" si="4"/>
        <v>14</v>
      </c>
      <c r="B22" s="432" t="s">
        <v>876</v>
      </c>
      <c r="C22" s="520">
        <f>W31_PG_2_of_4!B33</f>
        <v>176958.21608059271</v>
      </c>
      <c r="D22" s="520">
        <f>W31_PG_2_of_4!E33</f>
        <v>192255.91342268826</v>
      </c>
      <c r="E22" s="520">
        <f t="shared" si="0"/>
        <v>15297.697342095547</v>
      </c>
      <c r="F22" s="520"/>
      <c r="G22" s="520">
        <f>W31_PG_2_of_4!I33</f>
        <v>197062.31125825545</v>
      </c>
      <c r="H22" s="520">
        <f t="shared" si="1"/>
        <v>4806.3978355671861</v>
      </c>
      <c r="I22" s="520">
        <f t="shared" si="2"/>
        <v>20104.095177662733</v>
      </c>
      <c r="J22" s="520">
        <f t="shared" si="3"/>
        <v>20104.095177662733</v>
      </c>
      <c r="L22" s="520"/>
    </row>
    <row r="23" spans="1:12">
      <c r="A23" s="432">
        <f t="shared" si="4"/>
        <v>15</v>
      </c>
      <c r="B23" s="432" t="s">
        <v>875</v>
      </c>
      <c r="C23" s="520">
        <f>W31_PG_2_of_4!B34</f>
        <v>-25004.846914651891</v>
      </c>
      <c r="D23" s="520">
        <f>W31_PG_2_of_4!E34</f>
        <v>-27166.467825271629</v>
      </c>
      <c r="E23" s="520">
        <f t="shared" si="0"/>
        <v>-2161.6209106197384</v>
      </c>
      <c r="F23" s="520"/>
      <c r="G23" s="520">
        <f>W31_PG_2_of_4!I34</f>
        <v>-27845.629520903418</v>
      </c>
      <c r="H23" s="520">
        <f t="shared" si="1"/>
        <v>-679.16169563178846</v>
      </c>
      <c r="I23" s="520">
        <f t="shared" si="2"/>
        <v>-2840.7826062515269</v>
      </c>
      <c r="J23" s="520">
        <f t="shared" si="3"/>
        <v>-2840.7826062515269</v>
      </c>
      <c r="L23" s="520"/>
    </row>
    <row r="24" spans="1:12">
      <c r="A24" s="432">
        <f t="shared" si="4"/>
        <v>16</v>
      </c>
      <c r="B24" s="432" t="s">
        <v>874</v>
      </c>
      <c r="C24" s="520">
        <f>W31_PG_2_of_4!B35</f>
        <v>641.60058237322994</v>
      </c>
      <c r="D24" s="520">
        <f>W31_PG_2_of_4!E35</f>
        <v>697.06571838696448</v>
      </c>
      <c r="E24" s="520">
        <f t="shared" si="0"/>
        <v>55.465136013734536</v>
      </c>
      <c r="F24" s="520"/>
      <c r="G24" s="520">
        <f>W31_PG_2_of_4!I35</f>
        <v>714.49236134663852</v>
      </c>
      <c r="H24" s="520">
        <f t="shared" si="1"/>
        <v>17.426642959674041</v>
      </c>
      <c r="I24" s="520">
        <f t="shared" si="2"/>
        <v>72.891778973408577</v>
      </c>
      <c r="J24" s="520">
        <f t="shared" si="3"/>
        <v>72.891778973408577</v>
      </c>
      <c r="L24" s="520"/>
    </row>
    <row r="25" spans="1:12">
      <c r="A25" s="432">
        <f t="shared" si="4"/>
        <v>17</v>
      </c>
      <c r="B25" s="432" t="s">
        <v>873</v>
      </c>
      <c r="C25" s="520">
        <f>W31_PG_2_of_4!B36</f>
        <v>3438.5014825960402</v>
      </c>
      <c r="D25" s="520">
        <f>W31_PG_2_of_4!E36</f>
        <v>3735.7533206635339</v>
      </c>
      <c r="E25" s="520">
        <f t="shared" si="0"/>
        <v>297.25183806749374</v>
      </c>
      <c r="F25" s="520"/>
      <c r="G25" s="520">
        <f>W31_PG_2_of_4!I36</f>
        <v>3829.1471536801218</v>
      </c>
      <c r="H25" s="520">
        <f t="shared" si="1"/>
        <v>93.393833016587905</v>
      </c>
      <c r="I25" s="520">
        <f t="shared" si="2"/>
        <v>390.64567108408164</v>
      </c>
      <c r="J25" s="520">
        <f t="shared" si="3"/>
        <v>390.64567108408164</v>
      </c>
      <c r="L25" s="520"/>
    </row>
    <row r="26" spans="1:12">
      <c r="A26" s="432">
        <f t="shared" si="4"/>
        <v>18</v>
      </c>
      <c r="B26" s="432" t="s">
        <v>872</v>
      </c>
      <c r="C26" s="520">
        <f>W31_PG_2_of_4!B37</f>
        <v>808355.72521534807</v>
      </c>
      <c r="D26" s="520">
        <f>W31_PG_2_of_4!E37</f>
        <v>878236.52251872187</v>
      </c>
      <c r="E26" s="520">
        <f t="shared" si="0"/>
        <v>69880.797303373809</v>
      </c>
      <c r="F26" s="520"/>
      <c r="G26" s="520">
        <f>W31_PG_2_of_4!I37</f>
        <v>900192.43558168993</v>
      </c>
      <c r="H26" s="520">
        <f t="shared" si="1"/>
        <v>21955.913062968059</v>
      </c>
      <c r="I26" s="520">
        <f t="shared" si="2"/>
        <v>91836.710366341867</v>
      </c>
      <c r="J26" s="520">
        <f t="shared" si="3"/>
        <v>91836.710366341867</v>
      </c>
      <c r="L26" s="520"/>
    </row>
    <row r="27" spans="1:12">
      <c r="A27" s="432">
        <f t="shared" si="4"/>
        <v>19</v>
      </c>
      <c r="B27" s="432" t="s">
        <v>871</v>
      </c>
      <c r="C27" s="520">
        <f>W31_PG_2_of_4!B38</f>
        <v>113511.92045171779</v>
      </c>
      <c r="D27" s="520">
        <f>W31_PG_2_of_4!E38</f>
        <v>123324.80759678005</v>
      </c>
      <c r="E27" s="520">
        <f t="shared" si="0"/>
        <v>9812.8871450622682</v>
      </c>
      <c r="F27" s="520"/>
      <c r="G27" s="520">
        <f>W31_PG_2_of_4!I38</f>
        <v>126407.92778669955</v>
      </c>
      <c r="H27" s="520">
        <f t="shared" si="1"/>
        <v>3083.1201899195003</v>
      </c>
      <c r="I27" s="520">
        <f t="shared" si="2"/>
        <v>12896.007334981769</v>
      </c>
      <c r="J27" s="520">
        <f t="shared" si="3"/>
        <v>12896.007334981769</v>
      </c>
      <c r="L27" s="520"/>
    </row>
    <row r="28" spans="1:12">
      <c r="A28" s="432">
        <f t="shared" si="4"/>
        <v>20</v>
      </c>
      <c r="B28" s="432" t="s">
        <v>870</v>
      </c>
      <c r="C28" s="520">
        <f>W31_PG_2_of_4!B39</f>
        <v>1919171.5472221782</v>
      </c>
      <c r="D28" s="520">
        <f>W31_PG_2_of_4!E39</f>
        <v>2085080.2353138064</v>
      </c>
      <c r="E28" s="520">
        <f t="shared" si="0"/>
        <v>165908.68809162825</v>
      </c>
      <c r="F28" s="520"/>
      <c r="G28" s="520">
        <f>W31_PG_2_of_4!I39</f>
        <v>2137207.2411966515</v>
      </c>
      <c r="H28" s="520">
        <f t="shared" si="1"/>
        <v>52127.005882845027</v>
      </c>
      <c r="I28" s="520">
        <f t="shared" si="2"/>
        <v>218035.69397447328</v>
      </c>
      <c r="J28" s="520">
        <f t="shared" si="3"/>
        <v>218035.69397447328</v>
      </c>
      <c r="L28" s="520"/>
    </row>
    <row r="29" spans="1:12">
      <c r="A29" s="432">
        <f t="shared" si="4"/>
        <v>21</v>
      </c>
      <c r="B29" s="432" t="s">
        <v>869</v>
      </c>
      <c r="C29" s="520">
        <f>W31_PG_2_of_4!B40</f>
        <v>21200.874093562219</v>
      </c>
      <c r="D29" s="520">
        <f>W31_PG_2_of_4!E40</f>
        <v>23033.648872007543</v>
      </c>
      <c r="E29" s="520">
        <f t="shared" si="0"/>
        <v>1832.774778445324</v>
      </c>
      <c r="F29" s="520"/>
      <c r="G29" s="520">
        <f>W31_PG_2_of_4!I40</f>
        <v>23609.49009380773</v>
      </c>
      <c r="H29" s="520">
        <f t="shared" si="1"/>
        <v>575.84122180018676</v>
      </c>
      <c r="I29" s="520">
        <f t="shared" si="2"/>
        <v>2408.6160002455108</v>
      </c>
      <c r="J29" s="520">
        <f t="shared" si="3"/>
        <v>2408.6160002455108</v>
      </c>
      <c r="L29" s="520"/>
    </row>
    <row r="30" spans="1:12">
      <c r="A30" s="432">
        <f t="shared" si="4"/>
        <v>22</v>
      </c>
      <c r="B30" s="432" t="s">
        <v>868</v>
      </c>
      <c r="C30" s="520">
        <f>W31_PG_2_of_4!B41</f>
        <v>1081.6045367452839</v>
      </c>
      <c r="D30" s="520">
        <f>W31_PG_2_of_4!E41</f>
        <v>1175.1071681203152</v>
      </c>
      <c r="E30" s="520">
        <f t="shared" si="0"/>
        <v>93.502631375031342</v>
      </c>
      <c r="F30" s="520"/>
      <c r="G30" s="520">
        <f>W31_PG_2_of_4!I41</f>
        <v>1204.484847323323</v>
      </c>
      <c r="H30" s="520">
        <f t="shared" si="1"/>
        <v>29.377679203007801</v>
      </c>
      <c r="I30" s="520">
        <f t="shared" si="2"/>
        <v>122.88031057803914</v>
      </c>
      <c r="J30" s="520">
        <f t="shared" si="3"/>
        <v>122.88031057803914</v>
      </c>
      <c r="L30" s="520"/>
    </row>
    <row r="31" spans="1:12">
      <c r="A31" s="432">
        <f t="shared" si="4"/>
        <v>23</v>
      </c>
      <c r="B31" s="432" t="s">
        <v>867</v>
      </c>
      <c r="C31" s="520">
        <f>W31_PG_2_of_4!B42</f>
        <v>2972769.0176482289</v>
      </c>
      <c r="D31" s="520">
        <f>W31_PG_2_of_4!E42</f>
        <v>3229759.1801125119</v>
      </c>
      <c r="E31" s="520">
        <f t="shared" si="0"/>
        <v>256990.16246428294</v>
      </c>
      <c r="F31" s="520"/>
      <c r="G31" s="520">
        <f>W31_PG_2_of_4!I42</f>
        <v>3310503.1596153248</v>
      </c>
      <c r="H31" s="520">
        <f t="shared" si="1"/>
        <v>80743.979502812959</v>
      </c>
      <c r="I31" s="520">
        <f t="shared" si="2"/>
        <v>337734.1419670959</v>
      </c>
      <c r="J31" s="520">
        <f t="shared" si="3"/>
        <v>337734.1419670959</v>
      </c>
      <c r="L31" s="520"/>
    </row>
    <row r="32" spans="1:12">
      <c r="A32" s="432">
        <f t="shared" si="4"/>
        <v>24</v>
      </c>
      <c r="B32" s="432" t="s">
        <v>866</v>
      </c>
      <c r="C32" s="520">
        <f>W31_PG_2_of_4!B43</f>
        <v>5924.6694342286964</v>
      </c>
      <c r="D32" s="520">
        <f>W31_PG_2_of_4!E43</f>
        <v>6436.8457087426596</v>
      </c>
      <c r="E32" s="520">
        <f t="shared" si="0"/>
        <v>512.17627451396311</v>
      </c>
      <c r="F32" s="520"/>
      <c r="G32" s="520">
        <f>W31_PG_2_of_4!I43</f>
        <v>6597.7668514612251</v>
      </c>
      <c r="H32" s="520">
        <f t="shared" si="1"/>
        <v>160.92114271856553</v>
      </c>
      <c r="I32" s="520">
        <f t="shared" si="2"/>
        <v>673.09741723252864</v>
      </c>
      <c r="J32" s="520">
        <f t="shared" si="3"/>
        <v>673.09741723252864</v>
      </c>
      <c r="L32" s="520"/>
    </row>
    <row r="33" spans="1:12">
      <c r="A33" s="432">
        <f t="shared" si="4"/>
        <v>25</v>
      </c>
      <c r="B33" s="432" t="s">
        <v>865</v>
      </c>
      <c r="C33" s="520">
        <f>W31_PG_2_of_4!B44</f>
        <v>2630.6465039060377</v>
      </c>
      <c r="D33" s="520">
        <f>W31_PG_2_of_4!E44</f>
        <v>2858.060833243921</v>
      </c>
      <c r="E33" s="520">
        <f t="shared" si="0"/>
        <v>227.41432933788337</v>
      </c>
      <c r="F33" s="520"/>
      <c r="G33" s="520">
        <f>W31_PG_2_of_4!I44</f>
        <v>2929.5123540750187</v>
      </c>
      <c r="H33" s="520">
        <f t="shared" si="1"/>
        <v>71.451520831097696</v>
      </c>
      <c r="I33" s="520">
        <f t="shared" si="2"/>
        <v>298.86585016898107</v>
      </c>
      <c r="J33" s="520">
        <f t="shared" si="3"/>
        <v>298.86585016898107</v>
      </c>
      <c r="L33" s="520"/>
    </row>
    <row r="34" spans="1:12">
      <c r="A34" s="432">
        <f t="shared" si="4"/>
        <v>26</v>
      </c>
      <c r="B34" s="432" t="s">
        <v>864</v>
      </c>
      <c r="C34" s="520">
        <f>W31_PG_2_of_4!B45</f>
        <v>3172.9273265553429</v>
      </c>
      <c r="D34" s="520">
        <f>W31_PG_2_of_4!E45</f>
        <v>3447.2207897534681</v>
      </c>
      <c r="E34" s="520">
        <f t="shared" si="0"/>
        <v>274.29346319812521</v>
      </c>
      <c r="F34" s="520"/>
      <c r="G34" s="520">
        <f>W31_PG_2_of_4!I45</f>
        <v>3533.4013094973043</v>
      </c>
      <c r="H34" s="520">
        <f t="shared" si="1"/>
        <v>86.180519743836157</v>
      </c>
      <c r="I34" s="520">
        <f t="shared" si="2"/>
        <v>360.47398294196137</v>
      </c>
      <c r="J34" s="520">
        <f t="shared" si="3"/>
        <v>360.47398294196137</v>
      </c>
      <c r="L34" s="520"/>
    </row>
    <row r="35" spans="1:12">
      <c r="A35" s="432">
        <f t="shared" si="4"/>
        <v>27</v>
      </c>
      <c r="B35" s="432" t="s">
        <v>863</v>
      </c>
      <c r="C35" s="520">
        <f>W31_PG_2_of_4!B46</f>
        <v>36025.463693979749</v>
      </c>
      <c r="D35" s="520">
        <f>W31_PG_2_of_4!E46</f>
        <v>39139.795723345145</v>
      </c>
      <c r="E35" s="520">
        <f t="shared" si="0"/>
        <v>3114.332029365396</v>
      </c>
      <c r="F35" s="520"/>
      <c r="G35" s="520">
        <f>W31_PG_2_of_4!I46</f>
        <v>40118.290616428771</v>
      </c>
      <c r="H35" s="520">
        <f t="shared" si="1"/>
        <v>978.49489308362536</v>
      </c>
      <c r="I35" s="520">
        <f t="shared" si="2"/>
        <v>4092.8269224490214</v>
      </c>
      <c r="J35" s="520">
        <f t="shared" si="3"/>
        <v>4092.8269224490214</v>
      </c>
      <c r="L35" s="520"/>
    </row>
    <row r="36" spans="1:12">
      <c r="A36" s="432">
        <f t="shared" si="4"/>
        <v>28</v>
      </c>
      <c r="B36" s="432" t="s">
        <v>862</v>
      </c>
      <c r="C36" s="520">
        <f>W31_PG_2_of_4!B47</f>
        <v>110.33749022040065</v>
      </c>
      <c r="D36" s="520">
        <f>W31_PG_2_of_4!E47</f>
        <v>119.87595397903949</v>
      </c>
      <c r="E36" s="520">
        <f t="shared" si="0"/>
        <v>9.5384637586388408</v>
      </c>
      <c r="F36" s="520"/>
      <c r="G36" s="520">
        <f>W31_PG_2_of_4!I47</f>
        <v>122.87285282851546</v>
      </c>
      <c r="H36" s="520">
        <f t="shared" si="1"/>
        <v>2.9968988494759685</v>
      </c>
      <c r="I36" s="520">
        <f t="shared" si="2"/>
        <v>12.535362608114809</v>
      </c>
      <c r="J36" s="520">
        <f t="shared" si="3"/>
        <v>12.535362608114809</v>
      </c>
      <c r="L36" s="520"/>
    </row>
    <row r="37" spans="1:12">
      <c r="A37" s="432">
        <f t="shared" si="4"/>
        <v>29</v>
      </c>
      <c r="B37" s="432" t="s">
        <v>861</v>
      </c>
      <c r="C37" s="520">
        <f>W31_PG_2_of_4!B48</f>
        <v>163636.30918530651</v>
      </c>
      <c r="D37" s="520">
        <f>W31_PG_2_of_4!E48</f>
        <v>177782.35330542986</v>
      </c>
      <c r="E37" s="520">
        <f t="shared" si="0"/>
        <v>14146.044120123348</v>
      </c>
      <c r="F37" s="520"/>
      <c r="G37" s="520">
        <f>W31_PG_2_of_4!I48</f>
        <v>182226.91213806559</v>
      </c>
      <c r="H37" s="520">
        <f t="shared" si="1"/>
        <v>4444.5588326357247</v>
      </c>
      <c r="I37" s="520">
        <f t="shared" si="2"/>
        <v>18590.602952759073</v>
      </c>
      <c r="J37" s="520">
        <f t="shared" si="3"/>
        <v>18590.602952759073</v>
      </c>
      <c r="L37" s="520"/>
    </row>
    <row r="38" spans="1:12">
      <c r="A38" s="432">
        <f t="shared" si="4"/>
        <v>30</v>
      </c>
      <c r="B38" s="432" t="s">
        <v>860</v>
      </c>
      <c r="C38" s="520">
        <f>W31_PG_2_of_4!B49</f>
        <v>458953.63921268616</v>
      </c>
      <c r="D38" s="520">
        <f>W31_PG_2_of_4!E49</f>
        <v>498629.29837242479</v>
      </c>
      <c r="E38" s="520">
        <f t="shared" si="0"/>
        <v>39675.659159738629</v>
      </c>
      <c r="F38" s="520"/>
      <c r="G38" s="520">
        <f>W31_PG_2_of_4!I49</f>
        <v>511095.03083173535</v>
      </c>
      <c r="H38" s="520">
        <f t="shared" si="1"/>
        <v>12465.732459310559</v>
      </c>
      <c r="I38" s="520">
        <f t="shared" si="2"/>
        <v>52141.391619049187</v>
      </c>
      <c r="J38" s="520">
        <f t="shared" si="3"/>
        <v>52141.391619049187</v>
      </c>
      <c r="L38" s="520"/>
    </row>
    <row r="39" spans="1:12">
      <c r="A39" s="432">
        <f t="shared" si="4"/>
        <v>31</v>
      </c>
      <c r="B39" s="432" t="s">
        <v>859</v>
      </c>
      <c r="C39" s="520">
        <f>W31_PG_2_of_4!B50</f>
        <v>13053.833089600279</v>
      </c>
      <c r="D39" s="520">
        <f>W31_PG_2_of_4!E50</f>
        <v>14182.31184680017</v>
      </c>
      <c r="E39" s="520">
        <f t="shared" si="0"/>
        <v>1128.4787571998913</v>
      </c>
      <c r="F39" s="520"/>
      <c r="G39" s="520">
        <f>W31_PG_2_of_4!I50</f>
        <v>14536.86964297017</v>
      </c>
      <c r="H39" s="520">
        <f t="shared" si="1"/>
        <v>354.55779617000007</v>
      </c>
      <c r="I39" s="520">
        <f t="shared" si="2"/>
        <v>1483.0365533698914</v>
      </c>
      <c r="J39" s="520">
        <f t="shared" si="3"/>
        <v>1483.0365533698914</v>
      </c>
      <c r="L39" s="520"/>
    </row>
    <row r="40" spans="1:12">
      <c r="A40" s="432">
        <f t="shared" si="4"/>
        <v>32</v>
      </c>
      <c r="B40" s="432" t="s">
        <v>858</v>
      </c>
      <c r="C40" s="520">
        <f>W31_PG_2_of_4!B51</f>
        <v>177152.21059979341</v>
      </c>
      <c r="D40" s="520">
        <f>W31_PG_2_of_4!E51</f>
        <v>192466.67839486076</v>
      </c>
      <c r="E40" s="520">
        <f t="shared" si="0"/>
        <v>15314.46779506735</v>
      </c>
      <c r="F40" s="520"/>
      <c r="G40" s="520">
        <f>W31_PG_2_of_4!I51</f>
        <v>197278.34535473227</v>
      </c>
      <c r="H40" s="520">
        <f t="shared" si="1"/>
        <v>4811.6669598715089</v>
      </c>
      <c r="I40" s="520">
        <f t="shared" si="2"/>
        <v>20126.134754938859</v>
      </c>
      <c r="J40" s="520">
        <f t="shared" si="3"/>
        <v>20126.134754938859</v>
      </c>
      <c r="L40" s="520"/>
    </row>
    <row r="41" spans="1:12">
      <c r="A41" s="432">
        <f t="shared" si="4"/>
        <v>33</v>
      </c>
      <c r="B41" s="432" t="s">
        <v>857</v>
      </c>
      <c r="C41" s="520">
        <f>W31_PG_2_of_4!B52</f>
        <v>2285095.3143100603</v>
      </c>
      <c r="D41" s="520">
        <f>W31_PG_2_of_4!E52</f>
        <v>2482637.4080901844</v>
      </c>
      <c r="E41" s="520">
        <f t="shared" si="0"/>
        <v>197542.09378012409</v>
      </c>
      <c r="F41" s="520"/>
      <c r="G41" s="520">
        <f>W31_PG_2_of_4!I52</f>
        <v>2544703.3432924384</v>
      </c>
      <c r="H41" s="520">
        <f t="shared" si="1"/>
        <v>62065.935202253982</v>
      </c>
      <c r="I41" s="520">
        <f t="shared" si="2"/>
        <v>259608.02898237808</v>
      </c>
      <c r="J41" s="520">
        <f t="shared" si="3"/>
        <v>259608.02898237808</v>
      </c>
      <c r="L41" s="520"/>
    </row>
    <row r="42" spans="1:12">
      <c r="A42" s="432">
        <f t="shared" si="4"/>
        <v>34</v>
      </c>
      <c r="B42" s="432" t="s">
        <v>856</v>
      </c>
      <c r="C42" s="520">
        <f>W31_PG_2_of_4!B53</f>
        <v>-434781.24085092318</v>
      </c>
      <c r="D42" s="520">
        <f>W31_PG_2_of_4!E53</f>
        <v>-472367.24267594726</v>
      </c>
      <c r="E42" s="520">
        <f t="shared" si="0"/>
        <v>-37586.001825024083</v>
      </c>
      <c r="F42" s="520"/>
      <c r="G42" s="520">
        <f>W31_PG_2_of_4!I53</f>
        <v>-484176.42374284589</v>
      </c>
      <c r="H42" s="520">
        <f t="shared" si="1"/>
        <v>-11809.181066898629</v>
      </c>
      <c r="I42" s="520">
        <f t="shared" si="2"/>
        <v>-49395.182891922712</v>
      </c>
      <c r="J42" s="520">
        <f t="shared" si="3"/>
        <v>-49395.182891922712</v>
      </c>
      <c r="L42" s="520"/>
    </row>
    <row r="43" spans="1:12">
      <c r="A43" s="432">
        <f t="shared" si="4"/>
        <v>35</v>
      </c>
      <c r="B43" s="432" t="s">
        <v>855</v>
      </c>
      <c r="C43" s="520">
        <f>W31_PG_2_of_4!B54</f>
        <v>132676.9984380099</v>
      </c>
      <c r="D43" s="520">
        <f>W31_PG_2_of_4!E54</f>
        <v>144146.66970457594</v>
      </c>
      <c r="E43" s="520">
        <f t="shared" si="0"/>
        <v>11469.671266566031</v>
      </c>
      <c r="F43" s="520"/>
      <c r="G43" s="520">
        <f>W31_PG_2_of_4!I54</f>
        <v>147750.33644719032</v>
      </c>
      <c r="H43" s="520">
        <f t="shared" si="1"/>
        <v>3603.6667426143831</v>
      </c>
      <c r="I43" s="520">
        <f t="shared" si="2"/>
        <v>15073.338009180414</v>
      </c>
      <c r="J43" s="520">
        <f t="shared" si="3"/>
        <v>15073.338009180414</v>
      </c>
      <c r="L43" s="520"/>
    </row>
    <row r="44" spans="1:12">
      <c r="A44" s="432">
        <f t="shared" si="4"/>
        <v>36</v>
      </c>
      <c r="B44" s="432" t="s">
        <v>854</v>
      </c>
      <c r="C44" s="520">
        <f>W31_PG_2_of_4!B55</f>
        <v>8639.2717275663454</v>
      </c>
      <c r="D44" s="520">
        <f>W31_PG_2_of_4!E55</f>
        <v>9386.1201478976291</v>
      </c>
      <c r="E44" s="520">
        <f t="shared" si="0"/>
        <v>746.84842033128371</v>
      </c>
      <c r="F44" s="520"/>
      <c r="G44" s="520">
        <f>W31_PG_2_of_4!I55</f>
        <v>9620.7731515950691</v>
      </c>
      <c r="H44" s="520">
        <f t="shared" si="1"/>
        <v>234.65300369744</v>
      </c>
      <c r="I44" s="520">
        <f t="shared" si="2"/>
        <v>981.5014240287237</v>
      </c>
      <c r="J44" s="520">
        <f t="shared" si="3"/>
        <v>981.5014240287237</v>
      </c>
      <c r="L44" s="520"/>
    </row>
    <row r="45" spans="1:12">
      <c r="A45" s="432">
        <f t="shared" si="4"/>
        <v>37</v>
      </c>
      <c r="B45" s="432" t="s">
        <v>853</v>
      </c>
      <c r="C45" s="524">
        <f>W31_PG_2_of_4!B56</f>
        <v>493211.39566409902</v>
      </c>
      <c r="D45" s="524">
        <f>W31_PG_2_of_4!E56</f>
        <v>535848.5719628568</v>
      </c>
      <c r="E45" s="524">
        <f t="shared" si="0"/>
        <v>42637.176298757782</v>
      </c>
      <c r="F45" s="524"/>
      <c r="G45" s="524">
        <f>W31_PG_2_of_4!I56</f>
        <v>549244.78626192815</v>
      </c>
      <c r="H45" s="524">
        <f t="shared" si="1"/>
        <v>13396.214299071347</v>
      </c>
      <c r="I45" s="524">
        <f t="shared" si="2"/>
        <v>56033.39059782913</v>
      </c>
      <c r="J45" s="524">
        <f t="shared" si="3"/>
        <v>56033.39059782913</v>
      </c>
      <c r="L45" s="520"/>
    </row>
    <row r="46" spans="1:12" ht="13" thickBot="1">
      <c r="A46" s="432">
        <f t="shared" si="4"/>
        <v>38</v>
      </c>
      <c r="B46" s="523" t="s">
        <v>244</v>
      </c>
      <c r="C46" s="522">
        <f>SUM(C9:C45)</f>
        <v>18661696.418880869</v>
      </c>
      <c r="D46" s="522">
        <f>SUM(D9:D45)</f>
        <v>20274964.172304027</v>
      </c>
      <c r="E46" s="522">
        <f>SUM(E9:E45)</f>
        <v>1613267.7534231553</v>
      </c>
      <c r="F46" s="522"/>
      <c r="G46" s="522">
        <f>SUM(G9:G45)</f>
        <v>20781838.276611622</v>
      </c>
      <c r="H46" s="522">
        <f>SUM(H9:H45)</f>
        <v>506874.10430759907</v>
      </c>
      <c r="I46" s="522">
        <f>SUM(I9:I45)</f>
        <v>2120141.8577307547</v>
      </c>
      <c r="J46" s="522">
        <f>SUM(J9:J45)</f>
        <v>2120141.8577307547</v>
      </c>
      <c r="L46" s="520"/>
    </row>
    <row r="47" spans="1:12" ht="13" thickTop="1">
      <c r="L47" s="520"/>
    </row>
    <row r="48" spans="1:12">
      <c r="A48" s="432">
        <f>A46+1</f>
        <v>39</v>
      </c>
      <c r="B48" s="521" t="s">
        <v>948</v>
      </c>
      <c r="L48" s="520"/>
    </row>
    <row r="49" spans="1:12">
      <c r="A49" s="432">
        <f>A48+1</f>
        <v>40</v>
      </c>
      <c r="B49" s="432" t="s">
        <v>947</v>
      </c>
      <c r="L49" s="520"/>
    </row>
    <row r="50" spans="1:12">
      <c r="L50" s="520"/>
    </row>
  </sheetData>
  <mergeCells count="8">
    <mergeCell ref="H6:H7"/>
    <mergeCell ref="I6:I7"/>
    <mergeCell ref="A6:A7"/>
    <mergeCell ref="B6:B7"/>
    <mergeCell ref="C6:C7"/>
    <mergeCell ref="D6:D7"/>
    <mergeCell ref="E6:E7"/>
    <mergeCell ref="G6:G7"/>
  </mergeCells>
  <pageMargins left="0.7" right="0.7" top="0.75" bottom="0.75" header="0.3" footer="0.3"/>
  <pageSetup scale="70" orientation="portrait" horizontalDpi="200" verticalDpi="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52D1-70A4-4CA7-954A-939601F9D2E5}">
  <sheetPr>
    <pageSetUpPr fitToPage="1"/>
  </sheetPr>
  <dimension ref="A1:K60"/>
  <sheetViews>
    <sheetView topLeftCell="A48" workbookViewId="0">
      <selection sqref="A1:C1"/>
    </sheetView>
  </sheetViews>
  <sheetFormatPr defaultColWidth="9.1796875" defaultRowHeight="12.75" customHeight="1"/>
  <cols>
    <col min="1" max="1" width="12.7265625" style="432" bestFit="1" customWidth="1"/>
    <col min="2" max="2" width="16" style="432" bestFit="1" customWidth="1"/>
    <col min="3" max="3" width="16.81640625" style="432" customWidth="1"/>
    <col min="4" max="4" width="19.1796875" style="432" customWidth="1"/>
    <col min="5" max="5" width="16" style="432" bestFit="1" customWidth="1"/>
    <col min="6" max="6" width="15.7265625" style="432" bestFit="1" customWidth="1"/>
    <col min="7" max="7" width="18.453125" style="432" customWidth="1"/>
    <col min="8" max="8" width="18" style="432" customWidth="1"/>
    <col min="9" max="9" width="17.1796875" style="432" customWidth="1"/>
    <col min="10" max="10" width="16" style="432" customWidth="1"/>
    <col min="11" max="11" width="15.7265625" style="432" bestFit="1" customWidth="1"/>
    <col min="12" max="16384" width="9.1796875" style="432"/>
  </cols>
  <sheetData>
    <row r="1" spans="1:11" ht="12.75" customHeight="1">
      <c r="A1" s="349" t="s">
        <v>51</v>
      </c>
    </row>
    <row r="2" spans="1:11" ht="12.75" customHeight="1">
      <c r="A2" s="349" t="s">
        <v>955</v>
      </c>
    </row>
    <row r="3" spans="1:11" ht="12.75" customHeight="1">
      <c r="A3" s="349" t="s">
        <v>83</v>
      </c>
    </row>
    <row r="4" spans="1:11" ht="12.75" customHeight="1">
      <c r="A4" s="432" t="s">
        <v>967</v>
      </c>
    </row>
    <row r="6" spans="1:11" ht="62.5">
      <c r="A6" s="466" t="s">
        <v>56</v>
      </c>
      <c r="B6" s="466" t="s">
        <v>954</v>
      </c>
      <c r="C6" s="546" t="s">
        <v>966</v>
      </c>
      <c r="D6" s="545" t="s">
        <v>965</v>
      </c>
      <c r="E6" s="545" t="s">
        <v>964</v>
      </c>
      <c r="F6" s="544" t="s">
        <v>963</v>
      </c>
      <c r="G6" s="546" t="s">
        <v>962</v>
      </c>
      <c r="H6" s="545" t="s">
        <v>961</v>
      </c>
      <c r="I6" s="545" t="s">
        <v>960</v>
      </c>
      <c r="J6" s="544" t="s">
        <v>959</v>
      </c>
      <c r="K6" s="466" t="s">
        <v>958</v>
      </c>
    </row>
    <row r="7" spans="1:11" ht="12.75" customHeight="1">
      <c r="A7" s="543"/>
      <c r="B7" s="542" t="s">
        <v>912</v>
      </c>
      <c r="C7" s="541" t="s">
        <v>911</v>
      </c>
      <c r="D7" s="540" t="s">
        <v>910</v>
      </c>
      <c r="E7" s="540" t="s">
        <v>909</v>
      </c>
      <c r="F7" s="539" t="s">
        <v>908</v>
      </c>
      <c r="G7" s="541" t="s">
        <v>907</v>
      </c>
      <c r="H7" s="540" t="s">
        <v>906</v>
      </c>
      <c r="I7" s="540" t="s">
        <v>905</v>
      </c>
      <c r="J7" s="539" t="s">
        <v>904</v>
      </c>
      <c r="K7" s="535"/>
    </row>
    <row r="8" spans="1:11" ht="12.75" customHeight="1">
      <c r="A8" s="538" t="s">
        <v>931</v>
      </c>
      <c r="B8" s="537">
        <f>W31_PG_3_of_4!B11</f>
        <v>11659170.365760611</v>
      </c>
      <c r="C8" s="457">
        <f>W31_PG_4_of_4!$B$20*(B8/B$57)</f>
        <v>9641744.6985326968</v>
      </c>
      <c r="D8" s="443">
        <f>(W31_PG_4_of_4!$B$34*0.5)*(B8/B$57)</f>
        <v>3025338.515050164</v>
      </c>
      <c r="E8" s="520">
        <f t="shared" ref="E8:E39" si="0">C8+D8</f>
        <v>12667083.21358286</v>
      </c>
      <c r="F8" s="448">
        <f t="shared" ref="F8:F39" si="1">E8-B8</f>
        <v>1007912.8478222489</v>
      </c>
      <c r="G8" s="457">
        <f>W31_PG_4_of_4!$E$20*(B8/B$57)</f>
        <v>9882788.3159960117</v>
      </c>
      <c r="H8" s="443">
        <f>(W31_PG_4_of_4!$E$34*0.5)*(B8/B$57)</f>
        <v>3100971.9779264177</v>
      </c>
      <c r="I8" s="520">
        <f t="shared" ref="I8:I39" si="2">G8+H8</f>
        <v>12983760.29392243</v>
      </c>
      <c r="J8" s="448">
        <f t="shared" ref="J8:J39" si="3">I8-E8</f>
        <v>316677.0803395696</v>
      </c>
      <c r="K8" s="536">
        <f t="shared" ref="K8:K39" si="4">I8-B8</f>
        <v>1324589.9281618185</v>
      </c>
    </row>
    <row r="9" spans="1:11" ht="12.75" customHeight="1">
      <c r="A9" s="538" t="s">
        <v>930</v>
      </c>
      <c r="B9" s="537">
        <f>W31_PG_3_of_4!B12</f>
        <v>2121348.3240512493</v>
      </c>
      <c r="C9" s="457">
        <f>W31_PG_4_of_4!$B$20*(B9/B$57)</f>
        <v>1754284.2514102007</v>
      </c>
      <c r="D9" s="443">
        <f>(W31_PG_4_of_4!$B$34*0.5)*(B9/B$57)</f>
        <v>550450.5541351767</v>
      </c>
      <c r="E9" s="520">
        <f t="shared" si="0"/>
        <v>2304734.8055453775</v>
      </c>
      <c r="F9" s="448">
        <f t="shared" si="1"/>
        <v>183386.48149412824</v>
      </c>
      <c r="G9" s="457">
        <f>W31_PG_4_of_4!$E$20*(B9/B$57)</f>
        <v>1798141.3576954557</v>
      </c>
      <c r="H9" s="443">
        <f>(W31_PG_4_of_4!$E$34*0.5)*(B9/B$57)</f>
        <v>564211.81798855611</v>
      </c>
      <c r="I9" s="520">
        <f t="shared" si="2"/>
        <v>2362353.1756840115</v>
      </c>
      <c r="J9" s="448">
        <f t="shared" si="3"/>
        <v>57618.370138633996</v>
      </c>
      <c r="K9" s="536">
        <f t="shared" si="4"/>
        <v>241004.85163276223</v>
      </c>
    </row>
    <row r="10" spans="1:11" ht="12.75" customHeight="1">
      <c r="A10" s="538" t="s">
        <v>929</v>
      </c>
      <c r="B10" s="537">
        <f>W31_PG_3_of_4!B13</f>
        <v>1262982.1062002892</v>
      </c>
      <c r="C10" s="457">
        <f>W31_PG_4_of_4!$B$20*(B10/B$57)</f>
        <v>1044444.0423101992</v>
      </c>
      <c r="D10" s="443">
        <f>(W31_PG_4_of_4!$B$34*0.5)*(B10/B$57)</f>
        <v>327720.43720433651</v>
      </c>
      <c r="E10" s="520">
        <f t="shared" si="0"/>
        <v>1372164.4795145357</v>
      </c>
      <c r="F10" s="448">
        <f t="shared" si="1"/>
        <v>109182.37331424654</v>
      </c>
      <c r="G10" s="457">
        <f>W31_PG_4_of_4!$E$20*(B10/B$57)</f>
        <v>1070555.1433679541</v>
      </c>
      <c r="H10" s="443">
        <f>(W31_PG_4_of_4!$E$34*0.5)*(B10/B$57)</f>
        <v>335913.44813444489</v>
      </c>
      <c r="I10" s="520">
        <f t="shared" si="2"/>
        <v>1406468.591502399</v>
      </c>
      <c r="J10" s="448">
        <f t="shared" si="3"/>
        <v>34304.111987863202</v>
      </c>
      <c r="K10" s="536">
        <f t="shared" si="4"/>
        <v>143486.48530210974</v>
      </c>
    </row>
    <row r="11" spans="1:11" ht="12.75" customHeight="1">
      <c r="A11" s="538" t="s">
        <v>928</v>
      </c>
      <c r="B11" s="537">
        <f>W31_PG_3_of_4!B14</f>
        <v>0</v>
      </c>
      <c r="C11" s="457">
        <f>W31_PG_4_of_4!$B$20*(B11/B$57)</f>
        <v>0</v>
      </c>
      <c r="D11" s="443">
        <f>(W31_PG_4_of_4!$B$34*0.5)*(B11/B$57)</f>
        <v>0</v>
      </c>
      <c r="E11" s="520">
        <f t="shared" si="0"/>
        <v>0</v>
      </c>
      <c r="F11" s="448">
        <f t="shared" si="1"/>
        <v>0</v>
      </c>
      <c r="G11" s="457">
        <f>W31_PG_4_of_4!$E$20*(B11/B$57)</f>
        <v>0</v>
      </c>
      <c r="H11" s="443">
        <f>(W31_PG_4_of_4!$E$34*0.5)*(B11/B$57)</f>
        <v>0</v>
      </c>
      <c r="I11" s="520">
        <f t="shared" si="2"/>
        <v>0</v>
      </c>
      <c r="J11" s="448">
        <f t="shared" si="3"/>
        <v>0</v>
      </c>
      <c r="K11" s="536">
        <f t="shared" si="4"/>
        <v>0</v>
      </c>
    </row>
    <row r="12" spans="1:11" ht="12.75" customHeight="1">
      <c r="A12" s="538" t="s">
        <v>927</v>
      </c>
      <c r="B12" s="537">
        <f>W31_PG_3_of_4!B15</f>
        <v>0</v>
      </c>
      <c r="C12" s="457">
        <f>W31_PG_4_of_4!$B$20*(B12/B$57)</f>
        <v>0</v>
      </c>
      <c r="D12" s="443">
        <f>(W31_PG_4_of_4!$B$34*0.5)*(B12/B$57)</f>
        <v>0</v>
      </c>
      <c r="E12" s="520">
        <f t="shared" si="0"/>
        <v>0</v>
      </c>
      <c r="F12" s="448">
        <f t="shared" si="1"/>
        <v>0</v>
      </c>
      <c r="G12" s="457">
        <f>W31_PG_4_of_4!$E$20*(B12/B$57)</f>
        <v>0</v>
      </c>
      <c r="H12" s="443">
        <f>(W31_PG_4_of_4!$E$34*0.5)*(B12/B$57)</f>
        <v>0</v>
      </c>
      <c r="I12" s="520">
        <f t="shared" si="2"/>
        <v>0</v>
      </c>
      <c r="J12" s="448">
        <f t="shared" si="3"/>
        <v>0</v>
      </c>
      <c r="K12" s="536">
        <f t="shared" si="4"/>
        <v>0</v>
      </c>
    </row>
    <row r="13" spans="1:11" ht="12.75" customHeight="1">
      <c r="A13" s="538" t="s">
        <v>926</v>
      </c>
      <c r="B13" s="537">
        <f>W31_PG_3_of_4!B16</f>
        <v>0</v>
      </c>
      <c r="C13" s="457">
        <f>W31_PG_4_of_4!$B$20*(B13/B$57)</f>
        <v>0</v>
      </c>
      <c r="D13" s="443">
        <f>(W31_PG_4_of_4!$B$34*0.5)*(B13/B$57)</f>
        <v>0</v>
      </c>
      <c r="E13" s="520">
        <f t="shared" si="0"/>
        <v>0</v>
      </c>
      <c r="F13" s="448">
        <f t="shared" si="1"/>
        <v>0</v>
      </c>
      <c r="G13" s="457">
        <f>W31_PG_4_of_4!$E$20*(B13/B$57)</f>
        <v>0</v>
      </c>
      <c r="H13" s="443">
        <f>(W31_PG_4_of_4!$E$34*0.5)*(B13/B$57)</f>
        <v>0</v>
      </c>
      <c r="I13" s="520">
        <f t="shared" si="2"/>
        <v>0</v>
      </c>
      <c r="J13" s="448">
        <f t="shared" si="3"/>
        <v>0</v>
      </c>
      <c r="K13" s="536">
        <f t="shared" si="4"/>
        <v>0</v>
      </c>
    </row>
    <row r="14" spans="1:11" ht="12.75" customHeight="1">
      <c r="A14" s="538" t="s">
        <v>925</v>
      </c>
      <c r="B14" s="537">
        <f>W31_PG_3_of_4!B17</f>
        <v>38891.461439966493</v>
      </c>
      <c r="C14" s="457">
        <f>W31_PG_4_of_4!$B$20*(B14/B$57)</f>
        <v>32161.940377695388</v>
      </c>
      <c r="D14" s="443">
        <f>(W31_PG_4_of_4!$B$34*0.5)*(B14/B$57)</f>
        <v>10091.613083075756</v>
      </c>
      <c r="E14" s="520">
        <f t="shared" si="0"/>
        <v>42253.553460771145</v>
      </c>
      <c r="F14" s="448">
        <f t="shared" si="1"/>
        <v>3362.0920208046518</v>
      </c>
      <c r="G14" s="457">
        <f>W31_PG_4_of_4!$E$20*(B14/B$57)</f>
        <v>32965.98888713777</v>
      </c>
      <c r="H14" s="443">
        <f>(W31_PG_4_of_4!$E$34*0.5)*(B14/B$57)</f>
        <v>10343.90341015265</v>
      </c>
      <c r="I14" s="520">
        <f t="shared" si="2"/>
        <v>43309.892297290418</v>
      </c>
      <c r="J14" s="448">
        <f t="shared" si="3"/>
        <v>1056.3388365192732</v>
      </c>
      <c r="K14" s="536">
        <f t="shared" si="4"/>
        <v>4418.430857323925</v>
      </c>
    </row>
    <row r="15" spans="1:11" ht="12.75" customHeight="1">
      <c r="A15" s="538" t="s">
        <v>924</v>
      </c>
      <c r="B15" s="537">
        <f>W31_PG_3_of_4!B18</f>
        <v>84602.825710291014</v>
      </c>
      <c r="C15" s="457">
        <f>W31_PG_4_of_4!$B$20*(B15/B$57)</f>
        <v>69963.712741397001</v>
      </c>
      <c r="D15" s="443">
        <f>(W31_PG_4_of_4!$B$34*0.5)*(B15/B$57)</f>
        <v>21952.864489833024</v>
      </c>
      <c r="E15" s="520">
        <f t="shared" si="0"/>
        <v>91916.577231230025</v>
      </c>
      <c r="F15" s="448">
        <f t="shared" si="1"/>
        <v>7313.7515209390112</v>
      </c>
      <c r="G15" s="457">
        <f>W31_PG_4_of_4!$E$20*(B15/B$57)</f>
        <v>71712.80555993192</v>
      </c>
      <c r="H15" s="443">
        <f>(W31_PG_4_of_4!$E$34*0.5)*(B15/B$57)</f>
        <v>22501.686102078849</v>
      </c>
      <c r="I15" s="520">
        <f t="shared" si="2"/>
        <v>94214.491662010769</v>
      </c>
      <c r="J15" s="448">
        <f t="shared" si="3"/>
        <v>2297.9144307807437</v>
      </c>
      <c r="K15" s="536">
        <f t="shared" si="4"/>
        <v>9611.665951719755</v>
      </c>
    </row>
    <row r="16" spans="1:11" ht="12.75" customHeight="1">
      <c r="A16" s="538" t="s">
        <v>957</v>
      </c>
      <c r="B16" s="537">
        <f>W31_PG_3_of_4!B19</f>
        <v>0</v>
      </c>
      <c r="C16" s="457">
        <f>W31_PG_4_of_4!$B$20*(B16/B$57)</f>
        <v>0</v>
      </c>
      <c r="D16" s="443">
        <f>(W31_PG_4_of_4!$B$34*0.5)*(B16/B$57)</f>
        <v>0</v>
      </c>
      <c r="E16" s="520">
        <f t="shared" si="0"/>
        <v>0</v>
      </c>
      <c r="F16" s="448">
        <f t="shared" si="1"/>
        <v>0</v>
      </c>
      <c r="G16" s="457">
        <f>W31_PG_4_of_4!$E$20*(B16/B$57)</f>
        <v>0</v>
      </c>
      <c r="H16" s="443">
        <f>(W31_PG_4_of_4!$E$34*0.5)*(B16/B$57)</f>
        <v>0</v>
      </c>
      <c r="I16" s="520">
        <f t="shared" si="2"/>
        <v>0</v>
      </c>
      <c r="J16" s="448">
        <f t="shared" si="3"/>
        <v>0</v>
      </c>
      <c r="K16" s="536">
        <f t="shared" si="4"/>
        <v>0</v>
      </c>
    </row>
    <row r="17" spans="1:11" ht="12.75" customHeight="1">
      <c r="A17" s="538" t="s">
        <v>923</v>
      </c>
      <c r="B17" s="537">
        <f>W31_PG_3_of_4!B20</f>
        <v>1358.7088208283496</v>
      </c>
      <c r="C17" s="457">
        <f>W31_PG_4_of_4!$B$20*(B17/B$57)</f>
        <v>1123.6068398608327</v>
      </c>
      <c r="D17" s="443">
        <f>(W31_PG_4_of_4!$B$34*0.5)*(B17/B$57)</f>
        <v>352.5597445991379</v>
      </c>
      <c r="E17" s="520">
        <f t="shared" si="0"/>
        <v>1476.1665844599706</v>
      </c>
      <c r="F17" s="448">
        <f t="shared" si="1"/>
        <v>117.45776363162099</v>
      </c>
      <c r="G17" s="457">
        <f>W31_PG_4_of_4!$E$20*(B17/B$57)</f>
        <v>1151.6970108573535</v>
      </c>
      <c r="H17" s="443">
        <f>(W31_PG_4_of_4!$E$34*0.5)*(B17/B$57)</f>
        <v>361.37373821411632</v>
      </c>
      <c r="I17" s="520">
        <f t="shared" si="2"/>
        <v>1513.0707490714699</v>
      </c>
      <c r="J17" s="448">
        <f t="shared" si="3"/>
        <v>36.904164611499255</v>
      </c>
      <c r="K17" s="536">
        <f t="shared" si="4"/>
        <v>154.36192824312025</v>
      </c>
    </row>
    <row r="18" spans="1:11" ht="12.75" customHeight="1">
      <c r="A18" s="538" t="s">
        <v>922</v>
      </c>
      <c r="B18" s="537">
        <f>W31_PG_3_of_4!B21</f>
        <v>17884.044581206766</v>
      </c>
      <c r="C18" s="457">
        <f>W31_PG_4_of_4!$B$20*(B18/B$57)</f>
        <v>14789.507882615424</v>
      </c>
      <c r="D18" s="443">
        <f>(W31_PG_4_of_4!$B$34*0.5)*(B18/B$57)</f>
        <v>4640.57794671991</v>
      </c>
      <c r="E18" s="520">
        <f t="shared" si="0"/>
        <v>19430.085829335334</v>
      </c>
      <c r="F18" s="448">
        <f t="shared" si="1"/>
        <v>1546.0412481285675</v>
      </c>
      <c r="G18" s="457">
        <f>W31_PG_4_of_4!$E$20*(B18/B$57)</f>
        <v>15159.245579680808</v>
      </c>
      <c r="H18" s="443">
        <f>(W31_PG_4_of_4!$E$34*0.5)*(B18/B$57)</f>
        <v>4756.5923953879083</v>
      </c>
      <c r="I18" s="520">
        <f t="shared" si="2"/>
        <v>19915.837975068716</v>
      </c>
      <c r="J18" s="448">
        <f t="shared" si="3"/>
        <v>485.75214573338235</v>
      </c>
      <c r="K18" s="536">
        <f t="shared" si="4"/>
        <v>2031.7933938619499</v>
      </c>
    </row>
    <row r="19" spans="1:11" ht="12.75" customHeight="1">
      <c r="A19" s="538" t="s">
        <v>921</v>
      </c>
      <c r="B19" s="537">
        <f>W31_PG_3_of_4!B22</f>
        <v>2517.6545546899602</v>
      </c>
      <c r="C19" s="457">
        <f>W31_PG_4_of_4!$B$20*(B19/B$57)</f>
        <v>2082.0162750778204</v>
      </c>
      <c r="D19" s="443">
        <f>(W31_PG_4_of_4!$B$34*0.5)*(B19/B$57)</f>
        <v>653.28467231794411</v>
      </c>
      <c r="E19" s="520">
        <f t="shared" si="0"/>
        <v>2735.3009473957645</v>
      </c>
      <c r="F19" s="448">
        <f t="shared" si="1"/>
        <v>217.64639270580437</v>
      </c>
      <c r="G19" s="457">
        <f>W31_PG_4_of_4!$E$20*(B19/B$57)</f>
        <v>2134.066681954766</v>
      </c>
      <c r="H19" s="443">
        <f>(W31_PG_4_of_4!$E$34*0.5)*(B19/B$57)</f>
        <v>669.61678912589275</v>
      </c>
      <c r="I19" s="520">
        <f t="shared" si="2"/>
        <v>2803.6834710806588</v>
      </c>
      <c r="J19" s="448">
        <f t="shared" si="3"/>
        <v>68.382523684894295</v>
      </c>
      <c r="K19" s="536">
        <f t="shared" si="4"/>
        <v>286.02891639069867</v>
      </c>
    </row>
    <row r="20" spans="1:11" ht="12.75" customHeight="1">
      <c r="A20" s="538" t="s">
        <v>893</v>
      </c>
      <c r="B20" s="537">
        <f>W31_PG_3_of_4!B23</f>
        <v>1195313.5386211236</v>
      </c>
      <c r="C20" s="457">
        <f>W31_PG_4_of_4!$B$20*(B20/B$57)</f>
        <v>988484.39576195541</v>
      </c>
      <c r="D20" s="443">
        <f>(W31_PG_4_of_4!$B$34*0.5)*(B20/B$57)</f>
        <v>310161.69868922525</v>
      </c>
      <c r="E20" s="520">
        <f t="shared" si="0"/>
        <v>1298646.0944511807</v>
      </c>
      <c r="F20" s="448">
        <f t="shared" si="1"/>
        <v>103332.55583005701</v>
      </c>
      <c r="G20" s="457">
        <f>W31_PG_4_of_4!$E$20*(B20/B$57)</f>
        <v>1013196.5056560042</v>
      </c>
      <c r="H20" s="443">
        <f>(W31_PG_4_of_4!$E$34*0.5)*(B20/B$57)</f>
        <v>317915.74115645583</v>
      </c>
      <c r="I20" s="520">
        <f t="shared" si="2"/>
        <v>1331112.24681246</v>
      </c>
      <c r="J20" s="448">
        <f t="shared" si="3"/>
        <v>32466.152361279353</v>
      </c>
      <c r="K20" s="536">
        <f t="shared" si="4"/>
        <v>135798.70819133637</v>
      </c>
    </row>
    <row r="21" spans="1:11" ht="12.75" customHeight="1">
      <c r="A21" s="538" t="s">
        <v>891</v>
      </c>
      <c r="B21" s="537">
        <f>W31_PG_3_of_4!B24</f>
        <v>2177193.3605193025</v>
      </c>
      <c r="C21" s="457">
        <f>W31_PG_4_of_4!$B$20*(B21/B$57)</f>
        <v>1800466.2324100204</v>
      </c>
      <c r="D21" s="443">
        <f>(W31_PG_4_of_4!$B$34*0.5)*(B21/B$57)</f>
        <v>564941.30556954443</v>
      </c>
      <c r="E21" s="520">
        <f t="shared" si="0"/>
        <v>2365407.5379795646</v>
      </c>
      <c r="F21" s="448">
        <f t="shared" si="1"/>
        <v>188214.17746026209</v>
      </c>
      <c r="G21" s="457">
        <f>W31_PG_4_of_4!$E$20*(B21/B$57)</f>
        <v>1845477.8882202709</v>
      </c>
      <c r="H21" s="443">
        <f>(W31_PG_4_of_4!$E$34*0.5)*(B21/B$57)</f>
        <v>579064.83820878295</v>
      </c>
      <c r="I21" s="520">
        <f t="shared" si="2"/>
        <v>2424542.7264290536</v>
      </c>
      <c r="J21" s="448">
        <f t="shared" si="3"/>
        <v>59135.188449488953</v>
      </c>
      <c r="K21" s="536">
        <f t="shared" si="4"/>
        <v>247349.36590975104</v>
      </c>
    </row>
    <row r="22" spans="1:11" ht="12.75" customHeight="1">
      <c r="A22" s="538" t="s">
        <v>889</v>
      </c>
      <c r="B22" s="537">
        <f>W31_PG_3_of_4!B25</f>
        <v>1305890.4646074923</v>
      </c>
      <c r="C22" s="457">
        <f>W31_PG_4_of_4!$B$20*(B22/B$57)</f>
        <v>1079927.8223920423</v>
      </c>
      <c r="D22" s="443">
        <f>(W31_PG_4_of_4!$B$34*0.5)*(B22/B$57)</f>
        <v>338854.36056547944</v>
      </c>
      <c r="E22" s="520">
        <f t="shared" si="0"/>
        <v>1418782.1829575216</v>
      </c>
      <c r="F22" s="448">
        <f t="shared" si="1"/>
        <v>112891.71835002932</v>
      </c>
      <c r="G22" s="457">
        <f>W31_PG_4_of_4!$E$20*(B22/B$57)</f>
        <v>1106926.0179518431</v>
      </c>
      <c r="H22" s="443">
        <f>(W31_PG_4_of_4!$E$34*0.5)*(B22/B$57)</f>
        <v>347325.71957961645</v>
      </c>
      <c r="I22" s="520">
        <f t="shared" si="2"/>
        <v>1454251.7375314594</v>
      </c>
      <c r="J22" s="448">
        <f t="shared" si="3"/>
        <v>35469.554573937785</v>
      </c>
      <c r="K22" s="536">
        <f t="shared" si="4"/>
        <v>148361.2729239671</v>
      </c>
    </row>
    <row r="23" spans="1:11" ht="12.75" customHeight="1">
      <c r="A23" s="538" t="s">
        <v>887</v>
      </c>
      <c r="B23" s="537">
        <f>W31_PG_3_of_4!B26</f>
        <v>46965.216052925687</v>
      </c>
      <c r="C23" s="457">
        <f>W31_PG_4_of_4!$B$20*(B23/B$57)</f>
        <v>38838.66593317403</v>
      </c>
      <c r="D23" s="443">
        <f>(W31_PG_4_of_4!$B$34*0.5)*(B23/B$57)</f>
        <v>12186.602694290335</v>
      </c>
      <c r="E23" s="520">
        <f t="shared" si="0"/>
        <v>51025.268627464364</v>
      </c>
      <c r="F23" s="448">
        <f t="shared" si="1"/>
        <v>4060.0525745386767</v>
      </c>
      <c r="G23" s="457">
        <f>W31_PG_4_of_4!$E$20*(B23/B$57)</f>
        <v>39809.632581503378</v>
      </c>
      <c r="H23" s="443">
        <f>(W31_PG_4_of_4!$E$34*0.5)*(B23/B$57)</f>
        <v>12491.267761647594</v>
      </c>
      <c r="I23" s="520">
        <f t="shared" si="2"/>
        <v>52300.90034315097</v>
      </c>
      <c r="J23" s="448">
        <f t="shared" si="3"/>
        <v>1275.6317156866062</v>
      </c>
      <c r="K23" s="536">
        <f t="shared" si="4"/>
        <v>5335.6842902252829</v>
      </c>
    </row>
    <row r="24" spans="1:11" ht="12.75" customHeight="1">
      <c r="A24" s="538" t="s">
        <v>885</v>
      </c>
      <c r="B24" s="537">
        <f>W31_PG_3_of_4!B27</f>
        <v>1307134.1338929443</v>
      </c>
      <c r="C24" s="457">
        <f>W31_PG_4_of_4!$B$20*(B24/B$57)</f>
        <v>1080956.2953762736</v>
      </c>
      <c r="D24" s="443">
        <f>(W31_PG_4_of_4!$B$34*0.5)*(B24/B$57)</f>
        <v>339177.06968381541</v>
      </c>
      <c r="E24" s="520">
        <f t="shared" si="0"/>
        <v>1420133.3650600889</v>
      </c>
      <c r="F24" s="448">
        <f t="shared" si="1"/>
        <v>112999.23116714461</v>
      </c>
      <c r="G24" s="457">
        <f>W31_PG_4_of_4!$E$20*(B24/B$57)</f>
        <v>1107980.2027606803</v>
      </c>
      <c r="H24" s="443">
        <f>(W31_PG_4_of_4!$E$34*0.5)*(B24/B$57)</f>
        <v>347656.49642591074</v>
      </c>
      <c r="I24" s="520">
        <f t="shared" si="2"/>
        <v>1455636.699186591</v>
      </c>
      <c r="J24" s="448">
        <f t="shared" si="3"/>
        <v>35503.334126502043</v>
      </c>
      <c r="K24" s="536">
        <f t="shared" si="4"/>
        <v>148502.56529364665</v>
      </c>
    </row>
    <row r="25" spans="1:11" ht="12.75" customHeight="1">
      <c r="A25" s="538" t="s">
        <v>884</v>
      </c>
      <c r="B25" s="537">
        <f>W31_PG_3_of_4!B28</f>
        <v>1025018.5906448347</v>
      </c>
      <c r="C25" s="457">
        <f>W31_PG_4_of_4!$B$20*(B25/B$57)</f>
        <v>847656.15838932409</v>
      </c>
      <c r="D25" s="443">
        <f>(W31_PG_4_of_4!$B$34*0.5)*(B25/B$57)</f>
        <v>265973.31745207356</v>
      </c>
      <c r="E25" s="520">
        <f t="shared" si="0"/>
        <v>1113629.4758413977</v>
      </c>
      <c r="F25" s="448">
        <f t="shared" si="1"/>
        <v>88610.885196562973</v>
      </c>
      <c r="G25" s="457">
        <f>W31_PG_4_of_4!$E$20*(B25/B$57)</f>
        <v>868847.56234905706</v>
      </c>
      <c r="H25" s="443">
        <f>(W31_PG_4_of_4!$E$34*0.5)*(B25/B$57)</f>
        <v>272622.65038837539</v>
      </c>
      <c r="I25" s="520">
        <f t="shared" si="2"/>
        <v>1141470.2127374324</v>
      </c>
      <c r="J25" s="448">
        <f t="shared" si="3"/>
        <v>27840.736896034796</v>
      </c>
      <c r="K25" s="536">
        <f t="shared" si="4"/>
        <v>116451.62209259777</v>
      </c>
    </row>
    <row r="26" spans="1:11" ht="12.75" customHeight="1">
      <c r="A26" s="538" t="s">
        <v>883</v>
      </c>
      <c r="B26" s="537">
        <f>W31_PG_3_of_4!B29</f>
        <v>117693.71642230546</v>
      </c>
      <c r="C26" s="457">
        <f>W31_PG_4_of_4!$B$20*(B26/B$57)</f>
        <v>97328.774755522216</v>
      </c>
      <c r="D26" s="443">
        <f>(W31_PG_4_of_4!$B$34*0.5)*(B26/B$57)</f>
        <v>30539.337028425358</v>
      </c>
      <c r="E26" s="520">
        <f t="shared" si="0"/>
        <v>127868.11178394758</v>
      </c>
      <c r="F26" s="448">
        <f t="shared" si="1"/>
        <v>10174.39536164212</v>
      </c>
      <c r="G26" s="457">
        <f>W31_PG_4_of_4!$E$20*(B26/B$57)</f>
        <v>99761.994124410252</v>
      </c>
      <c r="H26" s="443">
        <f>(W31_PG_4_of_4!$E$34*0.5)*(B26/B$57)</f>
        <v>31302.820454135988</v>
      </c>
      <c r="I26" s="520">
        <f t="shared" si="2"/>
        <v>131064.81457854624</v>
      </c>
      <c r="J26" s="448">
        <f t="shared" si="3"/>
        <v>3196.7027945986629</v>
      </c>
      <c r="K26" s="536">
        <f t="shared" si="4"/>
        <v>13371.098156240783</v>
      </c>
    </row>
    <row r="27" spans="1:11" ht="12.75" customHeight="1">
      <c r="A27" s="538" t="s">
        <v>882</v>
      </c>
      <c r="B27" s="537">
        <f>W31_PG_3_of_4!B30</f>
        <v>1411551.5162281974</v>
      </c>
      <c r="C27" s="457">
        <f>W31_PG_4_of_4!$B$20*(B27/B$57)</f>
        <v>1167305.9850181837</v>
      </c>
      <c r="D27" s="443">
        <f>(W31_PG_4_of_4!$B$34*0.5)*(B27/B$57)</f>
        <v>366271.44419842528</v>
      </c>
      <c r="E27" s="520">
        <f t="shared" si="0"/>
        <v>1533577.4292166089</v>
      </c>
      <c r="F27" s="448">
        <f t="shared" si="1"/>
        <v>122025.9129884115</v>
      </c>
      <c r="G27" s="457">
        <f>W31_PG_4_of_4!$E$20*(B27/B$57)</f>
        <v>1196488.6346436383</v>
      </c>
      <c r="H27" s="443">
        <f>(W31_PG_4_of_4!$E$34*0.5)*(B27/B$57)</f>
        <v>375428.23030338588</v>
      </c>
      <c r="I27" s="520">
        <f t="shared" si="2"/>
        <v>1571916.8649470243</v>
      </c>
      <c r="J27" s="448">
        <f t="shared" si="3"/>
        <v>38339.435730415396</v>
      </c>
      <c r="K27" s="536">
        <f t="shared" si="4"/>
        <v>160365.34871882689</v>
      </c>
    </row>
    <row r="28" spans="1:11" ht="12.75" customHeight="1">
      <c r="A28" s="538" t="s">
        <v>881</v>
      </c>
      <c r="B28" s="537">
        <f>W31_PG_3_of_4!B31</f>
        <v>598235.17641596065</v>
      </c>
      <c r="C28" s="457">
        <f>W31_PG_4_of_4!$B$20*(B28/B$57)</f>
        <v>494720.52124937536</v>
      </c>
      <c r="D28" s="443">
        <f>(W31_PG_4_of_4!$B$34*0.5)*(B28/B$57)</f>
        <v>155230.93526311679</v>
      </c>
      <c r="E28" s="520">
        <f t="shared" si="0"/>
        <v>649951.45651249215</v>
      </c>
      <c r="F28" s="448">
        <f t="shared" si="1"/>
        <v>51716.280096531496</v>
      </c>
      <c r="G28" s="457">
        <f>W31_PG_4_of_4!$E$20*(B28/B$57)</f>
        <v>507088.53428060969</v>
      </c>
      <c r="H28" s="443">
        <f>(W31_PG_4_of_4!$E$34*0.5)*(B28/B$57)</f>
        <v>159111.70864469468</v>
      </c>
      <c r="I28" s="520">
        <f t="shared" si="2"/>
        <v>666200.24292530434</v>
      </c>
      <c r="J28" s="448">
        <f t="shared" si="3"/>
        <v>16248.786412812187</v>
      </c>
      <c r="K28" s="536">
        <f t="shared" si="4"/>
        <v>67965.066509343684</v>
      </c>
    </row>
    <row r="29" spans="1:11" ht="12.75" customHeight="1">
      <c r="A29" s="538" t="s">
        <v>880</v>
      </c>
      <c r="B29" s="537">
        <f>W31_PG_3_of_4!B32</f>
        <v>109934.19923825125</v>
      </c>
      <c r="C29" s="457">
        <f>W31_PG_4_of_4!$B$20*(B29/B$57)</f>
        <v>90911.913064210341</v>
      </c>
      <c r="D29" s="443">
        <f>(W31_PG_4_of_4!$B$34*0.5)*(B29/B$57)</f>
        <v>28525.886203137474</v>
      </c>
      <c r="E29" s="520">
        <f t="shared" si="0"/>
        <v>119437.79926734781</v>
      </c>
      <c r="F29" s="448">
        <f t="shared" si="1"/>
        <v>9503.6000290965603</v>
      </c>
      <c r="G29" s="457">
        <f>W31_PG_4_of_4!$E$20*(B29/B$57)</f>
        <v>93184.710890815593</v>
      </c>
      <c r="H29" s="443">
        <f>(W31_PG_4_of_4!$E$34*0.5)*(B29/B$57)</f>
        <v>29239.033358215907</v>
      </c>
      <c r="I29" s="520">
        <f t="shared" si="2"/>
        <v>122423.7442490315</v>
      </c>
      <c r="J29" s="448">
        <f t="shared" si="3"/>
        <v>2985.9449816836859</v>
      </c>
      <c r="K29" s="536">
        <f t="shared" si="4"/>
        <v>12489.545010780246</v>
      </c>
    </row>
    <row r="30" spans="1:11" ht="12.75" customHeight="1">
      <c r="A30" s="538" t="s">
        <v>879</v>
      </c>
      <c r="B30" s="537">
        <f>W31_PG_3_of_4!B33</f>
        <v>-9252.6541600590481</v>
      </c>
      <c r="C30" s="457">
        <f>W31_PG_4_of_4!$B$20*(B30/B$57)</f>
        <v>-7651.6361281668178</v>
      </c>
      <c r="D30" s="443">
        <f>(W31_PG_4_of_4!$B$34*0.5)*(B30/B$57)</f>
        <v>-2400.8921834670882</v>
      </c>
      <c r="E30" s="520">
        <f t="shared" si="0"/>
        <v>-10052.528311633905</v>
      </c>
      <c r="F30" s="448">
        <f t="shared" si="1"/>
        <v>-799.87415157485702</v>
      </c>
      <c r="G30" s="457">
        <f>W31_PG_4_of_4!$E$20*(B30/B$57)</f>
        <v>-7842.9270313709876</v>
      </c>
      <c r="H30" s="443">
        <f>(W31_PG_4_of_4!$E$34*0.5)*(B30/B$57)</f>
        <v>-2460.9144880537651</v>
      </c>
      <c r="I30" s="520">
        <f t="shared" si="2"/>
        <v>-10303.841519424754</v>
      </c>
      <c r="J30" s="448">
        <f t="shared" si="3"/>
        <v>-251.31320779084854</v>
      </c>
      <c r="K30" s="536">
        <f t="shared" si="4"/>
        <v>-1051.1873593657056</v>
      </c>
    </row>
    <row r="31" spans="1:11" ht="12.75" customHeight="1">
      <c r="A31" s="538" t="s">
        <v>878</v>
      </c>
      <c r="B31" s="537">
        <f>W31_PG_3_of_4!B34</f>
        <v>37089.537790657982</v>
      </c>
      <c r="C31" s="457">
        <f>W31_PG_4_of_4!$B$20*(B31/B$57)</f>
        <v>30671.809669604678</v>
      </c>
      <c r="D31" s="443">
        <f>(W31_PG_4_of_4!$B$34*0.5)*(B31/B$57)</f>
        <v>9624.0473089755724</v>
      </c>
      <c r="E31" s="520">
        <f t="shared" si="0"/>
        <v>40295.856978580254</v>
      </c>
      <c r="F31" s="448">
        <f t="shared" si="1"/>
        <v>3206.3191879222722</v>
      </c>
      <c r="G31" s="457">
        <f>W31_PG_4_of_4!$E$20*(B31/B$57)</f>
        <v>31438.604911344792</v>
      </c>
      <c r="H31" s="443">
        <f>(W31_PG_4_of_4!$E$34*0.5)*(B31/B$57)</f>
        <v>9864.6484916999598</v>
      </c>
      <c r="I31" s="520">
        <f t="shared" si="2"/>
        <v>41303.25340304475</v>
      </c>
      <c r="J31" s="448">
        <f t="shared" si="3"/>
        <v>1007.3964244644958</v>
      </c>
      <c r="K31" s="536">
        <f t="shared" si="4"/>
        <v>4213.715612386768</v>
      </c>
    </row>
    <row r="32" spans="1:11" ht="12.75" customHeight="1">
      <c r="A32" s="538" t="s">
        <v>877</v>
      </c>
      <c r="B32" s="537">
        <f>W31_PG_3_of_4!B35</f>
        <v>1303.6863831527965</v>
      </c>
      <c r="C32" s="457">
        <f>W31_PG_4_of_4!$B$20*(B32/B$57)</f>
        <v>1078.1051206032978</v>
      </c>
      <c r="D32" s="443">
        <f>(W31_PG_4_of_4!$B$34*0.5)*(B32/B$57)</f>
        <v>338.28244229805438</v>
      </c>
      <c r="E32" s="520">
        <f t="shared" si="0"/>
        <v>1416.3875629013521</v>
      </c>
      <c r="F32" s="448">
        <f t="shared" si="1"/>
        <v>112.70117974855566</v>
      </c>
      <c r="G32" s="457">
        <f>W31_PG_4_of_4!$E$20*(B32/B$57)</f>
        <v>1105.0577486183802</v>
      </c>
      <c r="H32" s="443">
        <f>(W31_PG_4_of_4!$E$34*0.5)*(B32/B$57)</f>
        <v>346.73950335550575</v>
      </c>
      <c r="I32" s="520">
        <f t="shared" si="2"/>
        <v>1451.797251973886</v>
      </c>
      <c r="J32" s="448">
        <f t="shared" si="3"/>
        <v>35.409689072533865</v>
      </c>
      <c r="K32" s="536">
        <f t="shared" si="4"/>
        <v>148.11086882108953</v>
      </c>
    </row>
    <row r="33" spans="1:11" ht="12.75" customHeight="1">
      <c r="A33" s="538" t="s">
        <v>876</v>
      </c>
      <c r="B33" s="537">
        <f>W31_PG_3_of_4!B36</f>
        <v>176958.21608059271</v>
      </c>
      <c r="C33" s="457">
        <f>W31_PG_4_of_4!$B$20*(B33/B$57)</f>
        <v>146338.53766880362</v>
      </c>
      <c r="D33" s="443">
        <f>(W31_PG_4_of_4!$B$34*0.5)*(B33/B$57)</f>
        <v>45917.375753884626</v>
      </c>
      <c r="E33" s="520">
        <f t="shared" si="0"/>
        <v>192255.91342268826</v>
      </c>
      <c r="F33" s="448">
        <f t="shared" si="1"/>
        <v>15297.697342095547</v>
      </c>
      <c r="G33" s="457">
        <f>W31_PG_4_of_4!$E$20*(B33/B$57)</f>
        <v>149997.00111052371</v>
      </c>
      <c r="H33" s="443">
        <f>(W31_PG_4_of_4!$E$34*0.5)*(B33/B$57)</f>
        <v>47065.310147731732</v>
      </c>
      <c r="I33" s="520">
        <f t="shared" si="2"/>
        <v>197062.31125825545</v>
      </c>
      <c r="J33" s="448">
        <f t="shared" si="3"/>
        <v>4806.3978355671861</v>
      </c>
      <c r="K33" s="536">
        <f t="shared" si="4"/>
        <v>20104.095177662733</v>
      </c>
    </row>
    <row r="34" spans="1:11" ht="12.75" customHeight="1">
      <c r="A34" s="538" t="s">
        <v>875</v>
      </c>
      <c r="B34" s="537">
        <f>W31_PG_3_of_4!B37</f>
        <v>-25004.846914651891</v>
      </c>
      <c r="C34" s="457">
        <f>W31_PG_4_of_4!$B$20*(B34/B$57)</f>
        <v>-20678.173713369393</v>
      </c>
      <c r="D34" s="443">
        <f>(W31_PG_4_of_4!$B$34*0.5)*(B34/B$57)</f>
        <v>-6488.2941119022371</v>
      </c>
      <c r="E34" s="520">
        <f t="shared" si="0"/>
        <v>-27166.467825271629</v>
      </c>
      <c r="F34" s="448">
        <f t="shared" si="1"/>
        <v>-2161.6209106197384</v>
      </c>
      <c r="G34" s="457">
        <f>W31_PG_4_of_4!$E$20*(B34/B$57)</f>
        <v>-21195.128056203626</v>
      </c>
      <c r="H34" s="443">
        <f>(W31_PG_4_of_4!$E$34*0.5)*(B34/B$57)</f>
        <v>-6650.5014646997925</v>
      </c>
      <c r="I34" s="520">
        <f t="shared" si="2"/>
        <v>-27845.629520903418</v>
      </c>
      <c r="J34" s="448">
        <f t="shared" si="3"/>
        <v>-679.16169563178846</v>
      </c>
      <c r="K34" s="536">
        <f t="shared" si="4"/>
        <v>-2840.7826062515269</v>
      </c>
    </row>
    <row r="35" spans="1:11" ht="12.75" customHeight="1">
      <c r="A35" s="538" t="s">
        <v>874</v>
      </c>
      <c r="B35" s="537">
        <f>W31_PG_3_of_4!B38</f>
        <v>641.60058237322994</v>
      </c>
      <c r="C35" s="457">
        <f>W31_PG_4_of_4!$B$20*(B35/B$57)</f>
        <v>530.58226439845089</v>
      </c>
      <c r="D35" s="443">
        <f>(W31_PG_4_of_4!$B$34*0.5)*(B35/B$57)</f>
        <v>166.48345398851356</v>
      </c>
      <c r="E35" s="520">
        <f t="shared" si="0"/>
        <v>697.06571838696448</v>
      </c>
      <c r="F35" s="448">
        <f t="shared" si="1"/>
        <v>55.465136013734536</v>
      </c>
      <c r="G35" s="457">
        <f>W31_PG_4_of_4!$E$20*(B35/B$57)</f>
        <v>543.84682100841212</v>
      </c>
      <c r="H35" s="443">
        <f>(W31_PG_4_of_4!$E$34*0.5)*(B35/B$57)</f>
        <v>170.6455403382264</v>
      </c>
      <c r="I35" s="520">
        <f t="shared" si="2"/>
        <v>714.49236134663852</v>
      </c>
      <c r="J35" s="448">
        <f t="shared" si="3"/>
        <v>17.426642959674041</v>
      </c>
      <c r="K35" s="536">
        <f t="shared" si="4"/>
        <v>72.891778973408577</v>
      </c>
    </row>
    <row r="36" spans="1:11" ht="12.75" customHeight="1">
      <c r="A36" s="538" t="s">
        <v>873</v>
      </c>
      <c r="B36" s="537">
        <f>W31_PG_3_of_4!B39</f>
        <v>3438.5014825960402</v>
      </c>
      <c r="C36" s="457">
        <f>W31_PG_4_of_4!$B$20*(B36/B$57)</f>
        <v>2843.5259457291895</v>
      </c>
      <c r="D36" s="443">
        <f>(W31_PG_4_of_4!$B$34*0.5)*(B36/B$57)</f>
        <v>892.22737493434443</v>
      </c>
      <c r="E36" s="520">
        <f t="shared" si="0"/>
        <v>3735.7533206635339</v>
      </c>
      <c r="F36" s="448">
        <f t="shared" si="1"/>
        <v>297.25183806749374</v>
      </c>
      <c r="G36" s="457">
        <f>W31_PG_4_of_4!$E$20*(B36/B$57)</f>
        <v>2914.614094372419</v>
      </c>
      <c r="H36" s="443">
        <f>(W31_PG_4_of_4!$E$34*0.5)*(B36/B$57)</f>
        <v>914.53305930770296</v>
      </c>
      <c r="I36" s="520">
        <f t="shared" si="2"/>
        <v>3829.1471536801218</v>
      </c>
      <c r="J36" s="448">
        <f t="shared" si="3"/>
        <v>93.393833016587905</v>
      </c>
      <c r="K36" s="536">
        <f t="shared" si="4"/>
        <v>390.64567108408164</v>
      </c>
    </row>
    <row r="37" spans="1:11" ht="12.75" customHeight="1">
      <c r="A37" s="538" t="s">
        <v>872</v>
      </c>
      <c r="B37" s="537">
        <f>W31_PG_3_of_4!B40</f>
        <v>808355.72521534807</v>
      </c>
      <c r="C37" s="457">
        <f>W31_PG_4_of_4!$B$20*(B37/B$57)</f>
        <v>668483.20108711091</v>
      </c>
      <c r="D37" s="443">
        <f>(W31_PG_4_of_4!$B$34*0.5)*(B37/B$57)</f>
        <v>209753.32143161102</v>
      </c>
      <c r="E37" s="520">
        <f t="shared" si="0"/>
        <v>878236.52251872187</v>
      </c>
      <c r="F37" s="448">
        <f t="shared" si="1"/>
        <v>69880.797303373809</v>
      </c>
      <c r="G37" s="457">
        <f>W31_PG_4_of_4!$E$20*(B37/B$57)</f>
        <v>685195.28111428861</v>
      </c>
      <c r="H37" s="443">
        <f>(W31_PG_4_of_4!$E$34*0.5)*(B37/B$57)</f>
        <v>214997.15446740127</v>
      </c>
      <c r="I37" s="520">
        <f t="shared" si="2"/>
        <v>900192.43558168993</v>
      </c>
      <c r="J37" s="448">
        <f t="shared" si="3"/>
        <v>21955.913062968059</v>
      </c>
      <c r="K37" s="536">
        <f t="shared" si="4"/>
        <v>91836.710366341867</v>
      </c>
    </row>
    <row r="38" spans="1:11" ht="12.75" customHeight="1">
      <c r="A38" s="538" t="s">
        <v>871</v>
      </c>
      <c r="B38" s="537">
        <f>W31_PG_3_of_4!B41</f>
        <v>113511.92045171779</v>
      </c>
      <c r="C38" s="457">
        <f>W31_PG_4_of_4!$B$20*(B38/B$57)</f>
        <v>93870.569080085304</v>
      </c>
      <c r="D38" s="443">
        <f>(W31_PG_4_of_4!$B$34*0.5)*(B38/B$57)</f>
        <v>29454.238516694746</v>
      </c>
      <c r="E38" s="520">
        <f t="shared" si="0"/>
        <v>123324.80759678005</v>
      </c>
      <c r="F38" s="448">
        <f t="shared" si="1"/>
        <v>9812.8871450622682</v>
      </c>
      <c r="G38" s="457">
        <f>W31_PG_4_of_4!$E$20*(B38/B$57)</f>
        <v>96217.333307087436</v>
      </c>
      <c r="H38" s="443">
        <f>(W31_PG_4_of_4!$E$34*0.5)*(B38/B$57)</f>
        <v>30190.594479612115</v>
      </c>
      <c r="I38" s="520">
        <f t="shared" si="2"/>
        <v>126407.92778669955</v>
      </c>
      <c r="J38" s="448">
        <f t="shared" si="3"/>
        <v>3083.1201899195003</v>
      </c>
      <c r="K38" s="536">
        <f t="shared" si="4"/>
        <v>12896.007334981769</v>
      </c>
    </row>
    <row r="39" spans="1:11" ht="12.75" customHeight="1">
      <c r="A39" s="538" t="s">
        <v>870</v>
      </c>
      <c r="B39" s="537">
        <f>W31_PG_3_of_4!B42</f>
        <v>1919171.5472221782</v>
      </c>
      <c r="C39" s="457">
        <f>W31_PG_4_of_4!$B$20*(B39/B$57)</f>
        <v>1587090.8058214197</v>
      </c>
      <c r="D39" s="443">
        <f>(W31_PG_4_of_4!$B$34*0.5)*(B39/B$57)</f>
        <v>497989.42949238681</v>
      </c>
      <c r="E39" s="520">
        <f t="shared" si="0"/>
        <v>2085080.2353138064</v>
      </c>
      <c r="F39" s="448">
        <f t="shared" si="1"/>
        <v>165908.68809162825</v>
      </c>
      <c r="G39" s="457">
        <f>W31_PG_4_of_4!$E$20*(B39/B$57)</f>
        <v>1626768.0759669552</v>
      </c>
      <c r="H39" s="443">
        <f>(W31_PG_4_of_4!$E$34*0.5)*(B39/B$57)</f>
        <v>510439.16522969643</v>
      </c>
      <c r="I39" s="520">
        <f t="shared" si="2"/>
        <v>2137207.2411966515</v>
      </c>
      <c r="J39" s="448">
        <f t="shared" si="3"/>
        <v>52127.005882845027</v>
      </c>
      <c r="K39" s="536">
        <f t="shared" si="4"/>
        <v>218035.69397447328</v>
      </c>
    </row>
    <row r="40" spans="1:11" ht="12.75" customHeight="1">
      <c r="A40" s="538" t="s">
        <v>869</v>
      </c>
      <c r="B40" s="537">
        <f>W31_PG_3_of_4!B43</f>
        <v>21200.874093562219</v>
      </c>
      <c r="C40" s="457">
        <f>W31_PG_4_of_4!$B$20*(B40/B$57)</f>
        <v>17532.415170479184</v>
      </c>
      <c r="D40" s="443">
        <f>(W31_PG_4_of_4!$B$34*0.5)*(B40/B$57)</f>
        <v>5501.2337015283592</v>
      </c>
      <c r="E40" s="520">
        <f t="shared" ref="E40:E56" si="5">C40+D40</f>
        <v>23033.648872007543</v>
      </c>
      <c r="F40" s="448">
        <f t="shared" ref="F40:F56" si="6">E40-B40</f>
        <v>1832.774778445324</v>
      </c>
      <c r="G40" s="457">
        <f>W31_PG_4_of_4!$E$20*(B40/B$57)</f>
        <v>17970.725549741161</v>
      </c>
      <c r="H40" s="443">
        <f>(W31_PG_4_of_4!$E$34*0.5)*(B40/B$57)</f>
        <v>5638.7645440665683</v>
      </c>
      <c r="I40" s="520">
        <f t="shared" ref="I40:I56" si="7">G40+H40</f>
        <v>23609.49009380773</v>
      </c>
      <c r="J40" s="448">
        <f t="shared" ref="J40:J56" si="8">I40-E40</f>
        <v>575.84122180018676</v>
      </c>
      <c r="K40" s="536">
        <f t="shared" ref="K40:K56" si="9">I40-B40</f>
        <v>2408.6160002455108</v>
      </c>
    </row>
    <row r="41" spans="1:11" ht="12.75" customHeight="1">
      <c r="A41" s="538" t="s">
        <v>868</v>
      </c>
      <c r="B41" s="537">
        <f>W31_PG_3_of_4!B44</f>
        <v>1081.6045367452839</v>
      </c>
      <c r="C41" s="457">
        <f>W31_PG_4_of_4!$B$20*(B41/B$57)</f>
        <v>894.45084692288253</v>
      </c>
      <c r="D41" s="443">
        <f>(W31_PG_4_of_4!$B$34*0.5)*(B41/B$57)</f>
        <v>280.65632119743259</v>
      </c>
      <c r="E41" s="520">
        <f t="shared" si="5"/>
        <v>1175.1071681203152</v>
      </c>
      <c r="F41" s="448">
        <f t="shared" si="6"/>
        <v>93.502631375031342</v>
      </c>
      <c r="G41" s="457">
        <f>W31_PG_4_of_4!$E$20*(B41/B$57)</f>
        <v>916.81211809595459</v>
      </c>
      <c r="H41" s="443">
        <f>(W31_PG_4_of_4!$E$34*0.5)*(B41/B$57)</f>
        <v>287.67272922736839</v>
      </c>
      <c r="I41" s="520">
        <f t="shared" si="7"/>
        <v>1204.484847323323</v>
      </c>
      <c r="J41" s="448">
        <f t="shared" si="8"/>
        <v>29.377679203007801</v>
      </c>
      <c r="K41" s="536">
        <f t="shared" si="9"/>
        <v>122.88031057803914</v>
      </c>
    </row>
    <row r="42" spans="1:11" ht="12.75" customHeight="1">
      <c r="A42" s="538" t="s">
        <v>867</v>
      </c>
      <c r="B42" s="537">
        <f>W31_PG_3_of_4!B45</f>
        <v>2972769.0176482289</v>
      </c>
      <c r="C42" s="457">
        <f>W31_PG_4_of_4!$B$20*(B42/B$57)</f>
        <v>2458380.7438002205</v>
      </c>
      <c r="D42" s="443">
        <f>(W31_PG_4_of_4!$B$34*0.5)*(B42/B$57)</f>
        <v>771378.43631229142</v>
      </c>
      <c r="E42" s="520">
        <f t="shared" si="5"/>
        <v>3229759.1801125119</v>
      </c>
      <c r="F42" s="448">
        <f t="shared" si="6"/>
        <v>256990.16246428294</v>
      </c>
      <c r="G42" s="457">
        <f>W31_PG_4_of_4!$E$20*(B42/B$57)</f>
        <v>2519840.2623952259</v>
      </c>
      <c r="H42" s="443">
        <f>(W31_PG_4_of_4!$E$34*0.5)*(B42/B$57)</f>
        <v>790662.89722009865</v>
      </c>
      <c r="I42" s="520">
        <f t="shared" si="7"/>
        <v>3310503.1596153248</v>
      </c>
      <c r="J42" s="448">
        <f t="shared" si="8"/>
        <v>80743.979502812959</v>
      </c>
      <c r="K42" s="536">
        <f t="shared" si="9"/>
        <v>337734.1419670959</v>
      </c>
    </row>
    <row r="43" spans="1:11" ht="12.75" customHeight="1">
      <c r="A43" s="538" t="s">
        <v>866</v>
      </c>
      <c r="B43" s="537">
        <f>W31_PG_3_of_4!B46</f>
        <v>5924.6694342286964</v>
      </c>
      <c r="C43" s="457">
        <f>W31_PG_4_of_4!$B$20*(B43/B$57)</f>
        <v>4899.5038511307166</v>
      </c>
      <c r="D43" s="443">
        <f>(W31_PG_4_of_4!$B$34*0.5)*(B43/B$57)</f>
        <v>1537.3418576119432</v>
      </c>
      <c r="E43" s="520">
        <f t="shared" si="5"/>
        <v>6436.8457087426596</v>
      </c>
      <c r="F43" s="448">
        <f t="shared" si="6"/>
        <v>512.17627451396311</v>
      </c>
      <c r="G43" s="457">
        <f>W31_PG_4_of_4!$E$20*(B43/B$57)</f>
        <v>5021.9914474089837</v>
      </c>
      <c r="H43" s="443">
        <f>(W31_PG_4_of_4!$E$34*0.5)*(B43/B$57)</f>
        <v>1575.7754040522418</v>
      </c>
      <c r="I43" s="520">
        <f t="shared" si="7"/>
        <v>6597.7668514612251</v>
      </c>
      <c r="J43" s="448">
        <f t="shared" si="8"/>
        <v>160.92114271856553</v>
      </c>
      <c r="K43" s="536">
        <f t="shared" si="9"/>
        <v>673.09741723252864</v>
      </c>
    </row>
    <row r="44" spans="1:11" ht="12.75" customHeight="1">
      <c r="A44" s="538" t="s">
        <v>865</v>
      </c>
      <c r="B44" s="537">
        <f>W31_PG_3_of_4!B47</f>
        <v>2630.6465039060377</v>
      </c>
      <c r="C44" s="457">
        <f>W31_PG_4_of_4!$B$20*(B44/B$57)</f>
        <v>2175.4568453031548</v>
      </c>
      <c r="D44" s="443">
        <f>(W31_PG_4_of_4!$B$34*0.5)*(B44/B$57)</f>
        <v>682.60398794076639</v>
      </c>
      <c r="E44" s="520">
        <f t="shared" si="5"/>
        <v>2858.060833243921</v>
      </c>
      <c r="F44" s="448">
        <f t="shared" si="6"/>
        <v>227.41432933788337</v>
      </c>
      <c r="G44" s="457">
        <f>W31_PG_4_of_4!$E$20*(B44/B$57)</f>
        <v>2229.8432664357333</v>
      </c>
      <c r="H44" s="443">
        <f>(W31_PG_4_of_4!$E$34*0.5)*(B44/B$57)</f>
        <v>699.66908763928541</v>
      </c>
      <c r="I44" s="520">
        <f t="shared" si="7"/>
        <v>2929.5123540750187</v>
      </c>
      <c r="J44" s="448">
        <f t="shared" si="8"/>
        <v>71.451520831097696</v>
      </c>
      <c r="K44" s="536">
        <f t="shared" si="9"/>
        <v>298.86585016898107</v>
      </c>
    </row>
    <row r="45" spans="1:11" ht="12.75" customHeight="1">
      <c r="A45" s="538" t="s">
        <v>864</v>
      </c>
      <c r="B45" s="537">
        <f>W31_PG_3_of_4!B48</f>
        <v>3172.9273265553429</v>
      </c>
      <c r="C45" s="457">
        <f>W31_PG_4_of_4!$B$20*(B45/B$57)</f>
        <v>2623.9049837958796</v>
      </c>
      <c r="D45" s="443">
        <f>(W31_PG_4_of_4!$B$34*0.5)*(B45/B$57)</f>
        <v>823.31580595758828</v>
      </c>
      <c r="E45" s="520">
        <f t="shared" si="5"/>
        <v>3447.2207897534681</v>
      </c>
      <c r="F45" s="448">
        <f t="shared" si="6"/>
        <v>274.29346319812521</v>
      </c>
      <c r="G45" s="457">
        <f>W31_PG_4_of_4!$E$20*(B45/B$57)</f>
        <v>2689.5026083907765</v>
      </c>
      <c r="H45" s="443">
        <f>(W31_PG_4_of_4!$E$34*0.5)*(B45/B$57)</f>
        <v>843.89870110652794</v>
      </c>
      <c r="I45" s="520">
        <f t="shared" si="7"/>
        <v>3533.4013094973043</v>
      </c>
      <c r="J45" s="448">
        <f t="shared" si="8"/>
        <v>86.180519743836157</v>
      </c>
      <c r="K45" s="536">
        <f t="shared" si="9"/>
        <v>360.47398294196137</v>
      </c>
    </row>
    <row r="46" spans="1:11" ht="12.75" customHeight="1">
      <c r="A46" s="538" t="s">
        <v>863</v>
      </c>
      <c r="B46" s="537">
        <f>W31_PG_3_of_4!B49</f>
        <v>36025.463693979749</v>
      </c>
      <c r="C46" s="457">
        <f>W31_PG_4_of_4!$B$20*(B46/B$57)</f>
        <v>29791.855911434857</v>
      </c>
      <c r="D46" s="443">
        <f>(W31_PG_4_of_4!$B$34*0.5)*(B46/B$57)</f>
        <v>9347.9398119102916</v>
      </c>
      <c r="E46" s="520">
        <f t="shared" si="5"/>
        <v>39139.795723345145</v>
      </c>
      <c r="F46" s="448">
        <f t="shared" si="6"/>
        <v>3114.332029365396</v>
      </c>
      <c r="G46" s="457">
        <f>W31_PG_4_of_4!$E$20*(B46/B$57)</f>
        <v>30536.652309220724</v>
      </c>
      <c r="H46" s="443">
        <f>(W31_PG_4_of_4!$E$34*0.5)*(B46/B$57)</f>
        <v>9581.638307208048</v>
      </c>
      <c r="I46" s="520">
        <f t="shared" si="7"/>
        <v>40118.290616428771</v>
      </c>
      <c r="J46" s="448">
        <f t="shared" si="8"/>
        <v>978.49489308362536</v>
      </c>
      <c r="K46" s="536">
        <f t="shared" si="9"/>
        <v>4092.8269224490214</v>
      </c>
    </row>
    <row r="47" spans="1:11" ht="12.75" customHeight="1">
      <c r="A47" s="538" t="s">
        <v>862</v>
      </c>
      <c r="B47" s="537">
        <f>W31_PG_3_of_4!B50</f>
        <v>110.33749022040065</v>
      </c>
      <c r="C47" s="457">
        <f>W31_PG_4_of_4!$B$20*(B47/B$57)</f>
        <v>91.245421244219798</v>
      </c>
      <c r="D47" s="443">
        <f>(W31_PG_4_of_4!$B$34*0.5)*(B47/B$57)</f>
        <v>28.630532734819692</v>
      </c>
      <c r="E47" s="520">
        <f t="shared" si="5"/>
        <v>119.87595397903949</v>
      </c>
      <c r="F47" s="448">
        <f t="shared" si="6"/>
        <v>9.5384637586388408</v>
      </c>
      <c r="G47" s="457">
        <f>W31_PG_4_of_4!$E$20*(B47/B$57)</f>
        <v>93.526556775325275</v>
      </c>
      <c r="H47" s="443">
        <f>(W31_PG_4_of_4!$E$34*0.5)*(B47/B$57)</f>
        <v>29.346296053190184</v>
      </c>
      <c r="I47" s="520">
        <f t="shared" si="7"/>
        <v>122.87285282851546</v>
      </c>
      <c r="J47" s="448">
        <f t="shared" si="8"/>
        <v>2.9968988494759685</v>
      </c>
      <c r="K47" s="536">
        <f t="shared" si="9"/>
        <v>12.535362608114809</v>
      </c>
    </row>
    <row r="48" spans="1:11" ht="12.75" customHeight="1">
      <c r="A48" s="538" t="s">
        <v>861</v>
      </c>
      <c r="B48" s="537">
        <f>W31_PG_3_of_4!B51</f>
        <v>163636.30918530651</v>
      </c>
      <c r="C48" s="457">
        <f>W31_PG_4_of_4!$B$20*(B48/B$57)</f>
        <v>135321.76536404516</v>
      </c>
      <c r="D48" s="443">
        <f>(W31_PG_4_of_4!$B$34*0.5)*(B48/B$57)</f>
        <v>42460.587941384685</v>
      </c>
      <c r="E48" s="520">
        <f t="shared" si="5"/>
        <v>177782.35330542986</v>
      </c>
      <c r="F48" s="448">
        <f t="shared" si="6"/>
        <v>14146.044120123348</v>
      </c>
      <c r="G48" s="457">
        <f>W31_PG_4_of_4!$E$20*(B48/B$57)</f>
        <v>138704.80949814629</v>
      </c>
      <c r="H48" s="443">
        <f>(W31_PG_4_of_4!$E$34*0.5)*(B48/B$57)</f>
        <v>43522.1026399193</v>
      </c>
      <c r="I48" s="520">
        <f t="shared" si="7"/>
        <v>182226.91213806559</v>
      </c>
      <c r="J48" s="448">
        <f t="shared" si="8"/>
        <v>4444.5588326357247</v>
      </c>
      <c r="K48" s="536">
        <f t="shared" si="9"/>
        <v>18590.602952759073</v>
      </c>
    </row>
    <row r="49" spans="1:11" ht="12.75" customHeight="1">
      <c r="A49" s="538" t="s">
        <v>860</v>
      </c>
      <c r="B49" s="537">
        <f>W31_PG_3_of_4!B52</f>
        <v>458953.63921268616</v>
      </c>
      <c r="C49" s="457">
        <f>W31_PG_4_of_4!$B$20*(B49/B$57)</f>
        <v>379539.33932952891</v>
      </c>
      <c r="D49" s="443">
        <f>(W31_PG_4_of_4!$B$34*0.5)*(B49/B$57)</f>
        <v>119089.95904289588</v>
      </c>
      <c r="E49" s="520">
        <f t="shared" si="5"/>
        <v>498629.29837242479</v>
      </c>
      <c r="F49" s="448">
        <f t="shared" si="6"/>
        <v>39675.659159738629</v>
      </c>
      <c r="G49" s="457">
        <f>W31_PG_4_of_4!$E$20*(B49/B$57)</f>
        <v>389027.82281276706</v>
      </c>
      <c r="H49" s="443">
        <f>(W31_PG_4_of_4!$E$34*0.5)*(B49/B$57)</f>
        <v>122067.20801896826</v>
      </c>
      <c r="I49" s="520">
        <f t="shared" si="7"/>
        <v>511095.03083173535</v>
      </c>
      <c r="J49" s="448">
        <f t="shared" si="8"/>
        <v>12465.732459310559</v>
      </c>
      <c r="K49" s="536">
        <f t="shared" si="9"/>
        <v>52141.391619049187</v>
      </c>
    </row>
    <row r="50" spans="1:11" ht="12.75" customHeight="1">
      <c r="A50" s="538" t="s">
        <v>859</v>
      </c>
      <c r="B50" s="537">
        <f>W31_PG_3_of_4!B53</f>
        <v>13053.833089600279</v>
      </c>
      <c r="C50" s="457">
        <f>W31_PG_4_of_4!$B$20*(B50/B$57)</f>
        <v>10795.084216009165</v>
      </c>
      <c r="D50" s="443">
        <f>(W31_PG_4_of_4!$B$34*0.5)*(B50/B$57)</f>
        <v>3387.2276307910042</v>
      </c>
      <c r="E50" s="520">
        <f t="shared" si="5"/>
        <v>14182.31184680017</v>
      </c>
      <c r="F50" s="448">
        <f t="shared" si="6"/>
        <v>1128.4787571998913</v>
      </c>
      <c r="G50" s="457">
        <f>W31_PG_4_of_4!$E$20*(B50/B$57)</f>
        <v>11064.961321409392</v>
      </c>
      <c r="H50" s="443">
        <f>(W31_PG_4_of_4!$E$34*0.5)*(B50/B$57)</f>
        <v>3471.9083215607789</v>
      </c>
      <c r="I50" s="520">
        <f t="shared" si="7"/>
        <v>14536.86964297017</v>
      </c>
      <c r="J50" s="448">
        <f t="shared" si="8"/>
        <v>354.55779617000007</v>
      </c>
      <c r="K50" s="536">
        <f t="shared" si="9"/>
        <v>1483.0365533698914</v>
      </c>
    </row>
    <row r="51" spans="1:11" ht="12.75" customHeight="1">
      <c r="A51" s="538" t="s">
        <v>858</v>
      </c>
      <c r="B51" s="537">
        <f>W31_PG_3_of_4!B54</f>
        <v>177152.21059979341</v>
      </c>
      <c r="C51" s="457">
        <f>W31_PG_4_of_4!$B$20*(B51/B$57)</f>
        <v>146498.96466046511</v>
      </c>
      <c r="D51" s="443">
        <f>(W31_PG_4_of_4!$B$34*0.5)*(B51/B$57)</f>
        <v>45967.713734395657</v>
      </c>
      <c r="E51" s="520">
        <f t="shared" si="5"/>
        <v>192466.67839486076</v>
      </c>
      <c r="F51" s="448">
        <f t="shared" si="6"/>
        <v>15314.46779506735</v>
      </c>
      <c r="G51" s="457">
        <f>W31_PG_4_of_4!$E$20*(B51/B$57)</f>
        <v>150161.43877697672</v>
      </c>
      <c r="H51" s="443">
        <f>(W31_PG_4_of_4!$E$34*0.5)*(B51/B$57)</f>
        <v>47116.906577755544</v>
      </c>
      <c r="I51" s="520">
        <f t="shared" si="7"/>
        <v>197278.34535473227</v>
      </c>
      <c r="J51" s="448">
        <f t="shared" si="8"/>
        <v>4811.6669598715089</v>
      </c>
      <c r="K51" s="536">
        <f t="shared" si="9"/>
        <v>20126.134754938859</v>
      </c>
    </row>
    <row r="52" spans="1:11" ht="12.75" customHeight="1">
      <c r="A52" s="538" t="s">
        <v>857</v>
      </c>
      <c r="B52" s="537">
        <f>W31_PG_3_of_4!B55</f>
        <v>2285095.3143100603</v>
      </c>
      <c r="C52" s="457">
        <f>W31_PG_4_of_4!$B$20*(B52/B$57)</f>
        <v>1889697.546327397</v>
      </c>
      <c r="D52" s="443">
        <f>(W31_PG_4_of_4!$B$34*0.5)*(B52/B$57)</f>
        <v>592939.86176278745</v>
      </c>
      <c r="E52" s="520">
        <f t="shared" si="5"/>
        <v>2482637.4080901844</v>
      </c>
      <c r="F52" s="448">
        <f t="shared" si="6"/>
        <v>197542.09378012409</v>
      </c>
      <c r="G52" s="457">
        <f>W31_PG_4_of_4!$E$20*(B52/B$57)</f>
        <v>1936939.9849855816</v>
      </c>
      <c r="H52" s="443">
        <f>(W31_PG_4_of_4!$E$34*0.5)*(B52/B$57)</f>
        <v>607763.35830685706</v>
      </c>
      <c r="I52" s="520">
        <f t="shared" si="7"/>
        <v>2544703.3432924384</v>
      </c>
      <c r="J52" s="448">
        <f t="shared" si="8"/>
        <v>62065.935202253982</v>
      </c>
      <c r="K52" s="536">
        <f t="shared" si="9"/>
        <v>259608.02898237808</v>
      </c>
    </row>
    <row r="53" spans="1:11" ht="12.75" customHeight="1">
      <c r="A53" s="538" t="s">
        <v>856</v>
      </c>
      <c r="B53" s="537">
        <f>W31_PG_3_of_4!B56</f>
        <v>-434781.24085092318</v>
      </c>
      <c r="C53" s="457">
        <f>W31_PG_4_of_4!$B$20*(B53/B$57)</f>
        <v>-359549.57278149168</v>
      </c>
      <c r="D53" s="443">
        <f>(W31_PG_4_of_4!$B$34*0.5)*(B53/B$57)</f>
        <v>-112817.66989445558</v>
      </c>
      <c r="E53" s="520">
        <f t="shared" si="5"/>
        <v>-472367.24267594726</v>
      </c>
      <c r="F53" s="448">
        <f t="shared" si="6"/>
        <v>-37586.001825024083</v>
      </c>
      <c r="G53" s="457">
        <f>W31_PG_4_of_4!$E$20*(B53/B$57)</f>
        <v>-368538.31210102892</v>
      </c>
      <c r="H53" s="443">
        <f>(W31_PG_4_of_4!$E$34*0.5)*(B53/B$57)</f>
        <v>-115638.11164181695</v>
      </c>
      <c r="I53" s="520">
        <f t="shared" si="7"/>
        <v>-484176.42374284589</v>
      </c>
      <c r="J53" s="448">
        <f t="shared" si="8"/>
        <v>-11809.181066898629</v>
      </c>
      <c r="K53" s="536">
        <f t="shared" si="9"/>
        <v>-49395.182891922712</v>
      </c>
    </row>
    <row r="54" spans="1:11" ht="12.75" customHeight="1">
      <c r="A54" s="538" t="s">
        <v>855</v>
      </c>
      <c r="B54" s="537">
        <f>W31_PG_3_of_4!B57</f>
        <v>132676.9984380099</v>
      </c>
      <c r="C54" s="457">
        <f>W31_PG_4_of_4!$B$20*(B54/B$57)</f>
        <v>109719.44882661974</v>
      </c>
      <c r="D54" s="443">
        <f>(W31_PG_4_of_4!$B$34*0.5)*(B54/B$57)</f>
        <v>34427.220877956184</v>
      </c>
      <c r="E54" s="520">
        <f t="shared" si="5"/>
        <v>144146.66970457594</v>
      </c>
      <c r="F54" s="448">
        <f t="shared" si="6"/>
        <v>11469.671266566031</v>
      </c>
      <c r="G54" s="457">
        <f>W31_PG_4_of_4!$E$20*(B54/B$57)</f>
        <v>112462.43504728522</v>
      </c>
      <c r="H54" s="443">
        <f>(W31_PG_4_of_4!$E$34*0.5)*(B54/B$57)</f>
        <v>35287.901399905088</v>
      </c>
      <c r="I54" s="520">
        <f t="shared" si="7"/>
        <v>147750.33644719032</v>
      </c>
      <c r="J54" s="448">
        <f t="shared" si="8"/>
        <v>3603.6667426143831</v>
      </c>
      <c r="K54" s="536">
        <f t="shared" si="9"/>
        <v>15073.338009180414</v>
      </c>
    </row>
    <row r="55" spans="1:11" ht="12.75" customHeight="1">
      <c r="A55" s="538" t="s">
        <v>854</v>
      </c>
      <c r="B55" s="537">
        <f>W31_PG_3_of_4!B58</f>
        <v>8639.2717275663454</v>
      </c>
      <c r="C55" s="457">
        <f>W31_PG_4_of_4!$B$20*(B55/B$57)</f>
        <v>7144.3893317714728</v>
      </c>
      <c r="D55" s="443">
        <f>(W31_PG_4_of_4!$B$34*0.5)*(B55/B$57)</f>
        <v>2241.7308161261562</v>
      </c>
      <c r="E55" s="520">
        <f t="shared" si="5"/>
        <v>9386.1201478976291</v>
      </c>
      <c r="F55" s="448">
        <f t="shared" si="6"/>
        <v>746.84842033128371</v>
      </c>
      <c r="G55" s="457">
        <f>W31_PG_4_of_4!$E$20*(B55/B$57)</f>
        <v>7322.9990650657592</v>
      </c>
      <c r="H55" s="443">
        <f>(W31_PG_4_of_4!$E$34*0.5)*(B55/B$57)</f>
        <v>2297.7740865293099</v>
      </c>
      <c r="I55" s="520">
        <f t="shared" si="7"/>
        <v>9620.7731515950691</v>
      </c>
      <c r="J55" s="448">
        <f t="shared" si="8"/>
        <v>234.65300369744</v>
      </c>
      <c r="K55" s="536">
        <f t="shared" si="9"/>
        <v>981.5014240287237</v>
      </c>
    </row>
    <row r="56" spans="1:11" ht="12.75" customHeight="1">
      <c r="A56" s="535" t="s">
        <v>853</v>
      </c>
      <c r="B56" s="534">
        <f>W31_PG_3_of_4!B59</f>
        <v>493211.39566409902</v>
      </c>
      <c r="C56" s="454">
        <f>W31_PG_4_of_4!$B$20*(B56/B$57)</f>
        <v>407869.36035907286</v>
      </c>
      <c r="D56" s="446">
        <f>(W31_PG_4_of_4!$B$34*0.5)*(B56/B$57)</f>
        <v>127979.21160378392</v>
      </c>
      <c r="E56" s="524">
        <f t="shared" si="5"/>
        <v>535848.5719628568</v>
      </c>
      <c r="F56" s="445">
        <f t="shared" si="6"/>
        <v>42637.176298757782</v>
      </c>
      <c r="G56" s="454">
        <f>W31_PG_4_of_4!$E$20*(B56/B$57)</f>
        <v>418066.09436804964</v>
      </c>
      <c r="H56" s="446">
        <f>(W31_PG_4_of_4!$E$34*0.5)*(B56/B$57)</f>
        <v>131178.69189387851</v>
      </c>
      <c r="I56" s="524">
        <f t="shared" si="7"/>
        <v>549244.78626192815</v>
      </c>
      <c r="J56" s="445">
        <f t="shared" si="8"/>
        <v>13396.214299071347</v>
      </c>
      <c r="K56" s="533">
        <f t="shared" si="9"/>
        <v>56033.39059782913</v>
      </c>
    </row>
    <row r="57" spans="1:11" ht="12.75" customHeight="1">
      <c r="A57" s="532" t="s">
        <v>244</v>
      </c>
      <c r="B57" s="528">
        <f t="shared" ref="B57:K57" si="10">SUM(B8:B56)</f>
        <v>33850451.910000011</v>
      </c>
      <c r="C57" s="531">
        <f t="shared" si="10"/>
        <v>27993193.769999985</v>
      </c>
      <c r="D57" s="530">
        <f t="shared" si="10"/>
        <v>8783564.5850000009</v>
      </c>
      <c r="E57" s="530">
        <f t="shared" si="10"/>
        <v>36776758.354999997</v>
      </c>
      <c r="F57" s="529">
        <f t="shared" si="10"/>
        <v>2926306.4449999882</v>
      </c>
      <c r="G57" s="531">
        <f t="shared" si="10"/>
        <v>28693023.614249986</v>
      </c>
      <c r="H57" s="530">
        <f t="shared" si="10"/>
        <v>9003153.6996249985</v>
      </c>
      <c r="I57" s="530">
        <f t="shared" si="10"/>
        <v>37696177.31387499</v>
      </c>
      <c r="J57" s="529">
        <f t="shared" si="10"/>
        <v>919418.95887499547</v>
      </c>
      <c r="K57" s="528">
        <f t="shared" si="10"/>
        <v>3845725.4038749849</v>
      </c>
    </row>
    <row r="58" spans="1:11" ht="12.75" customHeight="1">
      <c r="B58" s="520"/>
      <c r="C58" s="520"/>
      <c r="D58" s="520"/>
      <c r="E58" s="520"/>
      <c r="F58" s="527"/>
      <c r="G58" s="520"/>
      <c r="H58" s="520"/>
      <c r="I58" s="520"/>
      <c r="J58" s="520"/>
      <c r="K58" s="520"/>
    </row>
    <row r="59" spans="1:11" ht="12.75" customHeight="1">
      <c r="A59" s="523" t="s">
        <v>956</v>
      </c>
      <c r="B59" s="526">
        <f t="shared" ref="B59:K59" si="11">SUM(B20:B56)</f>
        <v>18661696.418880869</v>
      </c>
      <c r="C59" s="526">
        <f t="shared" si="11"/>
        <v>15432599.993630253</v>
      </c>
      <c r="D59" s="526">
        <f t="shared" si="11"/>
        <v>4842364.1786737759</v>
      </c>
      <c r="E59" s="526">
        <f t="shared" si="11"/>
        <v>20274964.172304027</v>
      </c>
      <c r="F59" s="526">
        <f t="shared" si="11"/>
        <v>1613267.7534231553</v>
      </c>
      <c r="G59" s="526">
        <f t="shared" si="11"/>
        <v>15818414.993471006</v>
      </c>
      <c r="H59" s="526">
        <f t="shared" si="11"/>
        <v>4963423.2831406184</v>
      </c>
      <c r="I59" s="526">
        <f t="shared" si="11"/>
        <v>20781838.276611622</v>
      </c>
      <c r="J59" s="526">
        <f t="shared" si="11"/>
        <v>506874.10430759907</v>
      </c>
      <c r="K59" s="526">
        <f t="shared" si="11"/>
        <v>2120141.8577307547</v>
      </c>
    </row>
    <row r="60" spans="1:11" ht="12.75" customHeight="1">
      <c r="F60" s="450"/>
      <c r="J60" s="450"/>
    </row>
  </sheetData>
  <pageMargins left="0.7" right="0.7" top="0.75" bottom="0.75" header="0.3" footer="0.3"/>
  <pageSetup scale="57" orientation="landscape" horizontalDpi="200" verticalDpi="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C9907-5FC7-4970-B1A7-5058F732A7EC}">
  <sheetPr>
    <pageSetUpPr fitToPage="1"/>
  </sheetPr>
  <dimension ref="A2:B60"/>
  <sheetViews>
    <sheetView topLeftCell="A34" workbookViewId="0">
      <selection activeCell="B11" sqref="B11:B59"/>
    </sheetView>
  </sheetViews>
  <sheetFormatPr defaultColWidth="9.1796875" defaultRowHeight="14.5"/>
  <cols>
    <col min="1" max="1" width="15.54296875" style="432" customWidth="1"/>
    <col min="2" max="2" width="21.453125" style="547" customWidth="1"/>
    <col min="3" max="16384" width="9.1796875" style="432"/>
  </cols>
  <sheetData>
    <row r="2" spans="1:2">
      <c r="A2" s="349" t="s">
        <v>51</v>
      </c>
    </row>
    <row r="3" spans="1:2">
      <c r="A3" s="349" t="s">
        <v>955</v>
      </c>
    </row>
    <row r="4" spans="1:2">
      <c r="A4" s="349" t="s">
        <v>83</v>
      </c>
    </row>
    <row r="5" spans="1:2">
      <c r="A5" s="432" t="s">
        <v>969</v>
      </c>
    </row>
    <row r="8" spans="1:2">
      <c r="A8" s="554" t="s">
        <v>941</v>
      </c>
      <c r="B8" s="555" t="s">
        <v>968</v>
      </c>
    </row>
    <row r="10" spans="1:2" ht="29">
      <c r="A10" s="554" t="s">
        <v>562</v>
      </c>
      <c r="B10" s="553" t="s">
        <v>939</v>
      </c>
    </row>
    <row r="11" spans="1:2">
      <c r="A11" s="551" t="s">
        <v>931</v>
      </c>
      <c r="B11" s="550">
        <v>11659170.365760611</v>
      </c>
    </row>
    <row r="12" spans="1:2">
      <c r="A12" s="551" t="s">
        <v>930</v>
      </c>
      <c r="B12" s="550">
        <v>2121348.3240512493</v>
      </c>
    </row>
    <row r="13" spans="1:2">
      <c r="A13" s="551" t="s">
        <v>929</v>
      </c>
      <c r="B13" s="550">
        <v>1262982.1062002892</v>
      </c>
    </row>
    <row r="14" spans="1:2">
      <c r="A14" s="551" t="s">
        <v>928</v>
      </c>
      <c r="B14" s="550">
        <v>0</v>
      </c>
    </row>
    <row r="15" spans="1:2">
      <c r="A15" s="551" t="s">
        <v>927</v>
      </c>
      <c r="B15" s="550">
        <v>0</v>
      </c>
    </row>
    <row r="16" spans="1:2">
      <c r="A16" s="551" t="s">
        <v>926</v>
      </c>
      <c r="B16" s="550">
        <v>0</v>
      </c>
    </row>
    <row r="17" spans="1:2">
      <c r="A17" s="551" t="s">
        <v>925</v>
      </c>
      <c r="B17" s="550">
        <v>38891.461439966493</v>
      </c>
    </row>
    <row r="18" spans="1:2">
      <c r="A18" s="551" t="s">
        <v>924</v>
      </c>
      <c r="B18" s="550">
        <v>84602.825710291014</v>
      </c>
    </row>
    <row r="19" spans="1:2">
      <c r="A19" s="551" t="s">
        <v>957</v>
      </c>
      <c r="B19" s="550">
        <v>0</v>
      </c>
    </row>
    <row r="20" spans="1:2">
      <c r="A20" s="551" t="s">
        <v>923</v>
      </c>
      <c r="B20" s="550">
        <v>1358.7088208283496</v>
      </c>
    </row>
    <row r="21" spans="1:2">
      <c r="A21" s="551" t="s">
        <v>922</v>
      </c>
      <c r="B21" s="550">
        <v>17884.044581206766</v>
      </c>
    </row>
    <row r="22" spans="1:2">
      <c r="A22" s="551" t="s">
        <v>921</v>
      </c>
      <c r="B22" s="550">
        <v>2517.6545546899602</v>
      </c>
    </row>
    <row r="23" spans="1:2">
      <c r="A23" s="551" t="s">
        <v>893</v>
      </c>
      <c r="B23" s="550">
        <v>1195313.5386211236</v>
      </c>
    </row>
    <row r="24" spans="1:2">
      <c r="A24" s="551" t="s">
        <v>891</v>
      </c>
      <c r="B24" s="550">
        <v>2177193.3605193025</v>
      </c>
    </row>
    <row r="25" spans="1:2">
      <c r="A25" s="551" t="s">
        <v>889</v>
      </c>
      <c r="B25" s="550">
        <v>1305890.4646074923</v>
      </c>
    </row>
    <row r="26" spans="1:2">
      <c r="A26" s="551" t="s">
        <v>887</v>
      </c>
      <c r="B26" s="550">
        <v>46965.216052925687</v>
      </c>
    </row>
    <row r="27" spans="1:2">
      <c r="A27" s="551" t="s">
        <v>885</v>
      </c>
      <c r="B27" s="550">
        <v>1307134.1338929443</v>
      </c>
    </row>
    <row r="28" spans="1:2">
      <c r="A28" s="551" t="s">
        <v>884</v>
      </c>
      <c r="B28" s="550">
        <v>1025018.5906448347</v>
      </c>
    </row>
    <row r="29" spans="1:2">
      <c r="A29" s="551" t="s">
        <v>883</v>
      </c>
      <c r="B29" s="550">
        <v>117693.71642230546</v>
      </c>
    </row>
    <row r="30" spans="1:2">
      <c r="A30" s="551" t="s">
        <v>882</v>
      </c>
      <c r="B30" s="550">
        <v>1411551.5162281974</v>
      </c>
    </row>
    <row r="31" spans="1:2">
      <c r="A31" s="551" t="s">
        <v>881</v>
      </c>
      <c r="B31" s="550">
        <v>598235.17641596065</v>
      </c>
    </row>
    <row r="32" spans="1:2">
      <c r="A32" s="551" t="s">
        <v>880</v>
      </c>
      <c r="B32" s="550">
        <v>109934.19923825125</v>
      </c>
    </row>
    <row r="33" spans="1:2">
      <c r="A33" s="552" t="s">
        <v>879</v>
      </c>
      <c r="B33" s="550">
        <v>-9252.6541600590481</v>
      </c>
    </row>
    <row r="34" spans="1:2">
      <c r="A34" s="551" t="s">
        <v>878</v>
      </c>
      <c r="B34" s="550">
        <v>37089.537790657982</v>
      </c>
    </row>
    <row r="35" spans="1:2">
      <c r="A35" s="551" t="s">
        <v>877</v>
      </c>
      <c r="B35" s="550">
        <v>1303.6863831527965</v>
      </c>
    </row>
    <row r="36" spans="1:2">
      <c r="A36" s="551" t="s">
        <v>876</v>
      </c>
      <c r="B36" s="550">
        <v>176958.21608059271</v>
      </c>
    </row>
    <row r="37" spans="1:2">
      <c r="A37" s="551" t="s">
        <v>875</v>
      </c>
      <c r="B37" s="550">
        <v>-25004.846914651891</v>
      </c>
    </row>
    <row r="38" spans="1:2">
      <c r="A38" s="551" t="s">
        <v>874</v>
      </c>
      <c r="B38" s="550">
        <v>641.60058237322994</v>
      </c>
    </row>
    <row r="39" spans="1:2">
      <c r="A39" s="551" t="s">
        <v>873</v>
      </c>
      <c r="B39" s="550">
        <v>3438.5014825960402</v>
      </c>
    </row>
    <row r="40" spans="1:2">
      <c r="A40" s="551" t="s">
        <v>872</v>
      </c>
      <c r="B40" s="550">
        <v>808355.72521534807</v>
      </c>
    </row>
    <row r="41" spans="1:2">
      <c r="A41" s="551" t="s">
        <v>871</v>
      </c>
      <c r="B41" s="550">
        <v>113511.92045171779</v>
      </c>
    </row>
    <row r="42" spans="1:2">
      <c r="A42" s="551" t="s">
        <v>870</v>
      </c>
      <c r="B42" s="550">
        <v>1919171.5472221782</v>
      </c>
    </row>
    <row r="43" spans="1:2">
      <c r="A43" s="551" t="s">
        <v>869</v>
      </c>
      <c r="B43" s="550">
        <v>21200.874093562219</v>
      </c>
    </row>
    <row r="44" spans="1:2">
      <c r="A44" s="552" t="s">
        <v>868</v>
      </c>
      <c r="B44" s="550">
        <v>1081.6045367452839</v>
      </c>
    </row>
    <row r="45" spans="1:2">
      <c r="A45" s="551" t="s">
        <v>867</v>
      </c>
      <c r="B45" s="550">
        <v>2972769.0176482289</v>
      </c>
    </row>
    <row r="46" spans="1:2">
      <c r="A46" s="551" t="s">
        <v>866</v>
      </c>
      <c r="B46" s="550">
        <v>5924.6694342286964</v>
      </c>
    </row>
    <row r="47" spans="1:2">
      <c r="A47" s="551" t="s">
        <v>865</v>
      </c>
      <c r="B47" s="550">
        <v>2630.6465039060377</v>
      </c>
    </row>
    <row r="48" spans="1:2">
      <c r="A48" s="551" t="s">
        <v>864</v>
      </c>
      <c r="B48" s="550">
        <v>3172.9273265553429</v>
      </c>
    </row>
    <row r="49" spans="1:2">
      <c r="A49" s="551" t="s">
        <v>863</v>
      </c>
      <c r="B49" s="550">
        <v>36025.463693979749</v>
      </c>
    </row>
    <row r="50" spans="1:2">
      <c r="A50" s="551" t="s">
        <v>862</v>
      </c>
      <c r="B50" s="550">
        <v>110.33749022040065</v>
      </c>
    </row>
    <row r="51" spans="1:2">
      <c r="A51" s="551" t="s">
        <v>861</v>
      </c>
      <c r="B51" s="550">
        <v>163636.30918530651</v>
      </c>
    </row>
    <row r="52" spans="1:2">
      <c r="A52" s="551" t="s">
        <v>860</v>
      </c>
      <c r="B52" s="550">
        <v>458953.63921268616</v>
      </c>
    </row>
    <row r="53" spans="1:2">
      <c r="A53" s="552" t="s">
        <v>859</v>
      </c>
      <c r="B53" s="550">
        <v>13053.833089600279</v>
      </c>
    </row>
    <row r="54" spans="1:2">
      <c r="A54" s="551" t="s">
        <v>858</v>
      </c>
      <c r="B54" s="550">
        <v>177152.21059979341</v>
      </c>
    </row>
    <row r="55" spans="1:2">
      <c r="A55" s="551" t="s">
        <v>857</v>
      </c>
      <c r="B55" s="550">
        <v>2285095.3143100603</v>
      </c>
    </row>
    <row r="56" spans="1:2">
      <c r="A56" s="551" t="s">
        <v>856</v>
      </c>
      <c r="B56" s="550">
        <v>-434781.24085092318</v>
      </c>
    </row>
    <row r="57" spans="1:2">
      <c r="A57" s="551" t="s">
        <v>855</v>
      </c>
      <c r="B57" s="550">
        <v>132676.9984380099</v>
      </c>
    </row>
    <row r="58" spans="1:2">
      <c r="A58" s="551" t="s">
        <v>854</v>
      </c>
      <c r="B58" s="550">
        <v>8639.2717275663454</v>
      </c>
    </row>
    <row r="59" spans="1:2">
      <c r="A59" s="551" t="s">
        <v>853</v>
      </c>
      <c r="B59" s="550">
        <v>493211.39566409902</v>
      </c>
    </row>
    <row r="60" spans="1:2" ht="12.5">
      <c r="A60" s="549" t="s">
        <v>244</v>
      </c>
      <c r="B60" s="548">
        <f>SUM(B11:B59)</f>
        <v>33850451.910000011</v>
      </c>
    </row>
  </sheetData>
  <pageMargins left="0.7" right="0.7" top="0.75" bottom="0.75" header="0.3" footer="0.3"/>
  <pageSetup scale="81"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0A85-FFA7-4B82-B71F-C06CCD50D64C}">
  <sheetPr>
    <pageSetUpPr fitToPage="1"/>
  </sheetPr>
  <dimension ref="A1:G43"/>
  <sheetViews>
    <sheetView topLeftCell="A8" workbookViewId="0">
      <selection activeCell="C23" sqref="C23"/>
    </sheetView>
  </sheetViews>
  <sheetFormatPr defaultColWidth="9.1796875" defaultRowHeight="12.5"/>
  <cols>
    <col min="1" max="1" width="17.7265625" style="470" customWidth="1"/>
    <col min="2" max="2" width="23.453125" style="470" customWidth="1"/>
    <col min="3" max="3" width="17.453125" style="470" customWidth="1"/>
    <col min="4" max="4" width="10.1796875" style="470" customWidth="1"/>
    <col min="5" max="5" width="19.1796875" style="556" bestFit="1" customWidth="1"/>
    <col min="6" max="6" width="10.26953125" style="470" bestFit="1" customWidth="1"/>
    <col min="7" max="7" width="19.26953125" style="470" customWidth="1"/>
    <col min="8" max="8" width="4.453125" style="470" customWidth="1"/>
    <col min="9" max="16384" width="9.1796875" style="470"/>
  </cols>
  <sheetData>
    <row r="1" spans="1:5">
      <c r="A1" s="470" t="s">
        <v>51</v>
      </c>
    </row>
    <row r="2" spans="1:5">
      <c r="A2" s="470" t="s">
        <v>996</v>
      </c>
    </row>
    <row r="3" spans="1:5">
      <c r="A3" s="470" t="s">
        <v>995</v>
      </c>
    </row>
    <row r="4" spans="1:5">
      <c r="A4" s="470" t="s">
        <v>994</v>
      </c>
    </row>
    <row r="6" spans="1:5">
      <c r="A6" s="561" t="s">
        <v>979</v>
      </c>
      <c r="B6" s="564">
        <v>45808</v>
      </c>
    </row>
    <row r="8" spans="1:5" ht="37.5">
      <c r="A8" s="561" t="s">
        <v>976</v>
      </c>
      <c r="B8" s="561" t="s">
        <v>975</v>
      </c>
      <c r="C8" s="572" t="s">
        <v>993</v>
      </c>
      <c r="D8" s="562" t="s">
        <v>992</v>
      </c>
      <c r="E8" s="571" t="s">
        <v>991</v>
      </c>
    </row>
    <row r="9" spans="1:5">
      <c r="A9" s="563" t="s">
        <v>990</v>
      </c>
      <c r="B9" s="570">
        <v>493916.8</v>
      </c>
      <c r="C9" s="556">
        <v>45748</v>
      </c>
      <c r="D9" s="562">
        <v>2.5000000000000001E-2</v>
      </c>
      <c r="E9" s="512">
        <v>506264.72</v>
      </c>
    </row>
    <row r="10" spans="1:5">
      <c r="A10" s="563" t="s">
        <v>989</v>
      </c>
      <c r="B10" s="570">
        <v>850595.2</v>
      </c>
      <c r="C10" s="556">
        <v>45778</v>
      </c>
      <c r="D10" s="562">
        <v>2.5000000000000001E-2</v>
      </c>
      <c r="E10" s="512">
        <v>871860.07999999984</v>
      </c>
    </row>
    <row r="11" spans="1:5">
      <c r="A11" s="563" t="s">
        <v>974</v>
      </c>
      <c r="B11" s="570">
        <v>14674745.77</v>
      </c>
      <c r="C11" s="556">
        <v>45748</v>
      </c>
      <c r="D11" s="562">
        <v>2.5000000000000001E-2</v>
      </c>
      <c r="E11" s="512">
        <v>15041614.414249998</v>
      </c>
    </row>
    <row r="12" spans="1:5">
      <c r="A12" s="563" t="s">
        <v>988</v>
      </c>
      <c r="B12" s="570">
        <v>844459.2</v>
      </c>
      <c r="C12" s="556">
        <v>45778</v>
      </c>
      <c r="D12" s="562">
        <v>2.5000000000000001E-2</v>
      </c>
      <c r="E12" s="512">
        <v>865570.67999999993</v>
      </c>
    </row>
    <row r="13" spans="1:5">
      <c r="A13" s="563" t="s">
        <v>987</v>
      </c>
      <c r="B13" s="570">
        <v>746740.8</v>
      </c>
      <c r="C13" s="556">
        <v>45778</v>
      </c>
      <c r="D13" s="562">
        <v>2.5000000000000001E-2</v>
      </c>
      <c r="E13" s="512">
        <v>765409.32</v>
      </c>
    </row>
    <row r="14" spans="1:5">
      <c r="A14" s="563" t="s">
        <v>986</v>
      </c>
      <c r="B14" s="570">
        <v>2554676.7999999998</v>
      </c>
      <c r="C14" s="556">
        <v>45778</v>
      </c>
      <c r="D14" s="562">
        <v>2.5000000000000001E-2</v>
      </c>
      <c r="E14" s="512">
        <v>2618543.7199999997</v>
      </c>
    </row>
    <row r="15" spans="1:5">
      <c r="A15" s="563" t="s">
        <v>985</v>
      </c>
      <c r="B15" s="570">
        <v>285542.40000000002</v>
      </c>
      <c r="C15" s="556">
        <v>45778</v>
      </c>
      <c r="D15" s="562">
        <v>2.5000000000000001E-2</v>
      </c>
      <c r="E15" s="512">
        <v>292680.96000000002</v>
      </c>
    </row>
    <row r="16" spans="1:5">
      <c r="A16" s="563" t="s">
        <v>984</v>
      </c>
      <c r="B16" s="570">
        <v>381264</v>
      </c>
      <c r="C16" s="556">
        <v>45778</v>
      </c>
      <c r="D16" s="562">
        <v>2.5000000000000001E-2</v>
      </c>
      <c r="E16" s="512">
        <v>390795.6</v>
      </c>
    </row>
    <row r="17" spans="1:7">
      <c r="A17" s="563" t="s">
        <v>983</v>
      </c>
      <c r="B17" s="570">
        <v>3440798.4</v>
      </c>
      <c r="C17" s="556">
        <v>45778</v>
      </c>
      <c r="D17" s="562">
        <v>2.5000000000000001E-2</v>
      </c>
      <c r="E17" s="512">
        <v>3526818.3599999994</v>
      </c>
    </row>
    <row r="18" spans="1:7">
      <c r="A18" s="563" t="s">
        <v>982</v>
      </c>
      <c r="B18" s="570">
        <v>673836.8</v>
      </c>
      <c r="C18" s="556">
        <v>45748</v>
      </c>
      <c r="D18" s="562">
        <v>2.5000000000000001E-2</v>
      </c>
      <c r="E18" s="512">
        <v>690682.72</v>
      </c>
    </row>
    <row r="19" spans="1:7">
      <c r="A19" s="563" t="s">
        <v>981</v>
      </c>
      <c r="B19" s="570">
        <v>3046617.6</v>
      </c>
      <c r="C19" s="556">
        <v>45778</v>
      </c>
      <c r="D19" s="562">
        <v>2.5000000000000001E-2</v>
      </c>
      <c r="E19" s="512">
        <v>3122783.04</v>
      </c>
    </row>
    <row r="20" spans="1:7" ht="14.5" thickBot="1">
      <c r="A20" s="569" t="s">
        <v>244</v>
      </c>
      <c r="B20" s="568">
        <f>SUM(B9:B19)</f>
        <v>27993193.77</v>
      </c>
      <c r="C20" s="556"/>
      <c r="D20" s="562"/>
      <c r="E20" s="567">
        <f>SUM(E9:E19)</f>
        <v>28693023.614249997</v>
      </c>
    </row>
    <row r="21" spans="1:7">
      <c r="B21" s="566"/>
      <c r="D21" s="562">
        <v>2.5000000000000001E-2</v>
      </c>
      <c r="E21" s="470"/>
    </row>
    <row r="22" spans="1:7">
      <c r="C22" s="512"/>
      <c r="D22" s="565"/>
    </row>
    <row r="25" spans="1:7">
      <c r="E25" s="470"/>
      <c r="G25" s="556"/>
    </row>
    <row r="26" spans="1:7">
      <c r="A26" s="470" t="s">
        <v>980</v>
      </c>
    </row>
    <row r="27" spans="1:7">
      <c r="A27" s="561" t="s">
        <v>979</v>
      </c>
      <c r="B27" s="564">
        <v>45808</v>
      </c>
      <c r="D27" s="556"/>
      <c r="E27" s="470"/>
    </row>
    <row r="28" spans="1:7">
      <c r="A28" s="561" t="s">
        <v>978</v>
      </c>
      <c r="B28" s="561" t="s">
        <v>977</v>
      </c>
      <c r="D28" s="556"/>
      <c r="E28" s="470"/>
    </row>
    <row r="29" spans="1:7">
      <c r="D29" s="556"/>
      <c r="E29" s="470"/>
    </row>
    <row r="30" spans="1:7">
      <c r="A30" s="561" t="s">
        <v>976</v>
      </c>
      <c r="B30" s="561" t="s">
        <v>975</v>
      </c>
      <c r="C30" s="556"/>
      <c r="E30" s="470"/>
    </row>
    <row r="31" spans="1:7">
      <c r="A31" s="563" t="s">
        <v>974</v>
      </c>
      <c r="B31" s="488">
        <v>7124489.1699999999</v>
      </c>
      <c r="C31" s="556">
        <v>45748</v>
      </c>
      <c r="D31" s="562">
        <v>2.5000000000000001E-2</v>
      </c>
      <c r="E31" s="512">
        <f>B31*(1+D31)</f>
        <v>7302601.3992499989</v>
      </c>
    </row>
    <row r="32" spans="1:7">
      <c r="A32" s="563" t="s">
        <v>973</v>
      </c>
      <c r="B32" s="488">
        <v>5891828.8000000007</v>
      </c>
      <c r="C32" s="556">
        <v>45809</v>
      </c>
      <c r="D32" s="562">
        <v>2.5000000000000001E-2</v>
      </c>
      <c r="E32" s="512">
        <f>B32*(1+D32)</f>
        <v>6039124.5200000005</v>
      </c>
    </row>
    <row r="33" spans="1:6">
      <c r="A33" s="563" t="s">
        <v>972</v>
      </c>
      <c r="B33" s="488">
        <v>4550811.2</v>
      </c>
      <c r="C33" s="556">
        <v>45809</v>
      </c>
      <c r="D33" s="562">
        <v>2.5000000000000001E-2</v>
      </c>
      <c r="E33" s="512">
        <f>B33*(1+D33)</f>
        <v>4664581.4799999995</v>
      </c>
    </row>
    <row r="34" spans="1:6" ht="13.5" thickBot="1">
      <c r="A34" s="561" t="s">
        <v>244</v>
      </c>
      <c r="B34" s="560">
        <f>SUM(B31:B33)</f>
        <v>17567129.170000002</v>
      </c>
      <c r="C34" s="556"/>
      <c r="E34" s="559">
        <f>SUM(E31:E33)</f>
        <v>18006307.399250001</v>
      </c>
    </row>
    <row r="35" spans="1:6">
      <c r="C35" s="556"/>
      <c r="E35" s="470"/>
    </row>
    <row r="36" spans="1:6">
      <c r="C36" s="556"/>
      <c r="E36" s="470"/>
    </row>
    <row r="37" spans="1:6">
      <c r="A37" s="755" t="s">
        <v>971</v>
      </c>
      <c r="B37" s="755"/>
      <c r="D37" s="556"/>
      <c r="E37" s="470"/>
    </row>
    <row r="38" spans="1:6" ht="24.75" customHeight="1" thickBot="1">
      <c r="B38" s="558">
        <f>B20+(B34*0.5)</f>
        <v>36776758.355000004</v>
      </c>
      <c r="C38" s="756" t="s">
        <v>970</v>
      </c>
      <c r="D38" s="756"/>
      <c r="E38" s="557">
        <f>E20+(E34*0.5)</f>
        <v>37696177.313874997</v>
      </c>
    </row>
    <row r="39" spans="1:6" ht="13" thickTop="1"/>
    <row r="40" spans="1:6">
      <c r="E40" s="470"/>
      <c r="F40" s="556"/>
    </row>
    <row r="41" spans="1:6">
      <c r="E41" s="470"/>
      <c r="F41" s="556"/>
    </row>
    <row r="42" spans="1:6">
      <c r="E42" s="470"/>
      <c r="F42" s="556"/>
    </row>
    <row r="43" spans="1:6">
      <c r="E43" s="470"/>
      <c r="F43" s="556"/>
    </row>
  </sheetData>
  <mergeCells count="2">
    <mergeCell ref="A37:B37"/>
    <mergeCell ref="C38:D38"/>
  </mergeCells>
  <pageMargins left="0.7" right="0.7" top="0.75" bottom="0.75" header="0.3" footer="0.3"/>
  <pageSetup scale="76"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C4B7-2C5D-4AA7-BD85-B2EB1B7CAD81}">
  <dimension ref="A1:F25"/>
  <sheetViews>
    <sheetView showRuler="0" workbookViewId="0">
      <selection sqref="A1:C1"/>
    </sheetView>
  </sheetViews>
  <sheetFormatPr defaultColWidth="13.7265625" defaultRowHeight="12.5"/>
  <cols>
    <col min="1" max="1" width="11" style="2" customWidth="1"/>
    <col min="2" max="2" width="8.453125" style="2" customWidth="1"/>
    <col min="3" max="3" width="13.7265625" style="2"/>
    <col min="4" max="4" width="32.453125" style="2" customWidth="1"/>
    <col min="5" max="5" width="19.1796875" style="2" customWidth="1"/>
    <col min="6" max="16384" width="13.7265625" style="2"/>
  </cols>
  <sheetData>
    <row r="1" spans="1:6" ht="15" customHeight="1">
      <c r="A1" s="671" t="s">
        <v>51</v>
      </c>
      <c r="B1" s="670"/>
      <c r="C1" s="670"/>
    </row>
    <row r="2" spans="1:6" ht="15" customHeight="1">
      <c r="A2" s="672" t="s">
        <v>85</v>
      </c>
      <c r="B2" s="670"/>
      <c r="C2" s="670"/>
      <c r="D2" s="670"/>
      <c r="E2" s="670"/>
    </row>
    <row r="3" spans="1:6" ht="15" customHeight="1">
      <c r="A3" s="672" t="s">
        <v>97</v>
      </c>
      <c r="B3" s="670"/>
      <c r="C3" s="670"/>
      <c r="D3" s="670"/>
    </row>
    <row r="4" spans="1:6" ht="15" customHeight="1">
      <c r="A4" s="671" t="s">
        <v>83</v>
      </c>
      <c r="B4" s="670"/>
      <c r="C4" s="670"/>
      <c r="D4" s="670"/>
      <c r="E4" s="670"/>
    </row>
    <row r="5" spans="1:6" ht="15" customHeight="1"/>
    <row r="6" spans="1:6" ht="15" customHeight="1">
      <c r="A6" s="28" t="s">
        <v>82</v>
      </c>
      <c r="B6" s="28" t="s">
        <v>96</v>
      </c>
      <c r="C6" s="28" t="s">
        <v>95</v>
      </c>
      <c r="D6" s="28" t="s">
        <v>94</v>
      </c>
      <c r="E6" s="28" t="s">
        <v>93</v>
      </c>
      <c r="F6" s="18"/>
    </row>
    <row r="7" spans="1:6" ht="15" customHeight="1">
      <c r="A7" s="17" t="s">
        <v>70</v>
      </c>
      <c r="B7" s="17"/>
      <c r="C7" s="17"/>
      <c r="D7" s="17"/>
      <c r="E7" s="17"/>
    </row>
    <row r="8" spans="1:6" ht="15" customHeight="1">
      <c r="A8" s="13" t="s">
        <v>69</v>
      </c>
      <c r="B8" s="13"/>
      <c r="C8" s="13"/>
      <c r="D8" s="13"/>
      <c r="E8" s="13"/>
    </row>
    <row r="9" spans="1:6" ht="15" customHeight="1">
      <c r="A9" s="13" t="s">
        <v>68</v>
      </c>
      <c r="B9" s="13"/>
      <c r="C9" s="13"/>
      <c r="D9" s="13"/>
      <c r="E9" s="13"/>
    </row>
    <row r="10" spans="1:6" ht="15" customHeight="1">
      <c r="A10" s="13" t="s">
        <v>67</v>
      </c>
      <c r="B10" s="13"/>
      <c r="C10" s="13"/>
      <c r="D10" s="13"/>
      <c r="E10" s="13"/>
    </row>
    <row r="11" spans="1:6" ht="15" customHeight="1">
      <c r="A11" s="13" t="s">
        <v>66</v>
      </c>
      <c r="B11" s="13"/>
      <c r="C11" s="13"/>
      <c r="D11" s="13"/>
      <c r="E11" s="13"/>
    </row>
    <row r="12" spans="1:6" ht="15" customHeight="1">
      <c r="A12" s="13" t="s">
        <v>65</v>
      </c>
      <c r="B12" s="13"/>
      <c r="C12" s="13"/>
      <c r="D12" s="13"/>
      <c r="E12" s="13"/>
    </row>
    <row r="13" spans="1:6" ht="15" customHeight="1">
      <c r="A13" s="13" t="s">
        <v>64</v>
      </c>
      <c r="B13" s="13"/>
      <c r="C13" s="13"/>
      <c r="D13" s="13"/>
      <c r="E13" s="13"/>
    </row>
    <row r="14" spans="1:6" ht="15" customHeight="1">
      <c r="A14" s="13" t="s">
        <v>63</v>
      </c>
      <c r="B14" s="13"/>
      <c r="C14" s="13"/>
      <c r="D14" s="13"/>
      <c r="E14" s="13"/>
    </row>
    <row r="15" spans="1:6" ht="15" customHeight="1">
      <c r="A15" s="13" t="s">
        <v>62</v>
      </c>
      <c r="B15" s="13"/>
      <c r="C15" s="13"/>
      <c r="D15" s="13"/>
      <c r="E15" s="13"/>
    </row>
    <row r="16" spans="1:6" ht="15" customHeight="1">
      <c r="A16" s="13" t="s">
        <v>61</v>
      </c>
      <c r="B16" s="13"/>
      <c r="C16" s="13"/>
      <c r="D16" s="13"/>
      <c r="E16" s="13"/>
    </row>
    <row r="17" spans="1:5" ht="15" customHeight="1">
      <c r="A17" s="13" t="s">
        <v>60</v>
      </c>
      <c r="B17" s="13"/>
      <c r="C17" s="13"/>
      <c r="D17" s="13"/>
      <c r="E17" s="13"/>
    </row>
    <row r="18" spans="1:5" ht="15" customHeight="1">
      <c r="A18" s="24" t="s">
        <v>59</v>
      </c>
      <c r="B18" s="24"/>
      <c r="C18" s="24"/>
      <c r="D18" s="24"/>
      <c r="E18" s="24"/>
    </row>
    <row r="19" spans="1:5" ht="15" customHeight="1" thickBot="1">
      <c r="A19" s="17" t="s">
        <v>88</v>
      </c>
      <c r="B19" s="17"/>
      <c r="C19" s="17"/>
      <c r="D19" s="17"/>
      <c r="E19" s="23">
        <f>SUM(E7:E18)</f>
        <v>0</v>
      </c>
    </row>
    <row r="20" spans="1:5" ht="15" customHeight="1" thickTop="1">
      <c r="E20" s="22"/>
    </row>
    <row r="21" spans="1:5" ht="39.25" customHeight="1">
      <c r="A21" s="672" t="s">
        <v>92</v>
      </c>
      <c r="B21" s="670"/>
      <c r="C21" s="20">
        <v>4111005</v>
      </c>
      <c r="E21" s="21">
        <f>-E19</f>
        <v>0</v>
      </c>
    </row>
    <row r="22" spans="1:5" ht="15" customHeight="1">
      <c r="A22" s="672" t="s">
        <v>56</v>
      </c>
      <c r="B22" s="670"/>
      <c r="E22" s="25">
        <v>411.1</v>
      </c>
    </row>
    <row r="23" spans="1:5" ht="15" customHeight="1"/>
    <row r="24" spans="1:5" ht="15" customHeight="1">
      <c r="A24" s="3" t="s">
        <v>53</v>
      </c>
      <c r="B24" s="671" t="s">
        <v>54</v>
      </c>
      <c r="C24" s="670"/>
    </row>
    <row r="25" spans="1:5" ht="15" customHeight="1"/>
  </sheetData>
  <mergeCells count="7">
    <mergeCell ref="A22:B22"/>
    <mergeCell ref="B24:C24"/>
    <mergeCell ref="A1:C1"/>
    <mergeCell ref="A2:E2"/>
    <mergeCell ref="A4:E4"/>
    <mergeCell ref="A3:D3"/>
    <mergeCell ref="A21:B2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FDDD-7F7F-4DC1-B904-38212889B30E}">
  <sheetPr>
    <pageSetUpPr fitToPage="1"/>
  </sheetPr>
  <dimension ref="A1:H42"/>
  <sheetViews>
    <sheetView workbookViewId="0">
      <pane ySplit="9" topLeftCell="A25" activePane="bottomLeft" state="frozen"/>
      <selection sqref="A1:C1"/>
      <selection pane="bottomLeft" sqref="A1:C1"/>
    </sheetView>
  </sheetViews>
  <sheetFormatPr defaultColWidth="9.1796875" defaultRowHeight="12.5"/>
  <cols>
    <col min="1" max="1" width="4.54296875" style="470" customWidth="1"/>
    <col min="2" max="2" width="12.26953125" style="470" bestFit="1" customWidth="1"/>
    <col min="3" max="3" width="17.26953125" style="470" bestFit="1" customWidth="1"/>
    <col min="4" max="4" width="14.1796875" style="470" customWidth="1"/>
    <col min="5" max="5" width="16.81640625" style="470" bestFit="1" customWidth="1"/>
    <col min="6" max="6" width="13.1796875" style="470" customWidth="1"/>
    <col min="7" max="16384" width="9.1796875" style="470"/>
  </cols>
  <sheetData>
    <row r="1" spans="1:6">
      <c r="A1" s="349" t="s">
        <v>51</v>
      </c>
    </row>
    <row r="2" spans="1:6">
      <c r="A2" s="349" t="s">
        <v>1001</v>
      </c>
    </row>
    <row r="3" spans="1:6">
      <c r="A3" s="349" t="s">
        <v>83</v>
      </c>
    </row>
    <row r="4" spans="1:6">
      <c r="A4" s="349" t="s">
        <v>919</v>
      </c>
    </row>
    <row r="7" spans="1:6" ht="51" customHeight="1">
      <c r="A7" s="747" t="s">
        <v>103</v>
      </c>
      <c r="B7" s="748" t="s">
        <v>56</v>
      </c>
      <c r="C7" s="747" t="s">
        <v>1000</v>
      </c>
      <c r="D7" s="747" t="s">
        <v>999</v>
      </c>
      <c r="E7" s="747" t="s">
        <v>998</v>
      </c>
      <c r="F7" s="481" t="s">
        <v>355</v>
      </c>
    </row>
    <row r="8" spans="1:6">
      <c r="A8" s="747"/>
      <c r="B8" s="748"/>
      <c r="C8" s="747"/>
      <c r="D8" s="747"/>
      <c r="E8" s="747"/>
      <c r="F8" s="574">
        <v>1</v>
      </c>
    </row>
    <row r="9" spans="1:6">
      <c r="A9" s="484"/>
      <c r="B9" s="481" t="s">
        <v>912</v>
      </c>
      <c r="C9" s="481" t="s">
        <v>911</v>
      </c>
      <c r="D9" s="481" t="s">
        <v>910</v>
      </c>
      <c r="E9" s="481" t="s">
        <v>909</v>
      </c>
      <c r="F9" s="481" t="s">
        <v>908</v>
      </c>
    </row>
    <row r="10" spans="1:6">
      <c r="A10" s="470">
        <v>1</v>
      </c>
      <c r="B10" s="470" t="s">
        <v>893</v>
      </c>
      <c r="C10" s="478">
        <f>W32_PG_2_of_2!B16</f>
        <v>113616.85182032129</v>
      </c>
      <c r="D10" s="478">
        <f>W32_PG_2_of_2!C16</f>
        <v>2840.4212955080325</v>
      </c>
      <c r="E10" s="478">
        <f t="shared" ref="E10:E36" si="0">C10+D10</f>
        <v>116457.27311582932</v>
      </c>
      <c r="F10" s="478">
        <f t="shared" ref="F10:F36" si="1">D10*F$8</f>
        <v>2840.4212955080325</v>
      </c>
    </row>
    <row r="11" spans="1:6">
      <c r="A11" s="470">
        <f t="shared" ref="A11:A37" si="2">A10+1</f>
        <v>2</v>
      </c>
      <c r="B11" s="470" t="s">
        <v>891</v>
      </c>
      <c r="C11" s="478">
        <f>W32_PG_2_of_2!B17</f>
        <v>884518.99254640052</v>
      </c>
      <c r="D11" s="478">
        <f>W32_PG_2_of_2!C17</f>
        <v>22112.974813660014</v>
      </c>
      <c r="E11" s="478">
        <f t="shared" si="0"/>
        <v>906631.96736006055</v>
      </c>
      <c r="F11" s="478">
        <f t="shared" si="1"/>
        <v>22112.974813660014</v>
      </c>
    </row>
    <row r="12" spans="1:6">
      <c r="A12" s="470">
        <f t="shared" si="2"/>
        <v>3</v>
      </c>
      <c r="B12" s="470" t="s">
        <v>889</v>
      </c>
      <c r="C12" s="478">
        <f>W32_PG_2_of_2!B18</f>
        <v>320559.23067752016</v>
      </c>
      <c r="D12" s="478">
        <f>W32_PG_2_of_2!C18</f>
        <v>8013.9807669380043</v>
      </c>
      <c r="E12" s="478">
        <f t="shared" si="0"/>
        <v>328573.21144445817</v>
      </c>
      <c r="F12" s="478">
        <f t="shared" si="1"/>
        <v>8013.9807669380043</v>
      </c>
    </row>
    <row r="13" spans="1:6">
      <c r="A13" s="470">
        <f t="shared" si="2"/>
        <v>4</v>
      </c>
      <c r="B13" s="470" t="s">
        <v>887</v>
      </c>
      <c r="C13" s="478">
        <f>W32_PG_2_of_2!B19</f>
        <v>8511.7636729975748</v>
      </c>
      <c r="D13" s="478">
        <f>W32_PG_2_of_2!C19</f>
        <v>212.79409182493939</v>
      </c>
      <c r="E13" s="478">
        <f t="shared" si="0"/>
        <v>8724.5577648225135</v>
      </c>
      <c r="F13" s="478">
        <f t="shared" si="1"/>
        <v>212.79409182493939</v>
      </c>
    </row>
    <row r="14" spans="1:6">
      <c r="A14" s="470">
        <f t="shared" si="2"/>
        <v>5</v>
      </c>
      <c r="B14" s="470" t="s">
        <v>885</v>
      </c>
      <c r="C14" s="478">
        <f>W32_PG_2_of_2!B20</f>
        <v>317470.31566206226</v>
      </c>
      <c r="D14" s="478">
        <f>W32_PG_2_of_2!C20</f>
        <v>7936.7578915515569</v>
      </c>
      <c r="E14" s="478">
        <f t="shared" si="0"/>
        <v>325407.07355361379</v>
      </c>
      <c r="F14" s="478">
        <f t="shared" si="1"/>
        <v>7936.7578915515569</v>
      </c>
    </row>
    <row r="15" spans="1:6">
      <c r="A15" s="470">
        <f t="shared" si="2"/>
        <v>6</v>
      </c>
      <c r="B15" s="470" t="s">
        <v>884</v>
      </c>
      <c r="C15" s="478">
        <f>W32_PG_2_of_2!B21</f>
        <v>119402.28159498451</v>
      </c>
      <c r="D15" s="478">
        <f>W32_PG_2_of_2!C21</f>
        <v>2985.0570398746131</v>
      </c>
      <c r="E15" s="478">
        <f t="shared" si="0"/>
        <v>122387.33863485913</v>
      </c>
      <c r="F15" s="478">
        <f t="shared" si="1"/>
        <v>2985.0570398746131</v>
      </c>
    </row>
    <row r="16" spans="1:6">
      <c r="A16" s="470">
        <f t="shared" si="2"/>
        <v>7</v>
      </c>
      <c r="B16" s="470" t="s">
        <v>883</v>
      </c>
      <c r="C16" s="478">
        <f>W32_PG_2_of_2!B22</f>
        <v>14123.975745659956</v>
      </c>
      <c r="D16" s="478">
        <f>W32_PG_2_of_2!C22</f>
        <v>353.09939364149892</v>
      </c>
      <c r="E16" s="478">
        <f t="shared" si="0"/>
        <v>14477.075139301456</v>
      </c>
      <c r="F16" s="478">
        <f t="shared" si="1"/>
        <v>353.09939364149892</v>
      </c>
    </row>
    <row r="17" spans="1:6">
      <c r="A17" s="470">
        <f t="shared" si="2"/>
        <v>8</v>
      </c>
      <c r="B17" s="470" t="s">
        <v>882</v>
      </c>
      <c r="C17" s="478">
        <f>W32_PG_2_of_2!B23</f>
        <v>475880.87375446997</v>
      </c>
      <c r="D17" s="478">
        <f>W32_PG_2_of_2!C23</f>
        <v>11897.02184386175</v>
      </c>
      <c r="E17" s="478">
        <f t="shared" si="0"/>
        <v>487777.8955983317</v>
      </c>
      <c r="F17" s="478">
        <f t="shared" si="1"/>
        <v>11897.02184386175</v>
      </c>
    </row>
    <row r="18" spans="1:6">
      <c r="A18" s="470">
        <f t="shared" si="2"/>
        <v>9</v>
      </c>
      <c r="B18" s="470" t="s">
        <v>881</v>
      </c>
      <c r="C18" s="478">
        <f>W32_PG_2_of_2!B24</f>
        <v>143207.1384990435</v>
      </c>
      <c r="D18" s="478">
        <f>W32_PG_2_of_2!C24</f>
        <v>3580.1784624760876</v>
      </c>
      <c r="E18" s="478">
        <f t="shared" si="0"/>
        <v>146787.31696151959</v>
      </c>
      <c r="F18" s="478">
        <f t="shared" si="1"/>
        <v>3580.1784624760876</v>
      </c>
    </row>
    <row r="19" spans="1:6">
      <c r="A19" s="470">
        <f t="shared" si="2"/>
        <v>10</v>
      </c>
      <c r="B19" s="470" t="s">
        <v>880</v>
      </c>
      <c r="C19" s="478">
        <f>W32_PG_2_of_2!B25</f>
        <v>45838.663830820973</v>
      </c>
      <c r="D19" s="478">
        <f>W32_PG_2_of_2!C25</f>
        <v>1145.9665957705245</v>
      </c>
      <c r="E19" s="478">
        <f t="shared" si="0"/>
        <v>46984.630426591495</v>
      </c>
      <c r="F19" s="478">
        <f t="shared" si="1"/>
        <v>1145.9665957705245</v>
      </c>
    </row>
    <row r="20" spans="1:6">
      <c r="A20" s="470">
        <f t="shared" si="2"/>
        <v>11</v>
      </c>
      <c r="B20" s="470" t="s">
        <v>877</v>
      </c>
      <c r="C20" s="478">
        <f>W32_PG_2_of_2!B26</f>
        <v>1713.7031514275591</v>
      </c>
      <c r="D20" s="478">
        <f>W32_PG_2_of_2!C26</f>
        <v>42.842578785688978</v>
      </c>
      <c r="E20" s="478">
        <f t="shared" si="0"/>
        <v>1756.5457302132481</v>
      </c>
      <c r="F20" s="478">
        <f t="shared" si="1"/>
        <v>42.842578785688978</v>
      </c>
    </row>
    <row r="21" spans="1:6">
      <c r="A21" s="470">
        <f t="shared" si="2"/>
        <v>12</v>
      </c>
      <c r="B21" s="470" t="s">
        <v>875</v>
      </c>
      <c r="C21" s="478">
        <f>W32_PG_2_of_2!B27</f>
        <v>41416.03378514522</v>
      </c>
      <c r="D21" s="478">
        <f>W32_PG_2_of_2!C27</f>
        <v>1035.4008446286305</v>
      </c>
      <c r="E21" s="478">
        <f t="shared" si="0"/>
        <v>42451.434629773852</v>
      </c>
      <c r="F21" s="478">
        <f t="shared" si="1"/>
        <v>1035.4008446286305</v>
      </c>
    </row>
    <row r="22" spans="1:6">
      <c r="A22" s="470">
        <f t="shared" si="2"/>
        <v>13</v>
      </c>
      <c r="B22" s="470" t="s">
        <v>873</v>
      </c>
      <c r="C22" s="478">
        <f>W32_PG_2_of_2!B28</f>
        <v>286.76710934398704</v>
      </c>
      <c r="D22" s="478">
        <f>W32_PG_2_of_2!C28</f>
        <v>7.1691777335996765</v>
      </c>
      <c r="E22" s="478">
        <f t="shared" si="0"/>
        <v>293.93628707758671</v>
      </c>
      <c r="F22" s="478">
        <f t="shared" si="1"/>
        <v>7.1691777335996765</v>
      </c>
    </row>
    <row r="23" spans="1:6">
      <c r="A23" s="470">
        <f t="shared" si="2"/>
        <v>14</v>
      </c>
      <c r="B23" s="470" t="s">
        <v>872</v>
      </c>
      <c r="C23" s="478">
        <f>W32_PG_2_of_2!B29</f>
        <v>68587.513759368507</v>
      </c>
      <c r="D23" s="478">
        <f>W32_PG_2_of_2!C29</f>
        <v>1714.6878439842128</v>
      </c>
      <c r="E23" s="478">
        <f t="shared" si="0"/>
        <v>70302.201603352718</v>
      </c>
      <c r="F23" s="478">
        <f t="shared" si="1"/>
        <v>1714.6878439842128</v>
      </c>
    </row>
    <row r="24" spans="1:6">
      <c r="A24" s="470">
        <f t="shared" si="2"/>
        <v>15</v>
      </c>
      <c r="B24" s="470" t="s">
        <v>871</v>
      </c>
      <c r="C24" s="478">
        <f>W32_PG_2_of_2!B30</f>
        <v>1698.1286589550102</v>
      </c>
      <c r="D24" s="478">
        <f>W32_PG_2_of_2!C30</f>
        <v>42.453216473875258</v>
      </c>
      <c r="E24" s="478">
        <f t="shared" si="0"/>
        <v>1740.5818754288855</v>
      </c>
      <c r="F24" s="478">
        <f t="shared" si="1"/>
        <v>42.453216473875258</v>
      </c>
    </row>
    <row r="25" spans="1:6">
      <c r="A25" s="470">
        <f t="shared" si="2"/>
        <v>16</v>
      </c>
      <c r="B25" s="470" t="s">
        <v>870</v>
      </c>
      <c r="C25" s="478">
        <f>W32_PG_2_of_2!B31</f>
        <v>75475.403361910736</v>
      </c>
      <c r="D25" s="478">
        <f>W32_PG_2_of_2!C31</f>
        <v>1886.8850840477685</v>
      </c>
      <c r="E25" s="478">
        <f t="shared" si="0"/>
        <v>77362.288445958504</v>
      </c>
      <c r="F25" s="478">
        <f t="shared" si="1"/>
        <v>1886.8850840477685</v>
      </c>
    </row>
    <row r="26" spans="1:6">
      <c r="A26" s="470">
        <f t="shared" si="2"/>
        <v>17</v>
      </c>
      <c r="B26" s="470" t="s">
        <v>867</v>
      </c>
      <c r="C26" s="478">
        <f>W32_PG_2_of_2!B32</f>
        <v>4256054.5461149598</v>
      </c>
      <c r="D26" s="478">
        <f>W32_PG_2_of_2!C32</f>
        <v>106401.363652874</v>
      </c>
      <c r="E26" s="478">
        <f t="shared" si="0"/>
        <v>4362455.9097678335</v>
      </c>
      <c r="F26" s="478">
        <f t="shared" si="1"/>
        <v>106401.363652874</v>
      </c>
    </row>
    <row r="27" spans="1:6">
      <c r="A27" s="470">
        <f t="shared" si="2"/>
        <v>18</v>
      </c>
      <c r="B27" s="470" t="s">
        <v>866</v>
      </c>
      <c r="C27" s="478">
        <f>W32_PG_2_of_2!B33</f>
        <v>-151.26510445168009</v>
      </c>
      <c r="D27" s="478">
        <f>W32_PG_2_of_2!C33</f>
        <v>-3.7816276112920022</v>
      </c>
      <c r="E27" s="478">
        <f t="shared" si="0"/>
        <v>-155.0467320629721</v>
      </c>
      <c r="F27" s="478">
        <f t="shared" si="1"/>
        <v>-3.7816276112920022</v>
      </c>
    </row>
    <row r="28" spans="1:6">
      <c r="A28" s="470">
        <f t="shared" si="2"/>
        <v>19</v>
      </c>
      <c r="B28" s="470" t="s">
        <v>865</v>
      </c>
      <c r="C28" s="478">
        <f>W32_PG_2_of_2!B34</f>
        <v>277.17037622230498</v>
      </c>
      <c r="D28" s="478">
        <f>W32_PG_2_of_2!C34</f>
        <v>6.9292594055576249</v>
      </c>
      <c r="E28" s="478">
        <f t="shared" si="0"/>
        <v>284.0996356278626</v>
      </c>
      <c r="F28" s="478">
        <f t="shared" si="1"/>
        <v>6.9292594055576249</v>
      </c>
    </row>
    <row r="29" spans="1:6">
      <c r="A29" s="470">
        <f t="shared" si="2"/>
        <v>20</v>
      </c>
      <c r="B29" s="470" t="s">
        <v>864</v>
      </c>
      <c r="C29" s="478">
        <f>W32_PG_2_of_2!B35</f>
        <v>-52.61015297753098</v>
      </c>
      <c r="D29" s="478">
        <f>W32_PG_2_of_2!C35</f>
        <v>-1.3152538244382745</v>
      </c>
      <c r="E29" s="478">
        <f t="shared" si="0"/>
        <v>-53.925406801969253</v>
      </c>
      <c r="F29" s="478">
        <f t="shared" si="1"/>
        <v>-1.3152538244382745</v>
      </c>
    </row>
    <row r="30" spans="1:6">
      <c r="A30" s="470">
        <f t="shared" si="2"/>
        <v>21</v>
      </c>
      <c r="B30" s="470" t="s">
        <v>863</v>
      </c>
      <c r="C30" s="478">
        <f>W32_PG_2_of_2!B36</f>
        <v>1754.0656911423916</v>
      </c>
      <c r="D30" s="478">
        <f>W32_PG_2_of_2!C36</f>
        <v>43.851642278559794</v>
      </c>
      <c r="E30" s="478">
        <f t="shared" si="0"/>
        <v>1797.9173334209515</v>
      </c>
      <c r="F30" s="478">
        <f t="shared" si="1"/>
        <v>43.851642278559794</v>
      </c>
    </row>
    <row r="31" spans="1:6">
      <c r="A31" s="470">
        <f t="shared" si="2"/>
        <v>22</v>
      </c>
      <c r="B31" s="470" t="s">
        <v>862</v>
      </c>
      <c r="C31" s="478">
        <f>W32_PG_2_of_2!B37</f>
        <v>45.568771923884</v>
      </c>
      <c r="D31" s="478">
        <f>W32_PG_2_of_2!C37</f>
        <v>1.1392192980971001</v>
      </c>
      <c r="E31" s="478">
        <f t="shared" si="0"/>
        <v>46.707991221981104</v>
      </c>
      <c r="F31" s="478">
        <f t="shared" si="1"/>
        <v>1.1392192980971001</v>
      </c>
    </row>
    <row r="32" spans="1:6">
      <c r="A32" s="470">
        <f t="shared" si="2"/>
        <v>23</v>
      </c>
      <c r="B32" s="470" t="s">
        <v>861</v>
      </c>
      <c r="C32" s="478">
        <f>W32_PG_2_of_2!B38</f>
        <v>3580.1935237273078</v>
      </c>
      <c r="D32" s="478">
        <f>W32_PG_2_of_2!C38</f>
        <v>89.504838093182698</v>
      </c>
      <c r="E32" s="478">
        <f t="shared" si="0"/>
        <v>3669.6983618204904</v>
      </c>
      <c r="F32" s="478">
        <f t="shared" si="1"/>
        <v>89.504838093182698</v>
      </c>
    </row>
    <row r="33" spans="1:8">
      <c r="A33" s="470">
        <f t="shared" si="2"/>
        <v>24</v>
      </c>
      <c r="B33" s="470" t="s">
        <v>860</v>
      </c>
      <c r="C33" s="478">
        <f>W32_PG_2_of_2!B39</f>
        <v>40671.64569206228</v>
      </c>
      <c r="D33" s="478">
        <f>W32_PG_2_of_2!C39</f>
        <v>1016.7911423015571</v>
      </c>
      <c r="E33" s="478">
        <f t="shared" si="0"/>
        <v>41688.436834363834</v>
      </c>
      <c r="F33" s="478">
        <f t="shared" si="1"/>
        <v>1016.7911423015571</v>
      </c>
    </row>
    <row r="34" spans="1:8">
      <c r="A34" s="470">
        <f t="shared" si="2"/>
        <v>25</v>
      </c>
      <c r="B34" s="470" t="s">
        <v>857</v>
      </c>
      <c r="C34" s="478">
        <f>W32_PG_2_of_2!B40</f>
        <v>4187.8957402567985</v>
      </c>
      <c r="D34" s="478">
        <f>W32_PG_2_of_2!C40</f>
        <v>104.69739350641997</v>
      </c>
      <c r="E34" s="478">
        <f t="shared" si="0"/>
        <v>4292.5931337632182</v>
      </c>
      <c r="F34" s="478">
        <f t="shared" si="1"/>
        <v>104.69739350641997</v>
      </c>
    </row>
    <row r="35" spans="1:8">
      <c r="A35" s="470">
        <f t="shared" si="2"/>
        <v>26</v>
      </c>
      <c r="B35" s="470" t="s">
        <v>854</v>
      </c>
      <c r="C35" s="478">
        <f>W32_PG_2_of_2!B41</f>
        <v>4728.1756717535991</v>
      </c>
      <c r="D35" s="478">
        <f>W32_PG_2_of_2!C41</f>
        <v>118.20439179383999</v>
      </c>
      <c r="E35" s="478">
        <f t="shared" si="0"/>
        <v>4846.380063547439</v>
      </c>
      <c r="F35" s="478">
        <f t="shared" si="1"/>
        <v>118.20439179383999</v>
      </c>
    </row>
    <row r="36" spans="1:8">
      <c r="A36" s="470">
        <f t="shared" si="2"/>
        <v>27</v>
      </c>
      <c r="B36" s="470" t="s">
        <v>853</v>
      </c>
      <c r="C36" s="475">
        <f>W32_PG_2_of_2!B42</f>
        <v>23186.146284172984</v>
      </c>
      <c r="D36" s="475">
        <f>W32_PG_2_of_2!C42</f>
        <v>579.65365710432468</v>
      </c>
      <c r="E36" s="475">
        <f t="shared" si="0"/>
        <v>23765.79994127731</v>
      </c>
      <c r="F36" s="475">
        <f t="shared" si="1"/>
        <v>579.65365710432468</v>
      </c>
    </row>
    <row r="37" spans="1:8" ht="13.5" thickBot="1">
      <c r="A37" s="470">
        <f t="shared" si="2"/>
        <v>28</v>
      </c>
      <c r="B37" s="471" t="s">
        <v>244</v>
      </c>
      <c r="C37" s="573">
        <f>SUM(C10:C36)</f>
        <v>6966589.170239225</v>
      </c>
      <c r="D37" s="573">
        <f>SUM(D10:D36)</f>
        <v>174164.72925598058</v>
      </c>
      <c r="E37" s="573">
        <f>SUM(E10:E36)</f>
        <v>7140753.8994952049</v>
      </c>
      <c r="F37" s="573">
        <f>SUM(F10:F36)</f>
        <v>174164.72925598058</v>
      </c>
      <c r="G37" s="471"/>
      <c r="H37" s="471"/>
    </row>
    <row r="38" spans="1:8" ht="13" thickTop="1"/>
    <row r="39" spans="1:8">
      <c r="A39" s="470">
        <v>29</v>
      </c>
      <c r="B39" s="521" t="s">
        <v>997</v>
      </c>
    </row>
    <row r="40" spans="1:8">
      <c r="B40" s="470" t="s">
        <v>903</v>
      </c>
    </row>
    <row r="41" spans="1:8">
      <c r="B41" s="489"/>
    </row>
    <row r="42" spans="1:8">
      <c r="B42" s="489" t="s">
        <v>53</v>
      </c>
      <c r="C42" s="470" t="s">
        <v>54</v>
      </c>
    </row>
  </sheetData>
  <mergeCells count="5">
    <mergeCell ref="A7:A8"/>
    <mergeCell ref="B7:B8"/>
    <mergeCell ref="C7:C8"/>
    <mergeCell ref="D7:D8"/>
    <mergeCell ref="E7:E8"/>
  </mergeCells>
  <pageMargins left="0.7" right="0.7" top="0.75" bottom="0.75" header="0.3" footer="0.3"/>
  <pageSetup orientation="portrait" horizontalDpi="200" verticalDpi="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09A99-93A7-4AC5-B8A0-99F23AD74851}">
  <sheetPr>
    <pageSetUpPr fitToPage="1"/>
  </sheetPr>
  <dimension ref="A1:D48"/>
  <sheetViews>
    <sheetView topLeftCell="A14" workbookViewId="0">
      <selection sqref="A1:C1"/>
    </sheetView>
  </sheetViews>
  <sheetFormatPr defaultColWidth="9.1796875" defaultRowHeight="12.5"/>
  <cols>
    <col min="1" max="1" width="12.7265625" style="470" bestFit="1" customWidth="1"/>
    <col min="2" max="2" width="19.26953125" style="512" customWidth="1"/>
    <col min="3" max="3" width="15.81640625" style="470" customWidth="1"/>
    <col min="4" max="16384" width="9.1796875" style="470"/>
  </cols>
  <sheetData>
    <row r="1" spans="1:4">
      <c r="A1" s="349" t="s">
        <v>51</v>
      </c>
    </row>
    <row r="2" spans="1:4">
      <c r="A2" s="349" t="s">
        <v>1001</v>
      </c>
    </row>
    <row r="3" spans="1:4">
      <c r="A3" s="349" t="s">
        <v>83</v>
      </c>
    </row>
    <row r="4" spans="1:4">
      <c r="A4" s="470" t="s">
        <v>1004</v>
      </c>
    </row>
    <row r="6" spans="1:4">
      <c r="A6" s="509" t="s">
        <v>941</v>
      </c>
      <c r="B6" s="585" t="s">
        <v>1003</v>
      </c>
    </row>
    <row r="8" spans="1:4" ht="37.5">
      <c r="A8" s="509" t="s">
        <v>562</v>
      </c>
      <c r="B8" s="584" t="s">
        <v>939</v>
      </c>
      <c r="C8" s="583" t="s">
        <v>1002</v>
      </c>
      <c r="D8" s="582">
        <f>W31_PG_4_of_4!D21</f>
        <v>2.5000000000000001E-2</v>
      </c>
    </row>
    <row r="9" spans="1:4">
      <c r="A9" s="484" t="s">
        <v>931</v>
      </c>
      <c r="B9" s="515">
        <v>3108783.1010931586</v>
      </c>
      <c r="C9" s="581">
        <f t="shared" ref="C9:C42" si="0">B9*D$8</f>
        <v>77719.577527328962</v>
      </c>
    </row>
    <row r="10" spans="1:4">
      <c r="A10" s="484" t="s">
        <v>930</v>
      </c>
      <c r="B10" s="515">
        <v>470909.19039833313</v>
      </c>
      <c r="C10" s="580">
        <f t="shared" si="0"/>
        <v>11772.729759958329</v>
      </c>
    </row>
    <row r="11" spans="1:4">
      <c r="A11" s="484" t="s">
        <v>929</v>
      </c>
      <c r="B11" s="515">
        <v>475570.14826927712</v>
      </c>
      <c r="C11" s="580">
        <f t="shared" si="0"/>
        <v>11889.253706731928</v>
      </c>
    </row>
    <row r="12" spans="1:4">
      <c r="A12" s="484" t="s">
        <v>928</v>
      </c>
      <c r="B12" s="515">
        <v>11232.64</v>
      </c>
      <c r="C12" s="580">
        <f t="shared" si="0"/>
        <v>280.81599999999997</v>
      </c>
    </row>
    <row r="13" spans="1:4">
      <c r="A13" s="484" t="s">
        <v>926</v>
      </c>
      <c r="B13" s="515">
        <v>39028.660000000003</v>
      </c>
      <c r="C13" s="580">
        <f t="shared" si="0"/>
        <v>975.71650000000011</v>
      </c>
    </row>
    <row r="14" spans="1:4">
      <c r="A14" s="484" t="s">
        <v>925</v>
      </c>
      <c r="B14" s="515">
        <v>1420.4699999999998</v>
      </c>
      <c r="C14" s="580">
        <f t="shared" si="0"/>
        <v>35.511749999999999</v>
      </c>
    </row>
    <row r="15" spans="1:4">
      <c r="A15" s="484" t="s">
        <v>924</v>
      </c>
      <c r="B15" s="515">
        <v>875541.84999999974</v>
      </c>
      <c r="C15" s="580">
        <f t="shared" si="0"/>
        <v>21888.546249999996</v>
      </c>
    </row>
    <row r="16" spans="1:4">
      <c r="A16" s="484" t="s">
        <v>893</v>
      </c>
      <c r="B16" s="515">
        <v>113616.85182032129</v>
      </c>
      <c r="C16" s="580">
        <f t="shared" si="0"/>
        <v>2840.4212955080325</v>
      </c>
    </row>
    <row r="17" spans="1:3">
      <c r="A17" s="484" t="s">
        <v>891</v>
      </c>
      <c r="B17" s="515">
        <v>884518.99254640052</v>
      </c>
      <c r="C17" s="580">
        <f t="shared" si="0"/>
        <v>22112.974813660014</v>
      </c>
    </row>
    <row r="18" spans="1:3">
      <c r="A18" s="484" t="s">
        <v>889</v>
      </c>
      <c r="B18" s="515">
        <v>320559.23067752016</v>
      </c>
      <c r="C18" s="580">
        <f t="shared" si="0"/>
        <v>8013.9807669380043</v>
      </c>
    </row>
    <row r="19" spans="1:3">
      <c r="A19" s="484" t="s">
        <v>887</v>
      </c>
      <c r="B19" s="515">
        <v>8511.7636729975748</v>
      </c>
      <c r="C19" s="580">
        <f t="shared" si="0"/>
        <v>212.79409182493939</v>
      </c>
    </row>
    <row r="20" spans="1:3">
      <c r="A20" s="484" t="s">
        <v>885</v>
      </c>
      <c r="B20" s="515">
        <v>317470.31566206226</v>
      </c>
      <c r="C20" s="580">
        <f t="shared" si="0"/>
        <v>7936.7578915515569</v>
      </c>
    </row>
    <row r="21" spans="1:3">
      <c r="A21" s="484" t="s">
        <v>884</v>
      </c>
      <c r="B21" s="515">
        <v>119402.28159498451</v>
      </c>
      <c r="C21" s="580">
        <f t="shared" si="0"/>
        <v>2985.0570398746131</v>
      </c>
    </row>
    <row r="22" spans="1:3">
      <c r="A22" s="484" t="s">
        <v>883</v>
      </c>
      <c r="B22" s="515">
        <v>14123.975745659956</v>
      </c>
      <c r="C22" s="580">
        <f t="shared" si="0"/>
        <v>353.09939364149892</v>
      </c>
    </row>
    <row r="23" spans="1:3">
      <c r="A23" s="484" t="s">
        <v>882</v>
      </c>
      <c r="B23" s="515">
        <v>475880.87375446997</v>
      </c>
      <c r="C23" s="580">
        <f t="shared" si="0"/>
        <v>11897.02184386175</v>
      </c>
    </row>
    <row r="24" spans="1:3">
      <c r="A24" s="484" t="s">
        <v>881</v>
      </c>
      <c r="B24" s="515">
        <v>143207.1384990435</v>
      </c>
      <c r="C24" s="580">
        <f t="shared" si="0"/>
        <v>3580.1784624760876</v>
      </c>
    </row>
    <row r="25" spans="1:3">
      <c r="A25" s="484" t="s">
        <v>880</v>
      </c>
      <c r="B25" s="515">
        <v>45838.663830820973</v>
      </c>
      <c r="C25" s="580">
        <f t="shared" si="0"/>
        <v>1145.9665957705245</v>
      </c>
    </row>
    <row r="26" spans="1:3">
      <c r="A26" s="484" t="s">
        <v>877</v>
      </c>
      <c r="B26" s="515">
        <v>1713.7031514275591</v>
      </c>
      <c r="C26" s="580">
        <f t="shared" si="0"/>
        <v>42.842578785688978</v>
      </c>
    </row>
    <row r="27" spans="1:3">
      <c r="A27" s="484" t="s">
        <v>875</v>
      </c>
      <c r="B27" s="515">
        <v>41416.03378514522</v>
      </c>
      <c r="C27" s="580">
        <f t="shared" si="0"/>
        <v>1035.4008446286305</v>
      </c>
    </row>
    <row r="28" spans="1:3">
      <c r="A28" s="484" t="s">
        <v>873</v>
      </c>
      <c r="B28" s="515">
        <v>286.76710934398704</v>
      </c>
      <c r="C28" s="580">
        <f t="shared" si="0"/>
        <v>7.1691777335996765</v>
      </c>
    </row>
    <row r="29" spans="1:3">
      <c r="A29" s="484" t="s">
        <v>872</v>
      </c>
      <c r="B29" s="515">
        <v>68587.513759368507</v>
      </c>
      <c r="C29" s="580">
        <f t="shared" si="0"/>
        <v>1714.6878439842128</v>
      </c>
    </row>
    <row r="30" spans="1:3">
      <c r="A30" s="484" t="s">
        <v>871</v>
      </c>
      <c r="B30" s="515">
        <v>1698.1286589550102</v>
      </c>
      <c r="C30" s="580">
        <f t="shared" si="0"/>
        <v>42.453216473875258</v>
      </c>
    </row>
    <row r="31" spans="1:3">
      <c r="A31" s="484" t="s">
        <v>870</v>
      </c>
      <c r="B31" s="515">
        <v>75475.403361910736</v>
      </c>
      <c r="C31" s="580">
        <f t="shared" si="0"/>
        <v>1886.8850840477685</v>
      </c>
    </row>
    <row r="32" spans="1:3">
      <c r="A32" s="484" t="s">
        <v>867</v>
      </c>
      <c r="B32" s="515">
        <v>4256054.5461149598</v>
      </c>
      <c r="C32" s="580">
        <f t="shared" si="0"/>
        <v>106401.363652874</v>
      </c>
    </row>
    <row r="33" spans="1:3">
      <c r="A33" s="484" t="s">
        <v>866</v>
      </c>
      <c r="B33" s="515">
        <v>-151.26510445168009</v>
      </c>
      <c r="C33" s="580">
        <f t="shared" si="0"/>
        <v>-3.7816276112920022</v>
      </c>
    </row>
    <row r="34" spans="1:3">
      <c r="A34" s="484" t="s">
        <v>865</v>
      </c>
      <c r="B34" s="515">
        <v>277.17037622230498</v>
      </c>
      <c r="C34" s="580">
        <f t="shared" si="0"/>
        <v>6.9292594055576249</v>
      </c>
    </row>
    <row r="35" spans="1:3">
      <c r="A35" s="484" t="s">
        <v>864</v>
      </c>
      <c r="B35" s="515">
        <v>-52.61015297753098</v>
      </c>
      <c r="C35" s="580">
        <f t="shared" si="0"/>
        <v>-1.3152538244382745</v>
      </c>
    </row>
    <row r="36" spans="1:3">
      <c r="A36" s="484" t="s">
        <v>863</v>
      </c>
      <c r="B36" s="515">
        <v>1754.0656911423916</v>
      </c>
      <c r="C36" s="580">
        <f t="shared" si="0"/>
        <v>43.851642278559794</v>
      </c>
    </row>
    <row r="37" spans="1:3">
      <c r="A37" s="484" t="s">
        <v>862</v>
      </c>
      <c r="B37" s="515">
        <v>45.568771923884</v>
      </c>
      <c r="C37" s="580">
        <f t="shared" si="0"/>
        <v>1.1392192980971001</v>
      </c>
    </row>
    <row r="38" spans="1:3">
      <c r="A38" s="484" t="s">
        <v>861</v>
      </c>
      <c r="B38" s="515">
        <v>3580.1935237273078</v>
      </c>
      <c r="C38" s="580">
        <f t="shared" si="0"/>
        <v>89.504838093182698</v>
      </c>
    </row>
    <row r="39" spans="1:3">
      <c r="A39" s="484" t="s">
        <v>860</v>
      </c>
      <c r="B39" s="515">
        <v>40671.64569206228</v>
      </c>
      <c r="C39" s="580">
        <f t="shared" si="0"/>
        <v>1016.7911423015571</v>
      </c>
    </row>
    <row r="40" spans="1:3">
      <c r="A40" s="484" t="s">
        <v>857</v>
      </c>
      <c r="B40" s="515">
        <v>4187.8957402567985</v>
      </c>
      <c r="C40" s="580">
        <f t="shared" si="0"/>
        <v>104.69739350641997</v>
      </c>
    </row>
    <row r="41" spans="1:3">
      <c r="A41" s="484" t="s">
        <v>854</v>
      </c>
      <c r="B41" s="515">
        <v>4728.1756717535991</v>
      </c>
      <c r="C41" s="580">
        <f t="shared" si="0"/>
        <v>118.20439179383999</v>
      </c>
    </row>
    <row r="42" spans="1:3">
      <c r="A42" s="484" t="s">
        <v>853</v>
      </c>
      <c r="B42" s="515">
        <v>23186.146284172984</v>
      </c>
      <c r="C42" s="579">
        <f t="shared" si="0"/>
        <v>579.65365710432468</v>
      </c>
    </row>
    <row r="43" spans="1:3" ht="13">
      <c r="A43" s="578" t="s">
        <v>244</v>
      </c>
      <c r="B43" s="577">
        <f>SUM(B9:B42)</f>
        <v>11949075.229999989</v>
      </c>
      <c r="C43" s="576">
        <f>SUM(C9:C42)</f>
        <v>298726.88074999972</v>
      </c>
    </row>
    <row r="45" spans="1:3" ht="13">
      <c r="A45" s="471" t="s">
        <v>956</v>
      </c>
      <c r="B45" s="575">
        <f>SUM(B16:B42)</f>
        <v>6966589.170239225</v>
      </c>
      <c r="C45" s="575">
        <f>SUM(C16:C42)</f>
        <v>174164.72925598058</v>
      </c>
    </row>
    <row r="48" spans="1:3">
      <c r="A48" s="489" t="s">
        <v>53</v>
      </c>
      <c r="B48" s="470" t="s">
        <v>54</v>
      </c>
    </row>
  </sheetData>
  <pageMargins left="0.7" right="0.7" top="0.75" bottom="0.75" header="0.3" footer="0.3"/>
  <pageSetup scale="98"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F13-60DA-4446-90E7-3D1B6C09EAE1}">
  <dimension ref="A1:J28"/>
  <sheetViews>
    <sheetView workbookViewId="0">
      <pane ySplit="7" topLeftCell="A8" activePane="bottomLeft" state="frozen"/>
      <selection sqref="A1:C1"/>
      <selection pane="bottomLeft" sqref="A1:C1"/>
    </sheetView>
  </sheetViews>
  <sheetFormatPr defaultColWidth="10.7265625" defaultRowHeight="12.5"/>
  <cols>
    <col min="1" max="1" width="7.81640625" style="587" bestFit="1" customWidth="1"/>
    <col min="2" max="2" width="1.1796875" style="586" customWidth="1"/>
    <col min="3" max="3" width="6.26953125" style="586" customWidth="1"/>
    <col min="4" max="4" width="13.7265625" style="586" customWidth="1"/>
    <col min="5" max="5" width="29.7265625" style="586" customWidth="1"/>
    <col min="6" max="6" width="38.7265625" style="586" customWidth="1"/>
    <col min="7" max="7" width="1.1796875" style="586" customWidth="1"/>
    <col min="8" max="8" width="15.453125" style="586" customWidth="1"/>
    <col min="9" max="9" width="4.1796875" style="586" customWidth="1"/>
    <col min="10" max="10" width="11.81640625" style="586" bestFit="1" customWidth="1"/>
    <col min="11" max="16384" width="10.7265625" style="586"/>
  </cols>
  <sheetData>
    <row r="1" spans="1:9">
      <c r="A1" s="586" t="s">
        <v>51</v>
      </c>
    </row>
    <row r="2" spans="1:9">
      <c r="A2" s="586" t="s">
        <v>1021</v>
      </c>
    </row>
    <row r="3" spans="1:9">
      <c r="A3" s="586" t="s">
        <v>83</v>
      </c>
    </row>
    <row r="4" spans="1:9">
      <c r="A4" s="586" t="s">
        <v>919</v>
      </c>
      <c r="G4" s="757"/>
      <c r="H4" s="757"/>
    </row>
    <row r="5" spans="1:9" ht="15.5">
      <c r="A5" s="610"/>
      <c r="C5" s="587"/>
      <c r="D5" s="587"/>
      <c r="E5" s="587"/>
      <c r="F5" s="587"/>
      <c r="G5" s="587"/>
      <c r="H5" s="587"/>
    </row>
    <row r="6" spans="1:9" s="608" customFormat="1" ht="13">
      <c r="A6" s="589" t="s">
        <v>396</v>
      </c>
      <c r="C6" s="758" t="s">
        <v>397</v>
      </c>
      <c r="D6" s="758"/>
      <c r="E6" s="758"/>
      <c r="F6" s="758"/>
      <c r="G6" s="586"/>
      <c r="H6" s="609" t="s">
        <v>93</v>
      </c>
      <c r="I6" s="586"/>
    </row>
    <row r="7" spans="1:9" s="603" customFormat="1" ht="11.5">
      <c r="A7" s="607" t="s">
        <v>1020</v>
      </c>
      <c r="B7" s="606"/>
      <c r="C7" s="759" t="s">
        <v>912</v>
      </c>
      <c r="D7" s="759"/>
      <c r="E7" s="759"/>
      <c r="F7" s="759"/>
      <c r="G7" s="600"/>
      <c r="H7" s="600" t="s">
        <v>911</v>
      </c>
    </row>
    <row r="8" spans="1:9" ht="15.5">
      <c r="A8" s="589">
        <v>1</v>
      </c>
      <c r="B8" s="592"/>
      <c r="C8" s="586" t="s">
        <v>1019</v>
      </c>
      <c r="G8" s="597"/>
      <c r="H8" s="597">
        <f>W30_PG_1_of_3!E45</f>
        <v>782504.74623819231</v>
      </c>
    </row>
    <row r="9" spans="1:9" ht="15.5">
      <c r="A9" s="589">
        <f>1+A8</f>
        <v>2</v>
      </c>
      <c r="B9" s="592"/>
      <c r="C9" s="586" t="s">
        <v>1018</v>
      </c>
      <c r="G9" s="597"/>
      <c r="H9" s="597">
        <f>W30_PG_1_of_3!I45</f>
        <v>54091.406985850794</v>
      </c>
    </row>
    <row r="10" spans="1:9" ht="15.5">
      <c r="A10" s="589">
        <f>1+A9</f>
        <v>3</v>
      </c>
      <c r="B10" s="592"/>
      <c r="C10" s="586" t="s">
        <v>1017</v>
      </c>
      <c r="G10" s="597"/>
      <c r="H10" s="597">
        <f>W31_PG_1_of_4!E46</f>
        <v>1613267.7534231553</v>
      </c>
    </row>
    <row r="11" spans="1:9" ht="15.5">
      <c r="A11" s="589">
        <f>1+A10</f>
        <v>4</v>
      </c>
      <c r="B11" s="592"/>
      <c r="C11" s="586" t="s">
        <v>1016</v>
      </c>
      <c r="G11" s="597"/>
      <c r="H11" s="605">
        <f>W31_PG_1_of_4!H46</f>
        <v>506874.10430759907</v>
      </c>
    </row>
    <row r="12" spans="1:9" ht="15.5">
      <c r="A12" s="589">
        <f>1+A11</f>
        <v>5</v>
      </c>
      <c r="B12" s="592"/>
      <c r="C12" s="586" t="s">
        <v>1015</v>
      </c>
      <c r="G12" s="601"/>
      <c r="H12" s="604">
        <f>W32_PG_1_of_2!D37</f>
        <v>174164.72925598058</v>
      </c>
    </row>
    <row r="13" spans="1:9" ht="15.5">
      <c r="A13" s="589">
        <f>1+A12</f>
        <v>6</v>
      </c>
      <c r="B13" s="592"/>
      <c r="C13" s="586" t="s">
        <v>1014</v>
      </c>
      <c r="D13" s="592"/>
      <c r="E13" s="592"/>
      <c r="F13" s="591"/>
      <c r="G13" s="599"/>
      <c r="H13" s="599">
        <f>SUM(H8:H12)</f>
        <v>3130902.7402107781</v>
      </c>
    </row>
    <row r="14" spans="1:9" ht="15.5">
      <c r="A14" s="603"/>
      <c r="B14" s="592"/>
      <c r="C14" s="602"/>
      <c r="D14" s="592"/>
      <c r="E14" s="592"/>
      <c r="F14" s="591"/>
      <c r="G14" s="599"/>
      <c r="H14" s="597"/>
    </row>
    <row r="15" spans="1:9" ht="15.5">
      <c r="A15" s="589">
        <f>1+A13</f>
        <v>7</v>
      </c>
      <c r="B15" s="592"/>
      <c r="C15" s="591" t="s">
        <v>1013</v>
      </c>
      <c r="E15" s="591"/>
      <c r="G15" s="601"/>
      <c r="H15" s="601">
        <f>W34_PG_2_of_3!K11</f>
        <v>2398520.56</v>
      </c>
    </row>
    <row r="16" spans="1:9" ht="15.5">
      <c r="A16" s="589">
        <f>1+A15</f>
        <v>8</v>
      </c>
      <c r="B16" s="592"/>
      <c r="C16" s="586" t="s">
        <v>1012</v>
      </c>
      <c r="E16" s="591"/>
      <c r="G16" s="601"/>
      <c r="H16" s="601">
        <f>W34_PG_3_of_3!B16</f>
        <v>49083008.089999966</v>
      </c>
    </row>
    <row r="17" spans="1:10" ht="15.5">
      <c r="A17" s="589">
        <f>1+A16</f>
        <v>9</v>
      </c>
      <c r="B17" s="592"/>
      <c r="C17" s="586" t="s">
        <v>1011</v>
      </c>
      <c r="E17" s="592"/>
      <c r="G17" s="598"/>
      <c r="H17" s="598">
        <f>H15/H16</f>
        <v>4.8866617050079858E-2</v>
      </c>
    </row>
    <row r="18" spans="1:10" ht="15.5">
      <c r="A18" s="589">
        <f>1+A17</f>
        <v>10</v>
      </c>
      <c r="B18" s="592"/>
      <c r="C18" s="586" t="s">
        <v>1010</v>
      </c>
      <c r="D18" s="591"/>
      <c r="E18" s="592"/>
      <c r="G18" s="598"/>
      <c r="H18" s="598">
        <f>1-H17</f>
        <v>0.95113338294992011</v>
      </c>
    </row>
    <row r="19" spans="1:10" ht="15.5">
      <c r="A19" s="600"/>
      <c r="B19" s="592"/>
      <c r="C19" s="591"/>
      <c r="D19" s="591"/>
      <c r="E19" s="592"/>
      <c r="G19" s="598"/>
      <c r="H19" s="598"/>
    </row>
    <row r="20" spans="1:10" ht="15.5">
      <c r="A20" s="589">
        <f>1+A18</f>
        <v>11</v>
      </c>
      <c r="B20" s="592"/>
      <c r="C20" s="591" t="s">
        <v>1009</v>
      </c>
      <c r="D20" s="592"/>
      <c r="E20" s="591"/>
      <c r="F20" s="592"/>
      <c r="G20" s="597"/>
      <c r="H20" s="599">
        <f>H13*H18</f>
        <v>2977906.114983852</v>
      </c>
    </row>
    <row r="21" spans="1:10" ht="15.5">
      <c r="A21" s="589">
        <f>1+A20</f>
        <v>12</v>
      </c>
      <c r="B21" s="592"/>
      <c r="C21" s="591" t="s">
        <v>1008</v>
      </c>
      <c r="D21" s="591"/>
      <c r="E21" s="591"/>
      <c r="F21" s="591"/>
      <c r="G21" s="591"/>
      <c r="H21" s="598">
        <v>6.2E-2</v>
      </c>
    </row>
    <row r="22" spans="1:10" ht="15.5">
      <c r="A22" s="589">
        <f>1+A21</f>
        <v>13</v>
      </c>
      <c r="B22" s="592"/>
      <c r="C22" s="591" t="s">
        <v>1007</v>
      </c>
      <c r="D22" s="591"/>
      <c r="E22" s="591"/>
      <c r="F22" s="591"/>
      <c r="G22" s="597"/>
      <c r="H22" s="597">
        <f>H20*H21</f>
        <v>184630.17912899883</v>
      </c>
      <c r="J22" s="596"/>
    </row>
    <row r="23" spans="1:10" ht="15.5">
      <c r="A23" s="589"/>
      <c r="B23" s="592"/>
      <c r="C23" s="591"/>
      <c r="D23" s="591"/>
      <c r="E23" s="591"/>
      <c r="F23" s="591"/>
      <c r="H23" s="595"/>
    </row>
    <row r="24" spans="1:10" ht="15.5">
      <c r="A24" s="589">
        <f>1+A22</f>
        <v>14</v>
      </c>
      <c r="B24" s="592"/>
      <c r="C24" s="591" t="s">
        <v>1006</v>
      </c>
      <c r="E24" s="594"/>
      <c r="F24" s="591"/>
      <c r="H24" s="593">
        <v>1</v>
      </c>
    </row>
    <row r="25" spans="1:10" ht="16" thickBot="1">
      <c r="A25" s="589">
        <f>1+A24</f>
        <v>15</v>
      </c>
      <c r="B25" s="592"/>
      <c r="C25" s="591" t="s">
        <v>1005</v>
      </c>
      <c r="D25" s="592"/>
      <c r="F25" s="591"/>
      <c r="G25" s="591"/>
      <c r="H25" s="590">
        <f>H24*H22</f>
        <v>184630.17912899883</v>
      </c>
    </row>
    <row r="26" spans="1:10" ht="13" thickTop="1">
      <c r="A26" s="589"/>
    </row>
    <row r="28" spans="1:10">
      <c r="C28" s="588" t="s">
        <v>53</v>
      </c>
      <c r="D28" s="432" t="s">
        <v>54</v>
      </c>
    </row>
  </sheetData>
  <mergeCells count="3">
    <mergeCell ref="G4:H4"/>
    <mergeCell ref="C6:F6"/>
    <mergeCell ref="C7:F7"/>
  </mergeCells>
  <pageMargins left="0.7" right="0.7" top="0.75" bottom="0.75" header="0.3" footer="0.3"/>
  <pageSetup orientation="portrait" horizontalDpi="200" verticalDpi="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1725-E904-4D88-901D-9B603CB7CC39}">
  <dimension ref="A1:S75"/>
  <sheetViews>
    <sheetView topLeftCell="A4" workbookViewId="0">
      <selection activeCell="K18" sqref="K18"/>
    </sheetView>
  </sheetViews>
  <sheetFormatPr defaultRowHeight="12.5"/>
  <cols>
    <col min="1" max="1" width="24.54296875" style="432" customWidth="1"/>
    <col min="2" max="2" width="8.7265625" style="432" customWidth="1"/>
    <col min="3" max="3" width="17.54296875" style="432" customWidth="1"/>
    <col min="4" max="4" width="11.81640625" style="432" bestFit="1" customWidth="1"/>
    <col min="5" max="5" width="14.81640625" style="432" bestFit="1" customWidth="1"/>
    <col min="6" max="6" width="33.453125" style="432" bestFit="1" customWidth="1"/>
    <col min="7" max="7" width="9.1796875" style="432"/>
    <col min="8" max="8" width="20.26953125" style="432" customWidth="1"/>
    <col min="9" max="9" width="25.26953125" style="432" bestFit="1" customWidth="1"/>
    <col min="10" max="10" width="31.26953125" style="432" bestFit="1" customWidth="1"/>
    <col min="11" max="11" width="13.26953125" style="432" bestFit="1" customWidth="1"/>
    <col min="12" max="255" width="9.1796875" style="432"/>
    <col min="256" max="256" width="9.453125" style="432" bestFit="1" customWidth="1"/>
    <col min="257" max="257" width="16.54296875" style="432" bestFit="1" customWidth="1"/>
    <col min="258" max="511" width="9.1796875" style="432"/>
    <col min="512" max="512" width="9.453125" style="432" bestFit="1" customWidth="1"/>
    <col min="513" max="513" width="16.54296875" style="432" bestFit="1" customWidth="1"/>
    <col min="514" max="767" width="9.1796875" style="432"/>
    <col min="768" max="768" width="9.453125" style="432" bestFit="1" customWidth="1"/>
    <col min="769" max="769" width="16.54296875" style="432" bestFit="1" customWidth="1"/>
    <col min="770" max="1023" width="9.1796875" style="432"/>
    <col min="1024" max="1024" width="9.453125" style="432" bestFit="1" customWidth="1"/>
    <col min="1025" max="1025" width="16.54296875" style="432" bestFit="1" customWidth="1"/>
    <col min="1026" max="1279" width="9.1796875" style="432"/>
    <col min="1280" max="1280" width="9.453125" style="432" bestFit="1" customWidth="1"/>
    <col min="1281" max="1281" width="16.54296875" style="432" bestFit="1" customWidth="1"/>
    <col min="1282" max="1535" width="9.1796875" style="432"/>
    <col min="1536" max="1536" width="9.453125" style="432" bestFit="1" customWidth="1"/>
    <col min="1537" max="1537" width="16.54296875" style="432" bestFit="1" customWidth="1"/>
    <col min="1538" max="1791" width="9.1796875" style="432"/>
    <col min="1792" max="1792" width="9.453125" style="432" bestFit="1" customWidth="1"/>
    <col min="1793" max="1793" width="16.54296875" style="432" bestFit="1" customWidth="1"/>
    <col min="1794" max="2047" width="9.1796875" style="432"/>
    <col min="2048" max="2048" width="9.453125" style="432" bestFit="1" customWidth="1"/>
    <col min="2049" max="2049" width="16.54296875" style="432" bestFit="1" customWidth="1"/>
    <col min="2050" max="2303" width="9.1796875" style="432"/>
    <col min="2304" max="2304" width="9.453125" style="432" bestFit="1" customWidth="1"/>
    <col min="2305" max="2305" width="16.54296875" style="432" bestFit="1" customWidth="1"/>
    <col min="2306" max="2559" width="9.1796875" style="432"/>
    <col min="2560" max="2560" width="9.453125" style="432" bestFit="1" customWidth="1"/>
    <col min="2561" max="2561" width="16.54296875" style="432" bestFit="1" customWidth="1"/>
    <col min="2562" max="2815" width="9.1796875" style="432"/>
    <col min="2816" max="2816" width="9.453125" style="432" bestFit="1" customWidth="1"/>
    <col min="2817" max="2817" width="16.54296875" style="432" bestFit="1" customWidth="1"/>
    <col min="2818" max="3071" width="9.1796875" style="432"/>
    <col min="3072" max="3072" width="9.453125" style="432" bestFit="1" customWidth="1"/>
    <col min="3073" max="3073" width="16.54296875" style="432" bestFit="1" customWidth="1"/>
    <col min="3074" max="3327" width="9.1796875" style="432"/>
    <col min="3328" max="3328" width="9.453125" style="432" bestFit="1" customWidth="1"/>
    <col min="3329" max="3329" width="16.54296875" style="432" bestFit="1" customWidth="1"/>
    <col min="3330" max="3583" width="9.1796875" style="432"/>
    <col min="3584" max="3584" width="9.453125" style="432" bestFit="1" customWidth="1"/>
    <col min="3585" max="3585" width="16.54296875" style="432" bestFit="1" customWidth="1"/>
    <col min="3586" max="3839" width="9.1796875" style="432"/>
    <col min="3840" max="3840" width="9.453125" style="432" bestFit="1" customWidth="1"/>
    <col min="3841" max="3841" width="16.54296875" style="432" bestFit="1" customWidth="1"/>
    <col min="3842" max="4095" width="9.1796875" style="432"/>
    <col min="4096" max="4096" width="9.453125" style="432" bestFit="1" customWidth="1"/>
    <col min="4097" max="4097" width="16.54296875" style="432" bestFit="1" customWidth="1"/>
    <col min="4098" max="4351" width="9.1796875" style="432"/>
    <col min="4352" max="4352" width="9.453125" style="432" bestFit="1" customWidth="1"/>
    <col min="4353" max="4353" width="16.54296875" style="432" bestFit="1" customWidth="1"/>
    <col min="4354" max="4607" width="9.1796875" style="432"/>
    <col min="4608" max="4608" width="9.453125" style="432" bestFit="1" customWidth="1"/>
    <col min="4609" max="4609" width="16.54296875" style="432" bestFit="1" customWidth="1"/>
    <col min="4610" max="4863" width="9.1796875" style="432"/>
    <col min="4864" max="4864" width="9.453125" style="432" bestFit="1" customWidth="1"/>
    <col min="4865" max="4865" width="16.54296875" style="432" bestFit="1" customWidth="1"/>
    <col min="4866" max="5119" width="9.1796875" style="432"/>
    <col min="5120" max="5120" width="9.453125" style="432" bestFit="1" customWidth="1"/>
    <col min="5121" max="5121" width="16.54296875" style="432" bestFit="1" customWidth="1"/>
    <col min="5122" max="5375" width="9.1796875" style="432"/>
    <col min="5376" max="5376" width="9.453125" style="432" bestFit="1" customWidth="1"/>
    <col min="5377" max="5377" width="16.54296875" style="432" bestFit="1" customWidth="1"/>
    <col min="5378" max="5631" width="9.1796875" style="432"/>
    <col min="5632" max="5632" width="9.453125" style="432" bestFit="1" customWidth="1"/>
    <col min="5633" max="5633" width="16.54296875" style="432" bestFit="1" customWidth="1"/>
    <col min="5634" max="5887" width="9.1796875" style="432"/>
    <col min="5888" max="5888" width="9.453125" style="432" bestFit="1" customWidth="1"/>
    <col min="5889" max="5889" width="16.54296875" style="432" bestFit="1" customWidth="1"/>
    <col min="5890" max="6143" width="9.1796875" style="432"/>
    <col min="6144" max="6144" width="9.453125" style="432" bestFit="1" customWidth="1"/>
    <col min="6145" max="6145" width="16.54296875" style="432" bestFit="1" customWidth="1"/>
    <col min="6146" max="6399" width="9.1796875" style="432"/>
    <col min="6400" max="6400" width="9.453125" style="432" bestFit="1" customWidth="1"/>
    <col min="6401" max="6401" width="16.54296875" style="432" bestFit="1" customWidth="1"/>
    <col min="6402" max="6655" width="9.1796875" style="432"/>
    <col min="6656" max="6656" width="9.453125" style="432" bestFit="1" customWidth="1"/>
    <col min="6657" max="6657" width="16.54296875" style="432" bestFit="1" customWidth="1"/>
    <col min="6658" max="6911" width="9.1796875" style="432"/>
    <col min="6912" max="6912" width="9.453125" style="432" bestFit="1" customWidth="1"/>
    <col min="6913" max="6913" width="16.54296875" style="432" bestFit="1" customWidth="1"/>
    <col min="6914" max="7167" width="9.1796875" style="432"/>
    <col min="7168" max="7168" width="9.453125" style="432" bestFit="1" customWidth="1"/>
    <col min="7169" max="7169" width="16.54296875" style="432" bestFit="1" customWidth="1"/>
    <col min="7170" max="7423" width="9.1796875" style="432"/>
    <col min="7424" max="7424" width="9.453125" style="432" bestFit="1" customWidth="1"/>
    <col min="7425" max="7425" width="16.54296875" style="432" bestFit="1" customWidth="1"/>
    <col min="7426" max="7679" width="9.1796875" style="432"/>
    <col min="7680" max="7680" width="9.453125" style="432" bestFit="1" customWidth="1"/>
    <col min="7681" max="7681" width="16.54296875" style="432" bestFit="1" customWidth="1"/>
    <col min="7682" max="7935" width="9.1796875" style="432"/>
    <col min="7936" max="7936" width="9.453125" style="432" bestFit="1" customWidth="1"/>
    <col min="7937" max="7937" width="16.54296875" style="432" bestFit="1" customWidth="1"/>
    <col min="7938" max="8191" width="9.1796875" style="432"/>
    <col min="8192" max="8192" width="9.453125" style="432" bestFit="1" customWidth="1"/>
    <col min="8193" max="8193" width="16.54296875" style="432" bestFit="1" customWidth="1"/>
    <col min="8194" max="8447" width="9.1796875" style="432"/>
    <col min="8448" max="8448" width="9.453125" style="432" bestFit="1" customWidth="1"/>
    <col min="8449" max="8449" width="16.54296875" style="432" bestFit="1" customWidth="1"/>
    <col min="8450" max="8703" width="9.1796875" style="432"/>
    <col min="8704" max="8704" width="9.453125" style="432" bestFit="1" customWidth="1"/>
    <col min="8705" max="8705" width="16.54296875" style="432" bestFit="1" customWidth="1"/>
    <col min="8706" max="8959" width="9.1796875" style="432"/>
    <col min="8960" max="8960" width="9.453125" style="432" bestFit="1" customWidth="1"/>
    <col min="8961" max="8961" width="16.54296875" style="432" bestFit="1" customWidth="1"/>
    <col min="8962" max="9215" width="9.1796875" style="432"/>
    <col min="9216" max="9216" width="9.453125" style="432" bestFit="1" customWidth="1"/>
    <col min="9217" max="9217" width="16.54296875" style="432" bestFit="1" customWidth="1"/>
    <col min="9218" max="9471" width="9.1796875" style="432"/>
    <col min="9472" max="9472" width="9.453125" style="432" bestFit="1" customWidth="1"/>
    <col min="9473" max="9473" width="16.54296875" style="432" bestFit="1" customWidth="1"/>
    <col min="9474" max="9727" width="9.1796875" style="432"/>
    <col min="9728" max="9728" width="9.453125" style="432" bestFit="1" customWidth="1"/>
    <col min="9729" max="9729" width="16.54296875" style="432" bestFit="1" customWidth="1"/>
    <col min="9730" max="9983" width="9.1796875" style="432"/>
    <col min="9984" max="9984" width="9.453125" style="432" bestFit="1" customWidth="1"/>
    <col min="9985" max="9985" width="16.54296875" style="432" bestFit="1" customWidth="1"/>
    <col min="9986" max="10239" width="9.1796875" style="432"/>
    <col min="10240" max="10240" width="9.453125" style="432" bestFit="1" customWidth="1"/>
    <col min="10241" max="10241" width="16.54296875" style="432" bestFit="1" customWidth="1"/>
    <col min="10242" max="10495" width="9.1796875" style="432"/>
    <col min="10496" max="10496" width="9.453125" style="432" bestFit="1" customWidth="1"/>
    <col min="10497" max="10497" width="16.54296875" style="432" bestFit="1" customWidth="1"/>
    <col min="10498" max="10751" width="9.1796875" style="432"/>
    <col min="10752" max="10752" width="9.453125" style="432" bestFit="1" customWidth="1"/>
    <col min="10753" max="10753" width="16.54296875" style="432" bestFit="1" customWidth="1"/>
    <col min="10754" max="11007" width="9.1796875" style="432"/>
    <col min="11008" max="11008" width="9.453125" style="432" bestFit="1" customWidth="1"/>
    <col min="11009" max="11009" width="16.54296875" style="432" bestFit="1" customWidth="1"/>
    <col min="11010" max="11263" width="9.1796875" style="432"/>
    <col min="11264" max="11264" width="9.453125" style="432" bestFit="1" customWidth="1"/>
    <col min="11265" max="11265" width="16.54296875" style="432" bestFit="1" customWidth="1"/>
    <col min="11266" max="11519" width="9.1796875" style="432"/>
    <col min="11520" max="11520" width="9.453125" style="432" bestFit="1" customWidth="1"/>
    <col min="11521" max="11521" width="16.54296875" style="432" bestFit="1" customWidth="1"/>
    <col min="11522" max="11775" width="9.1796875" style="432"/>
    <col min="11776" max="11776" width="9.453125" style="432" bestFit="1" customWidth="1"/>
    <col min="11777" max="11777" width="16.54296875" style="432" bestFit="1" customWidth="1"/>
    <col min="11778" max="12031" width="9.1796875" style="432"/>
    <col min="12032" max="12032" width="9.453125" style="432" bestFit="1" customWidth="1"/>
    <col min="12033" max="12033" width="16.54296875" style="432" bestFit="1" customWidth="1"/>
    <col min="12034" max="12287" width="9.1796875" style="432"/>
    <col min="12288" max="12288" width="9.453125" style="432" bestFit="1" customWidth="1"/>
    <col min="12289" max="12289" width="16.54296875" style="432" bestFit="1" customWidth="1"/>
    <col min="12290" max="12543" width="9.1796875" style="432"/>
    <col min="12544" max="12544" width="9.453125" style="432" bestFit="1" customWidth="1"/>
    <col min="12545" max="12545" width="16.54296875" style="432" bestFit="1" customWidth="1"/>
    <col min="12546" max="12799" width="9.1796875" style="432"/>
    <col min="12800" max="12800" width="9.453125" style="432" bestFit="1" customWidth="1"/>
    <col min="12801" max="12801" width="16.54296875" style="432" bestFit="1" customWidth="1"/>
    <col min="12802" max="13055" width="9.1796875" style="432"/>
    <col min="13056" max="13056" width="9.453125" style="432" bestFit="1" customWidth="1"/>
    <col min="13057" max="13057" width="16.54296875" style="432" bestFit="1" customWidth="1"/>
    <col min="13058" max="13311" width="9.1796875" style="432"/>
    <col min="13312" max="13312" width="9.453125" style="432" bestFit="1" customWidth="1"/>
    <col min="13313" max="13313" width="16.54296875" style="432" bestFit="1" customWidth="1"/>
    <col min="13314" max="13567" width="9.1796875" style="432"/>
    <col min="13568" max="13568" width="9.453125" style="432" bestFit="1" customWidth="1"/>
    <col min="13569" max="13569" width="16.54296875" style="432" bestFit="1" customWidth="1"/>
    <col min="13570" max="13823" width="9.1796875" style="432"/>
    <col min="13824" max="13824" width="9.453125" style="432" bestFit="1" customWidth="1"/>
    <col min="13825" max="13825" width="16.54296875" style="432" bestFit="1" customWidth="1"/>
    <col min="13826" max="14079" width="9.1796875" style="432"/>
    <col min="14080" max="14080" width="9.453125" style="432" bestFit="1" customWidth="1"/>
    <col min="14081" max="14081" width="16.54296875" style="432" bestFit="1" customWidth="1"/>
    <col min="14082" max="14335" width="9.1796875" style="432"/>
    <col min="14336" max="14336" width="9.453125" style="432" bestFit="1" customWidth="1"/>
    <col min="14337" max="14337" width="16.54296875" style="432" bestFit="1" customWidth="1"/>
    <col min="14338" max="14591" width="9.1796875" style="432"/>
    <col min="14592" max="14592" width="9.453125" style="432" bestFit="1" customWidth="1"/>
    <col min="14593" max="14593" width="16.54296875" style="432" bestFit="1" customWidth="1"/>
    <col min="14594" max="14847" width="9.1796875" style="432"/>
    <col min="14848" max="14848" width="9.453125" style="432" bestFit="1" customWidth="1"/>
    <col min="14849" max="14849" width="16.54296875" style="432" bestFit="1" customWidth="1"/>
    <col min="14850" max="15103" width="9.1796875" style="432"/>
    <col min="15104" max="15104" width="9.453125" style="432" bestFit="1" customWidth="1"/>
    <col min="15105" max="15105" width="16.54296875" style="432" bestFit="1" customWidth="1"/>
    <col min="15106" max="15359" width="9.1796875" style="432"/>
    <col min="15360" max="15360" width="9.453125" style="432" bestFit="1" customWidth="1"/>
    <col min="15361" max="15361" width="16.54296875" style="432" bestFit="1" customWidth="1"/>
    <col min="15362" max="15615" width="9.1796875" style="432"/>
    <col min="15616" max="15616" width="9.453125" style="432" bestFit="1" customWidth="1"/>
    <col min="15617" max="15617" width="16.54296875" style="432" bestFit="1" customWidth="1"/>
    <col min="15618" max="15871" width="9.1796875" style="432"/>
    <col min="15872" max="15872" width="9.453125" style="432" bestFit="1" customWidth="1"/>
    <col min="15873" max="15873" width="16.54296875" style="432" bestFit="1" customWidth="1"/>
    <col min="15874" max="16127" width="9.1796875" style="432"/>
    <col min="16128" max="16128" width="9.453125" style="432" bestFit="1" customWidth="1"/>
    <col min="16129" max="16129" width="16.54296875" style="432" bestFit="1" customWidth="1"/>
    <col min="16130" max="16384" width="9.1796875" style="432"/>
  </cols>
  <sheetData>
    <row r="1" spans="1:19">
      <c r="A1" s="586" t="s">
        <v>51</v>
      </c>
    </row>
    <row r="2" spans="1:19">
      <c r="A2" s="586" t="s">
        <v>1021</v>
      </c>
    </row>
    <row r="3" spans="1:19">
      <c r="A3" s="586" t="s">
        <v>83</v>
      </c>
    </row>
    <row r="4" spans="1:19">
      <c r="A4" s="432" t="s">
        <v>1033</v>
      </c>
    </row>
    <row r="5" spans="1:19" ht="13" thickBot="1"/>
    <row r="6" spans="1:19" ht="41.25" customHeight="1" thickTop="1" thickBot="1">
      <c r="A6" s="622" t="s">
        <v>1032</v>
      </c>
      <c r="B6" s="622" t="s">
        <v>542</v>
      </c>
      <c r="C6" s="623" t="s">
        <v>1031</v>
      </c>
      <c r="D6" s="623" t="s">
        <v>1030</v>
      </c>
      <c r="E6" s="623" t="s">
        <v>1029</v>
      </c>
      <c r="F6" s="622" t="s">
        <v>482</v>
      </c>
    </row>
    <row r="7" spans="1:19" ht="15.75" customHeight="1" thickTop="1">
      <c r="A7" s="614" t="s">
        <v>51</v>
      </c>
      <c r="B7" s="614">
        <v>2024</v>
      </c>
      <c r="C7" s="612">
        <v>168943.42</v>
      </c>
      <c r="D7" s="612">
        <v>168600</v>
      </c>
      <c r="E7" s="612">
        <f t="shared" ref="E7:E38" si="0">+C7-D7</f>
        <v>343.42000000001281</v>
      </c>
      <c r="F7" s="612" t="s">
        <v>1022</v>
      </c>
      <c r="H7" s="621" t="s">
        <v>562</v>
      </c>
      <c r="I7" s="621" t="s">
        <v>1028</v>
      </c>
      <c r="J7" s="586" t="s">
        <v>1027</v>
      </c>
    </row>
    <row r="8" spans="1:19" ht="14.5">
      <c r="A8" s="614" t="s">
        <v>51</v>
      </c>
      <c r="B8" s="614">
        <v>2024</v>
      </c>
      <c r="C8" s="612">
        <v>169126.77</v>
      </c>
      <c r="D8" s="612">
        <v>168600</v>
      </c>
      <c r="E8" s="612">
        <f t="shared" si="0"/>
        <v>526.76999999998952</v>
      </c>
      <c r="F8" s="612" t="s">
        <v>1022</v>
      </c>
      <c r="H8" s="618" t="s">
        <v>1022</v>
      </c>
      <c r="I8" s="586">
        <v>53</v>
      </c>
      <c r="J8" s="617">
        <v>2024343.6700000004</v>
      </c>
      <c r="K8" s="620">
        <f>J8</f>
        <v>2024343.6700000004</v>
      </c>
    </row>
    <row r="9" spans="1:19" ht="14.5">
      <c r="A9" s="614" t="s">
        <v>51</v>
      </c>
      <c r="B9" s="614">
        <v>2024</v>
      </c>
      <c r="C9" s="612">
        <v>169625.95</v>
      </c>
      <c r="D9" s="612">
        <v>168600</v>
      </c>
      <c r="E9" s="612">
        <f t="shared" si="0"/>
        <v>1025.9500000000116</v>
      </c>
      <c r="F9" s="612" t="s">
        <v>1022</v>
      </c>
      <c r="H9" s="618" t="s">
        <v>1025</v>
      </c>
      <c r="I9" s="586">
        <v>3</v>
      </c>
      <c r="J9" s="617">
        <v>141151.25999999998</v>
      </c>
      <c r="K9" s="620">
        <f>J9</f>
        <v>141151.25999999998</v>
      </c>
    </row>
    <row r="10" spans="1:19" ht="14.5">
      <c r="A10" s="614" t="s">
        <v>51</v>
      </c>
      <c r="B10" s="614">
        <v>2024</v>
      </c>
      <c r="C10" s="612">
        <v>169770.46</v>
      </c>
      <c r="D10" s="612">
        <v>168600</v>
      </c>
      <c r="E10" s="612">
        <f t="shared" si="0"/>
        <v>1170.4599999999919</v>
      </c>
      <c r="F10" s="612" t="s">
        <v>1022</v>
      </c>
      <c r="H10" s="618" t="s">
        <v>1023</v>
      </c>
      <c r="I10" s="586">
        <v>9</v>
      </c>
      <c r="J10" s="617">
        <v>466051.25999999989</v>
      </c>
      <c r="K10" s="619">
        <f>J10*0.5</f>
        <v>233025.62999999995</v>
      </c>
    </row>
    <row r="11" spans="1:19" ht="14.5">
      <c r="A11" s="614" t="s">
        <v>51</v>
      </c>
      <c r="B11" s="614">
        <v>2024</v>
      </c>
      <c r="C11" s="612">
        <v>169978.12</v>
      </c>
      <c r="D11" s="612">
        <v>168600</v>
      </c>
      <c r="E11" s="612">
        <f t="shared" si="0"/>
        <v>1378.1199999999953</v>
      </c>
      <c r="F11" s="612" t="s">
        <v>1022</v>
      </c>
      <c r="H11" s="618" t="s">
        <v>244</v>
      </c>
      <c r="I11" s="586">
        <v>65</v>
      </c>
      <c r="J11" s="617">
        <v>2631546.1900000004</v>
      </c>
      <c r="K11" s="654">
        <f>SUM(K8:K10)</f>
        <v>2398520.56</v>
      </c>
      <c r="L11" s="616" t="s">
        <v>1026</v>
      </c>
      <c r="M11" s="615"/>
      <c r="N11" s="615"/>
      <c r="O11" s="615"/>
      <c r="P11" s="615"/>
      <c r="Q11" s="615"/>
      <c r="R11" s="615"/>
      <c r="S11" s="586"/>
    </row>
    <row r="12" spans="1:19" ht="14.5">
      <c r="A12" s="614" t="s">
        <v>51</v>
      </c>
      <c r="B12" s="614">
        <v>2024</v>
      </c>
      <c r="C12" s="612">
        <v>170269.73</v>
      </c>
      <c r="D12" s="612">
        <v>168600</v>
      </c>
      <c r="E12" s="612">
        <f t="shared" si="0"/>
        <v>1669.7300000000105</v>
      </c>
      <c r="F12" s="612" t="s">
        <v>1022</v>
      </c>
    </row>
    <row r="13" spans="1:19" ht="14.5">
      <c r="A13" s="614" t="s">
        <v>51</v>
      </c>
      <c r="B13" s="614">
        <v>2024</v>
      </c>
      <c r="C13" s="612">
        <v>170480.01</v>
      </c>
      <c r="D13" s="612">
        <v>168600</v>
      </c>
      <c r="E13" s="612">
        <f t="shared" si="0"/>
        <v>1880.0100000000093</v>
      </c>
      <c r="F13" s="612" t="s">
        <v>1022</v>
      </c>
    </row>
    <row r="14" spans="1:19" ht="14.5">
      <c r="A14" s="614" t="s">
        <v>51</v>
      </c>
      <c r="B14" s="614">
        <v>2024</v>
      </c>
      <c r="C14" s="612">
        <v>170607.61</v>
      </c>
      <c r="D14" s="612">
        <v>168600</v>
      </c>
      <c r="E14" s="612">
        <f t="shared" si="0"/>
        <v>2007.609999999986</v>
      </c>
      <c r="F14" s="612" t="s">
        <v>1022</v>
      </c>
    </row>
    <row r="15" spans="1:19" ht="14.5">
      <c r="A15" s="614" t="s">
        <v>51</v>
      </c>
      <c r="B15" s="614">
        <v>2024</v>
      </c>
      <c r="C15" s="612">
        <v>170727.71</v>
      </c>
      <c r="D15" s="612">
        <v>168600</v>
      </c>
      <c r="E15" s="612">
        <f t="shared" si="0"/>
        <v>2127.7099999999919</v>
      </c>
      <c r="F15" s="612" t="s">
        <v>1022</v>
      </c>
    </row>
    <row r="16" spans="1:19" ht="14.5">
      <c r="A16" s="614" t="s">
        <v>1024</v>
      </c>
      <c r="B16" s="614">
        <v>2024</v>
      </c>
      <c r="C16" s="612">
        <v>170939.83</v>
      </c>
      <c r="D16" s="612">
        <v>168600</v>
      </c>
      <c r="E16" s="612">
        <f t="shared" si="0"/>
        <v>2339.8299999999872</v>
      </c>
      <c r="F16" s="612" t="s">
        <v>1023</v>
      </c>
    </row>
    <row r="17" spans="1:6" ht="14.5">
      <c r="A17" s="614" t="s">
        <v>51</v>
      </c>
      <c r="B17" s="614">
        <v>2024</v>
      </c>
      <c r="C17" s="612">
        <v>171095.23</v>
      </c>
      <c r="D17" s="612">
        <v>168600</v>
      </c>
      <c r="E17" s="612">
        <f t="shared" si="0"/>
        <v>2495.2300000000105</v>
      </c>
      <c r="F17" s="612" t="s">
        <v>1022</v>
      </c>
    </row>
    <row r="18" spans="1:6" ht="14.5">
      <c r="A18" s="614" t="s">
        <v>51</v>
      </c>
      <c r="B18" s="614">
        <v>2024</v>
      </c>
      <c r="C18" s="612">
        <v>171921.02</v>
      </c>
      <c r="D18" s="612">
        <v>168600</v>
      </c>
      <c r="E18" s="612">
        <f t="shared" si="0"/>
        <v>3321.0199999999895</v>
      </c>
      <c r="F18" s="612" t="s">
        <v>1022</v>
      </c>
    </row>
    <row r="19" spans="1:6" ht="14.5">
      <c r="A19" s="614" t="s">
        <v>51</v>
      </c>
      <c r="B19" s="614">
        <v>2024</v>
      </c>
      <c r="C19" s="612">
        <v>172520.9</v>
      </c>
      <c r="D19" s="612">
        <v>168600</v>
      </c>
      <c r="E19" s="612">
        <f t="shared" si="0"/>
        <v>3920.8999999999942</v>
      </c>
      <c r="F19" s="612" t="s">
        <v>1022</v>
      </c>
    </row>
    <row r="20" spans="1:6" ht="14.5">
      <c r="A20" s="614" t="s">
        <v>51</v>
      </c>
      <c r="B20" s="614">
        <v>2024</v>
      </c>
      <c r="C20" s="612">
        <v>172536.1</v>
      </c>
      <c r="D20" s="612">
        <v>168600</v>
      </c>
      <c r="E20" s="612">
        <f t="shared" si="0"/>
        <v>3936.1000000000058</v>
      </c>
      <c r="F20" s="612" t="s">
        <v>1022</v>
      </c>
    </row>
    <row r="21" spans="1:6" ht="14.5">
      <c r="A21" s="614" t="s">
        <v>51</v>
      </c>
      <c r="B21" s="614">
        <v>2024</v>
      </c>
      <c r="C21" s="612">
        <v>172976.13</v>
      </c>
      <c r="D21" s="612">
        <v>168600</v>
      </c>
      <c r="E21" s="612">
        <f t="shared" si="0"/>
        <v>4376.1300000000047</v>
      </c>
      <c r="F21" s="612" t="s">
        <v>1022</v>
      </c>
    </row>
    <row r="22" spans="1:6" ht="14.5">
      <c r="A22" s="614" t="s">
        <v>51</v>
      </c>
      <c r="B22" s="614">
        <v>2024</v>
      </c>
      <c r="C22" s="612">
        <v>173170.34</v>
      </c>
      <c r="D22" s="612">
        <v>168600</v>
      </c>
      <c r="E22" s="612">
        <f t="shared" si="0"/>
        <v>4570.3399999999965</v>
      </c>
      <c r="F22" s="612" t="s">
        <v>1022</v>
      </c>
    </row>
    <row r="23" spans="1:6" ht="14.5">
      <c r="A23" s="614" t="s">
        <v>51</v>
      </c>
      <c r="B23" s="614">
        <v>2024</v>
      </c>
      <c r="C23" s="612">
        <v>173618.94</v>
      </c>
      <c r="D23" s="612">
        <v>168600</v>
      </c>
      <c r="E23" s="612">
        <f t="shared" si="0"/>
        <v>5018.9400000000023</v>
      </c>
      <c r="F23" s="612" t="s">
        <v>1022</v>
      </c>
    </row>
    <row r="24" spans="1:6" ht="14.5">
      <c r="A24" s="614" t="s">
        <v>51</v>
      </c>
      <c r="B24" s="614">
        <v>2024</v>
      </c>
      <c r="C24" s="612">
        <v>174776.57</v>
      </c>
      <c r="D24" s="612">
        <v>168600</v>
      </c>
      <c r="E24" s="612">
        <f t="shared" si="0"/>
        <v>6176.570000000007</v>
      </c>
      <c r="F24" s="612" t="s">
        <v>1022</v>
      </c>
    </row>
    <row r="25" spans="1:6" ht="14.5">
      <c r="A25" s="614" t="s">
        <v>51</v>
      </c>
      <c r="B25" s="614">
        <v>2024</v>
      </c>
      <c r="C25" s="612">
        <v>175891.6</v>
      </c>
      <c r="D25" s="612">
        <v>168600</v>
      </c>
      <c r="E25" s="612">
        <f t="shared" si="0"/>
        <v>7291.6000000000058</v>
      </c>
      <c r="F25" s="612" t="s">
        <v>1022</v>
      </c>
    </row>
    <row r="26" spans="1:6" ht="14.5">
      <c r="A26" s="614" t="s">
        <v>51</v>
      </c>
      <c r="B26" s="614">
        <v>2024</v>
      </c>
      <c r="C26" s="612">
        <v>176366.96</v>
      </c>
      <c r="D26" s="612">
        <v>168600</v>
      </c>
      <c r="E26" s="612">
        <f t="shared" si="0"/>
        <v>7766.9599999999919</v>
      </c>
      <c r="F26" s="612" t="s">
        <v>1022</v>
      </c>
    </row>
    <row r="27" spans="1:6" ht="14.5">
      <c r="A27" s="614" t="s">
        <v>51</v>
      </c>
      <c r="B27" s="614">
        <v>2024</v>
      </c>
      <c r="C27" s="612">
        <v>176651.14</v>
      </c>
      <c r="D27" s="612">
        <v>168600</v>
      </c>
      <c r="E27" s="612">
        <f t="shared" si="0"/>
        <v>8051.140000000014</v>
      </c>
      <c r="F27" s="612" t="s">
        <v>1022</v>
      </c>
    </row>
    <row r="28" spans="1:6" ht="14.5">
      <c r="A28" s="614" t="s">
        <v>51</v>
      </c>
      <c r="B28" s="614">
        <v>2024</v>
      </c>
      <c r="C28" s="612">
        <v>176694.39</v>
      </c>
      <c r="D28" s="612">
        <v>168600</v>
      </c>
      <c r="E28" s="612">
        <f t="shared" si="0"/>
        <v>8094.390000000014</v>
      </c>
      <c r="F28" s="612" t="s">
        <v>1022</v>
      </c>
    </row>
    <row r="29" spans="1:6" ht="14.5">
      <c r="A29" s="614" t="s">
        <v>51</v>
      </c>
      <c r="B29" s="614">
        <v>2024</v>
      </c>
      <c r="C29" s="612">
        <v>177453.68</v>
      </c>
      <c r="D29" s="612">
        <v>168600</v>
      </c>
      <c r="E29" s="612">
        <f t="shared" si="0"/>
        <v>8853.679999999993</v>
      </c>
      <c r="F29" s="612" t="s">
        <v>1022</v>
      </c>
    </row>
    <row r="30" spans="1:6" ht="14.5">
      <c r="A30" s="614" t="s">
        <v>51</v>
      </c>
      <c r="B30" s="614">
        <v>2024</v>
      </c>
      <c r="C30" s="612">
        <v>177743.23</v>
      </c>
      <c r="D30" s="612">
        <v>168600</v>
      </c>
      <c r="E30" s="612">
        <f t="shared" si="0"/>
        <v>9143.2300000000105</v>
      </c>
      <c r="F30" s="612" t="s">
        <v>1022</v>
      </c>
    </row>
    <row r="31" spans="1:6" ht="14.5">
      <c r="A31" s="614" t="s">
        <v>51</v>
      </c>
      <c r="B31" s="614">
        <v>2024</v>
      </c>
      <c r="C31" s="612">
        <v>180637.25</v>
      </c>
      <c r="D31" s="612">
        <v>168600</v>
      </c>
      <c r="E31" s="612">
        <f t="shared" si="0"/>
        <v>12037.25</v>
      </c>
      <c r="F31" s="612" t="s">
        <v>1022</v>
      </c>
    </row>
    <row r="32" spans="1:6" ht="14.5">
      <c r="A32" s="614" t="s">
        <v>51</v>
      </c>
      <c r="B32" s="614">
        <v>2024</v>
      </c>
      <c r="C32" s="612">
        <v>181239.41</v>
      </c>
      <c r="D32" s="612">
        <v>168600</v>
      </c>
      <c r="E32" s="612">
        <f t="shared" si="0"/>
        <v>12639.410000000003</v>
      </c>
      <c r="F32" s="612" t="s">
        <v>1022</v>
      </c>
    </row>
    <row r="33" spans="1:6" ht="14.5">
      <c r="A33" s="614" t="s">
        <v>51</v>
      </c>
      <c r="B33" s="614">
        <v>2024</v>
      </c>
      <c r="C33" s="612">
        <v>182647.88</v>
      </c>
      <c r="D33" s="612">
        <v>168600</v>
      </c>
      <c r="E33" s="612">
        <f t="shared" si="0"/>
        <v>14047.880000000005</v>
      </c>
      <c r="F33" s="612" t="s">
        <v>1022</v>
      </c>
    </row>
    <row r="34" spans="1:6" ht="14.5">
      <c r="A34" s="614" t="s">
        <v>51</v>
      </c>
      <c r="B34" s="614">
        <v>2024</v>
      </c>
      <c r="C34" s="612">
        <v>184659.01</v>
      </c>
      <c r="D34" s="612">
        <v>168600</v>
      </c>
      <c r="E34" s="612">
        <f t="shared" si="0"/>
        <v>16059.010000000009</v>
      </c>
      <c r="F34" s="612" t="s">
        <v>1022</v>
      </c>
    </row>
    <row r="35" spans="1:6" ht="14.5">
      <c r="A35" s="614" t="s">
        <v>51</v>
      </c>
      <c r="B35" s="614">
        <v>2024</v>
      </c>
      <c r="C35" s="612">
        <v>184935.81</v>
      </c>
      <c r="D35" s="612">
        <v>168600</v>
      </c>
      <c r="E35" s="612">
        <f t="shared" si="0"/>
        <v>16335.809999999998</v>
      </c>
      <c r="F35" s="612" t="s">
        <v>1022</v>
      </c>
    </row>
    <row r="36" spans="1:6" ht="14.5">
      <c r="A36" s="614" t="s">
        <v>51</v>
      </c>
      <c r="B36" s="614">
        <v>2024</v>
      </c>
      <c r="C36" s="612">
        <v>185009.1</v>
      </c>
      <c r="D36" s="612">
        <v>168600</v>
      </c>
      <c r="E36" s="612">
        <f t="shared" si="0"/>
        <v>16409.100000000006</v>
      </c>
      <c r="F36" s="612" t="s">
        <v>1022</v>
      </c>
    </row>
    <row r="37" spans="1:6" ht="14.5">
      <c r="A37" s="614" t="s">
        <v>51</v>
      </c>
      <c r="B37" s="614">
        <v>2024</v>
      </c>
      <c r="C37" s="612">
        <v>185634.59</v>
      </c>
      <c r="D37" s="612">
        <v>168600</v>
      </c>
      <c r="E37" s="612">
        <f t="shared" si="0"/>
        <v>17034.589999999997</v>
      </c>
      <c r="F37" s="612" t="s">
        <v>1022</v>
      </c>
    </row>
    <row r="38" spans="1:6" ht="14.5">
      <c r="A38" s="614" t="s">
        <v>1024</v>
      </c>
      <c r="B38" s="614">
        <v>2024</v>
      </c>
      <c r="C38" s="612">
        <v>185773.81</v>
      </c>
      <c r="D38" s="612">
        <v>168600</v>
      </c>
      <c r="E38" s="612">
        <f t="shared" si="0"/>
        <v>17173.809999999998</v>
      </c>
      <c r="F38" s="612" t="s">
        <v>1023</v>
      </c>
    </row>
    <row r="39" spans="1:6" ht="14.5">
      <c r="A39" s="614" t="s">
        <v>51</v>
      </c>
      <c r="B39" s="614">
        <v>2024</v>
      </c>
      <c r="C39" s="612">
        <v>186838.78</v>
      </c>
      <c r="D39" s="612">
        <v>168600</v>
      </c>
      <c r="E39" s="612">
        <f t="shared" ref="E39:E70" si="1">+C39-D39</f>
        <v>18238.78</v>
      </c>
      <c r="F39" s="612" t="s">
        <v>1022</v>
      </c>
    </row>
    <row r="40" spans="1:6" ht="14.5">
      <c r="A40" s="614" t="s">
        <v>51</v>
      </c>
      <c r="B40" s="614">
        <v>2024</v>
      </c>
      <c r="C40" s="612">
        <v>187393.35</v>
      </c>
      <c r="D40" s="612">
        <v>168600</v>
      </c>
      <c r="E40" s="612">
        <f t="shared" si="1"/>
        <v>18793.350000000006</v>
      </c>
      <c r="F40" s="612" t="s">
        <v>1022</v>
      </c>
    </row>
    <row r="41" spans="1:6" ht="14.5">
      <c r="A41" s="614" t="s">
        <v>51</v>
      </c>
      <c r="B41" s="614">
        <v>2024</v>
      </c>
      <c r="C41" s="612">
        <v>187574.21</v>
      </c>
      <c r="D41" s="612">
        <v>168600</v>
      </c>
      <c r="E41" s="612">
        <f t="shared" si="1"/>
        <v>18974.209999999992</v>
      </c>
      <c r="F41" s="612" t="s">
        <v>1022</v>
      </c>
    </row>
    <row r="42" spans="1:6" ht="14.5">
      <c r="A42" s="614" t="s">
        <v>51</v>
      </c>
      <c r="B42" s="614">
        <v>2024</v>
      </c>
      <c r="C42" s="612">
        <v>187794.03</v>
      </c>
      <c r="D42" s="612">
        <v>168600</v>
      </c>
      <c r="E42" s="612">
        <f t="shared" si="1"/>
        <v>19194.03</v>
      </c>
      <c r="F42" s="612" t="s">
        <v>1022</v>
      </c>
    </row>
    <row r="43" spans="1:6" ht="14.5">
      <c r="A43" s="614" t="s">
        <v>51</v>
      </c>
      <c r="B43" s="614">
        <v>2024</v>
      </c>
      <c r="C43" s="612">
        <v>188130.81</v>
      </c>
      <c r="D43" s="612">
        <v>168600</v>
      </c>
      <c r="E43" s="612">
        <f t="shared" si="1"/>
        <v>19530.809999999998</v>
      </c>
      <c r="F43" s="612" t="s">
        <v>1022</v>
      </c>
    </row>
    <row r="44" spans="1:6" ht="14.5">
      <c r="A44" s="614" t="s">
        <v>51</v>
      </c>
      <c r="B44" s="614">
        <v>2024</v>
      </c>
      <c r="C44" s="612">
        <v>190364.33</v>
      </c>
      <c r="D44" s="612">
        <v>168600</v>
      </c>
      <c r="E44" s="612">
        <f t="shared" si="1"/>
        <v>21764.329999999987</v>
      </c>
      <c r="F44" s="612" t="s">
        <v>1025</v>
      </c>
    </row>
    <row r="45" spans="1:6" ht="14.5">
      <c r="A45" s="614" t="s">
        <v>51</v>
      </c>
      <c r="B45" s="614">
        <v>2024</v>
      </c>
      <c r="C45" s="612">
        <v>194461.37</v>
      </c>
      <c r="D45" s="612">
        <v>168600</v>
      </c>
      <c r="E45" s="612">
        <f t="shared" si="1"/>
        <v>25861.369999999995</v>
      </c>
      <c r="F45" s="612" t="s">
        <v>1022</v>
      </c>
    </row>
    <row r="46" spans="1:6" ht="14.5">
      <c r="A46" s="614" t="s">
        <v>51</v>
      </c>
      <c r="B46" s="614">
        <v>2024</v>
      </c>
      <c r="C46" s="612">
        <v>195265.53</v>
      </c>
      <c r="D46" s="612">
        <v>168600</v>
      </c>
      <c r="E46" s="612">
        <f t="shared" si="1"/>
        <v>26665.53</v>
      </c>
      <c r="F46" s="612" t="s">
        <v>1022</v>
      </c>
    </row>
    <row r="47" spans="1:6" ht="14.5">
      <c r="A47" s="614" t="s">
        <v>51</v>
      </c>
      <c r="B47" s="614">
        <v>2024</v>
      </c>
      <c r="C47" s="612">
        <v>197946.77</v>
      </c>
      <c r="D47" s="612">
        <v>168600</v>
      </c>
      <c r="E47" s="612">
        <f t="shared" si="1"/>
        <v>29346.76999999999</v>
      </c>
      <c r="F47" s="612" t="s">
        <v>1022</v>
      </c>
    </row>
    <row r="48" spans="1:6" ht="14.5">
      <c r="A48" s="614" t="s">
        <v>51</v>
      </c>
      <c r="B48" s="614">
        <v>2024</v>
      </c>
      <c r="C48" s="612">
        <v>198379.92</v>
      </c>
      <c r="D48" s="612">
        <v>168600</v>
      </c>
      <c r="E48" s="612">
        <f t="shared" si="1"/>
        <v>29779.920000000013</v>
      </c>
      <c r="F48" s="612" t="s">
        <v>1022</v>
      </c>
    </row>
    <row r="49" spans="1:6" ht="14.5">
      <c r="A49" s="614" t="s">
        <v>1024</v>
      </c>
      <c r="B49" s="614">
        <v>2024</v>
      </c>
      <c r="C49" s="612">
        <v>200456.86</v>
      </c>
      <c r="D49" s="612">
        <v>168600</v>
      </c>
      <c r="E49" s="612">
        <f t="shared" si="1"/>
        <v>31856.859999999986</v>
      </c>
      <c r="F49" s="612" t="s">
        <v>1023</v>
      </c>
    </row>
    <row r="50" spans="1:6" ht="14.5">
      <c r="A50" s="614" t="s">
        <v>51</v>
      </c>
      <c r="B50" s="614">
        <v>2024</v>
      </c>
      <c r="C50" s="612">
        <v>202048.52</v>
      </c>
      <c r="D50" s="612">
        <v>168600</v>
      </c>
      <c r="E50" s="612">
        <f t="shared" si="1"/>
        <v>33448.51999999999</v>
      </c>
      <c r="F50" s="612" t="s">
        <v>1022</v>
      </c>
    </row>
    <row r="51" spans="1:6" ht="14.5">
      <c r="A51" s="614" t="s">
        <v>51</v>
      </c>
      <c r="B51" s="614">
        <v>2024</v>
      </c>
      <c r="C51" s="612">
        <v>203487.54</v>
      </c>
      <c r="D51" s="612">
        <v>168600</v>
      </c>
      <c r="E51" s="612">
        <f t="shared" si="1"/>
        <v>34887.540000000008</v>
      </c>
      <c r="F51" s="612" t="s">
        <v>1022</v>
      </c>
    </row>
    <row r="52" spans="1:6" ht="14.5">
      <c r="A52" s="614" t="s">
        <v>51</v>
      </c>
      <c r="B52" s="614">
        <v>2024</v>
      </c>
      <c r="C52" s="612">
        <v>206192.14</v>
      </c>
      <c r="D52" s="612">
        <v>168600</v>
      </c>
      <c r="E52" s="612">
        <f t="shared" si="1"/>
        <v>37592.140000000014</v>
      </c>
      <c r="F52" s="612" t="s">
        <v>1022</v>
      </c>
    </row>
    <row r="53" spans="1:6" ht="14.5">
      <c r="A53" s="614" t="s">
        <v>1024</v>
      </c>
      <c r="B53" s="614">
        <v>2024</v>
      </c>
      <c r="C53" s="612">
        <v>214361.85</v>
      </c>
      <c r="D53" s="612">
        <v>168600</v>
      </c>
      <c r="E53" s="612">
        <f t="shared" si="1"/>
        <v>45761.850000000006</v>
      </c>
      <c r="F53" s="612" t="s">
        <v>1023</v>
      </c>
    </row>
    <row r="54" spans="1:6" ht="14.5">
      <c r="A54" s="614" t="s">
        <v>51</v>
      </c>
      <c r="B54" s="614">
        <v>2024</v>
      </c>
      <c r="C54" s="612">
        <v>217027.36</v>
      </c>
      <c r="D54" s="612">
        <v>168600</v>
      </c>
      <c r="E54" s="612">
        <f t="shared" si="1"/>
        <v>48427.359999999986</v>
      </c>
      <c r="F54" s="612" t="s">
        <v>1022</v>
      </c>
    </row>
    <row r="55" spans="1:6" ht="14.5">
      <c r="A55" s="614" t="s">
        <v>51</v>
      </c>
      <c r="B55" s="614">
        <v>2024</v>
      </c>
      <c r="C55" s="612">
        <v>218706.49</v>
      </c>
      <c r="D55" s="612">
        <v>168600</v>
      </c>
      <c r="E55" s="612">
        <f t="shared" si="1"/>
        <v>50106.489999999991</v>
      </c>
      <c r="F55" s="612" t="s">
        <v>1025</v>
      </c>
    </row>
    <row r="56" spans="1:6" ht="14.5">
      <c r="A56" s="614" t="s">
        <v>51</v>
      </c>
      <c r="B56" s="614">
        <v>2024</v>
      </c>
      <c r="C56" s="612">
        <v>221573.36</v>
      </c>
      <c r="D56" s="612">
        <v>168600</v>
      </c>
      <c r="E56" s="612">
        <f t="shared" si="1"/>
        <v>52973.359999999986</v>
      </c>
      <c r="F56" s="612" t="s">
        <v>1022</v>
      </c>
    </row>
    <row r="57" spans="1:6" ht="14.5">
      <c r="A57" s="614" t="s">
        <v>1024</v>
      </c>
      <c r="B57" s="614">
        <v>2024</v>
      </c>
      <c r="C57" s="612">
        <v>227000.36</v>
      </c>
      <c r="D57" s="612">
        <v>168600</v>
      </c>
      <c r="E57" s="612">
        <f t="shared" si="1"/>
        <v>58400.359999999986</v>
      </c>
      <c r="F57" s="612" t="s">
        <v>1023</v>
      </c>
    </row>
    <row r="58" spans="1:6" ht="14.5">
      <c r="A58" s="614" t="s">
        <v>1024</v>
      </c>
      <c r="B58" s="614">
        <v>2024</v>
      </c>
      <c r="C58" s="612">
        <v>229143.18</v>
      </c>
      <c r="D58" s="612">
        <v>168600</v>
      </c>
      <c r="E58" s="612">
        <f t="shared" si="1"/>
        <v>60543.179999999993</v>
      </c>
      <c r="F58" s="612" t="s">
        <v>1023</v>
      </c>
    </row>
    <row r="59" spans="1:6" ht="14.5">
      <c r="A59" s="614" t="s">
        <v>51</v>
      </c>
      <c r="B59" s="614">
        <v>2024</v>
      </c>
      <c r="C59" s="612">
        <v>233667.17</v>
      </c>
      <c r="D59" s="612">
        <v>168600</v>
      </c>
      <c r="E59" s="612">
        <f t="shared" si="1"/>
        <v>65067.170000000013</v>
      </c>
      <c r="F59" s="612" t="s">
        <v>1022</v>
      </c>
    </row>
    <row r="60" spans="1:6" ht="14.5">
      <c r="A60" s="614" t="s">
        <v>51</v>
      </c>
      <c r="B60" s="614">
        <v>2024</v>
      </c>
      <c r="C60" s="612">
        <v>237880.44</v>
      </c>
      <c r="D60" s="612">
        <v>168600</v>
      </c>
      <c r="E60" s="612">
        <f t="shared" si="1"/>
        <v>69280.44</v>
      </c>
      <c r="F60" s="612" t="s">
        <v>1025</v>
      </c>
    </row>
    <row r="61" spans="1:6" ht="14.5">
      <c r="A61" s="614" t="s">
        <v>1024</v>
      </c>
      <c r="B61" s="614">
        <v>2024</v>
      </c>
      <c r="C61" s="612">
        <v>242486.54</v>
      </c>
      <c r="D61" s="612">
        <v>168600</v>
      </c>
      <c r="E61" s="612">
        <f t="shared" si="1"/>
        <v>73886.540000000008</v>
      </c>
      <c r="F61" s="612" t="s">
        <v>1023</v>
      </c>
    </row>
    <row r="62" spans="1:6" ht="14.5">
      <c r="A62" s="614" t="s">
        <v>1024</v>
      </c>
      <c r="B62" s="614">
        <v>2024</v>
      </c>
      <c r="C62" s="612">
        <v>243423.34</v>
      </c>
      <c r="D62" s="612">
        <v>168600</v>
      </c>
      <c r="E62" s="612">
        <f t="shared" si="1"/>
        <v>74823.34</v>
      </c>
      <c r="F62" s="612" t="s">
        <v>1023</v>
      </c>
    </row>
    <row r="63" spans="1:6" ht="14.5">
      <c r="A63" s="614" t="s">
        <v>51</v>
      </c>
      <c r="B63" s="614">
        <v>2024</v>
      </c>
      <c r="C63" s="612">
        <v>246888.56</v>
      </c>
      <c r="D63" s="612">
        <v>168600</v>
      </c>
      <c r="E63" s="612">
        <f t="shared" si="1"/>
        <v>78288.56</v>
      </c>
      <c r="F63" s="612" t="s">
        <v>1022</v>
      </c>
    </row>
    <row r="64" spans="1:6" ht="14.5">
      <c r="A64" s="614" t="s">
        <v>51</v>
      </c>
      <c r="B64" s="614">
        <v>2024</v>
      </c>
      <c r="C64" s="612">
        <v>250561.85</v>
      </c>
      <c r="D64" s="612">
        <v>168600</v>
      </c>
      <c r="E64" s="612">
        <f t="shared" si="1"/>
        <v>81961.850000000006</v>
      </c>
      <c r="F64" s="612" t="s">
        <v>1022</v>
      </c>
    </row>
    <row r="65" spans="1:6" ht="11.25" customHeight="1">
      <c r="A65" s="614" t="s">
        <v>51</v>
      </c>
      <c r="B65" s="614">
        <v>2024</v>
      </c>
      <c r="C65" s="612">
        <v>261572.91</v>
      </c>
      <c r="D65" s="612">
        <v>168600</v>
      </c>
      <c r="E65" s="612">
        <f t="shared" si="1"/>
        <v>92972.91</v>
      </c>
      <c r="F65" s="612" t="s">
        <v>1022</v>
      </c>
    </row>
    <row r="66" spans="1:6" ht="14.5">
      <c r="A66" s="614" t="s">
        <v>1024</v>
      </c>
      <c r="B66" s="614">
        <v>2024</v>
      </c>
      <c r="C66" s="612">
        <v>269865.49</v>
      </c>
      <c r="D66" s="612">
        <v>168600</v>
      </c>
      <c r="E66" s="612">
        <f t="shared" si="1"/>
        <v>101265.48999999999</v>
      </c>
      <c r="F66" s="612" t="s">
        <v>1023</v>
      </c>
    </row>
    <row r="67" spans="1:6" ht="14.5">
      <c r="A67" s="614" t="s">
        <v>51</v>
      </c>
      <c r="B67" s="614">
        <v>2024</v>
      </c>
      <c r="C67" s="612">
        <v>275118.51</v>
      </c>
      <c r="D67" s="612">
        <v>168600</v>
      </c>
      <c r="E67" s="612">
        <f t="shared" si="1"/>
        <v>106518.51000000001</v>
      </c>
      <c r="F67" s="612" t="s">
        <v>1022</v>
      </c>
    </row>
    <row r="68" spans="1:6" ht="14.5">
      <c r="A68" s="614" t="s">
        <v>51</v>
      </c>
      <c r="B68" s="614">
        <v>2024</v>
      </c>
      <c r="C68" s="612">
        <v>280991.96999999997</v>
      </c>
      <c r="D68" s="612">
        <v>168600</v>
      </c>
      <c r="E68" s="612">
        <f t="shared" si="1"/>
        <v>112391.96999999997</v>
      </c>
      <c r="F68" s="612" t="s">
        <v>1022</v>
      </c>
    </row>
    <row r="69" spans="1:6" ht="14.5">
      <c r="A69" s="614" t="s">
        <v>51</v>
      </c>
      <c r="B69" s="614">
        <v>2024</v>
      </c>
      <c r="C69" s="612">
        <v>416114.79</v>
      </c>
      <c r="D69" s="612">
        <v>168600</v>
      </c>
      <c r="E69" s="612">
        <f t="shared" si="1"/>
        <v>247514.78999999998</v>
      </c>
      <c r="F69" s="612" t="s">
        <v>1022</v>
      </c>
    </row>
    <row r="70" spans="1:6" ht="14.5">
      <c r="A70" s="614" t="s">
        <v>51</v>
      </c>
      <c r="B70" s="614">
        <v>2024</v>
      </c>
      <c r="C70" s="612">
        <v>458694.57</v>
      </c>
      <c r="D70" s="612">
        <v>168600</v>
      </c>
      <c r="E70" s="612">
        <f t="shared" si="1"/>
        <v>290094.57</v>
      </c>
      <c r="F70" s="612" t="s">
        <v>1022</v>
      </c>
    </row>
    <row r="71" spans="1:6" ht="14.5">
      <c r="A71" s="614" t="s">
        <v>51</v>
      </c>
      <c r="B71" s="614">
        <v>2024</v>
      </c>
      <c r="C71" s="613">
        <v>504710.59</v>
      </c>
      <c r="D71" s="612">
        <v>168600</v>
      </c>
      <c r="E71" s="613">
        <f t="shared" ref="E71" si="2">+C71-D71</f>
        <v>336110.59</v>
      </c>
      <c r="F71" s="612" t="s">
        <v>1022</v>
      </c>
    </row>
    <row r="72" spans="1:6" ht="13" thickBot="1">
      <c r="C72" s="611">
        <f>SUM(C7:C71)</f>
        <v>13590546.189999994</v>
      </c>
      <c r="E72" s="611">
        <f>SUM(E7:E71)</f>
        <v>2631546.1900000004</v>
      </c>
    </row>
    <row r="73" spans="1:6" ht="13" thickTop="1"/>
    <row r="75" spans="1:6">
      <c r="A75" s="588" t="s">
        <v>53</v>
      </c>
      <c r="B75" s="432" t="s">
        <v>54</v>
      </c>
    </row>
  </sheetData>
  <pageMargins left="0.7" right="0.7" top="0.75" bottom="0.75" header="0.3" footer="0.3"/>
  <pageSetup orientation="portrait"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A5EE7-5326-4C10-AA13-9E461BA49C51}">
  <dimension ref="A1:B19"/>
  <sheetViews>
    <sheetView workbookViewId="0">
      <selection sqref="A1:C1"/>
    </sheetView>
  </sheetViews>
  <sheetFormatPr defaultColWidth="9.1796875" defaultRowHeight="12.5"/>
  <cols>
    <col min="1" max="1" width="16.7265625" style="586" bestFit="1" customWidth="1"/>
    <col min="2" max="2" width="30.54296875" style="586" bestFit="1" customWidth="1"/>
    <col min="3" max="16384" width="9.1796875" style="586"/>
  </cols>
  <sheetData>
    <row r="1" spans="1:2">
      <c r="A1" s="586" t="s">
        <v>51</v>
      </c>
    </row>
    <row r="2" spans="1:2">
      <c r="A2" s="586" t="s">
        <v>1021</v>
      </c>
    </row>
    <row r="3" spans="1:2">
      <c r="A3" s="586" t="s">
        <v>83</v>
      </c>
    </row>
    <row r="4" spans="1:2">
      <c r="A4" s="586" t="s">
        <v>1012</v>
      </c>
    </row>
    <row r="6" spans="1:2">
      <c r="A6" s="625" t="s">
        <v>1035</v>
      </c>
      <c r="B6" s="630">
        <v>2024</v>
      </c>
    </row>
    <row r="7" spans="1:2">
      <c r="A7" s="625"/>
      <c r="B7" s="626"/>
    </row>
    <row r="8" spans="1:2">
      <c r="A8" s="625" t="s">
        <v>562</v>
      </c>
      <c r="B8" s="625" t="s">
        <v>939</v>
      </c>
    </row>
    <row r="9" spans="1:2">
      <c r="A9" s="627" t="s">
        <v>968</v>
      </c>
      <c r="B9" s="626">
        <v>31230426.27</v>
      </c>
    </row>
    <row r="10" spans="1:2">
      <c r="A10" s="627" t="s">
        <v>1003</v>
      </c>
      <c r="B10" s="626">
        <v>9598446.6400000006</v>
      </c>
    </row>
    <row r="11" spans="1:2">
      <c r="A11" s="627" t="s">
        <v>319</v>
      </c>
      <c r="B11" s="629">
        <v>6059320.3899999997</v>
      </c>
    </row>
    <row r="12" spans="1:2">
      <c r="A12" s="627" t="s">
        <v>88</v>
      </c>
      <c r="B12" s="626">
        <f>SUM(B9:B11)</f>
        <v>46888193.299999997</v>
      </c>
    </row>
    <row r="13" spans="1:2">
      <c r="A13" s="625"/>
      <c r="B13" s="626"/>
    </row>
    <row r="14" spans="1:2">
      <c r="A14" s="627" t="s">
        <v>1034</v>
      </c>
      <c r="B14" s="628">
        <v>2194814.7899999698</v>
      </c>
    </row>
    <row r="15" spans="1:2">
      <c r="A15" s="627"/>
      <c r="B15" s="626"/>
    </row>
    <row r="16" spans="1:2" ht="13" thickBot="1">
      <c r="A16" s="625" t="s">
        <v>244</v>
      </c>
      <c r="B16" s="624">
        <f>B12+B14</f>
        <v>49083008.089999966</v>
      </c>
    </row>
    <row r="17" spans="1:2" ht="13" thickTop="1"/>
    <row r="19" spans="1:2">
      <c r="A19" s="588" t="s">
        <v>53</v>
      </c>
      <c r="B19" s="432" t="s">
        <v>54</v>
      </c>
    </row>
  </sheetData>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CBDC7-CE7C-48F1-8B10-31F52B2C4D1B}">
  <sheetPr>
    <pageSetUpPr fitToPage="1"/>
  </sheetPr>
  <dimension ref="A1:K28"/>
  <sheetViews>
    <sheetView workbookViewId="0">
      <pane ySplit="7" topLeftCell="A8" activePane="bottomLeft" state="frozen"/>
      <selection sqref="A1:C1"/>
      <selection pane="bottomLeft" activeCell="K21" sqref="K21"/>
    </sheetView>
  </sheetViews>
  <sheetFormatPr defaultColWidth="10.7265625" defaultRowHeight="12.5"/>
  <cols>
    <col min="1" max="1" width="5" style="587" customWidth="1"/>
    <col min="2" max="2" width="1.1796875" style="586" customWidth="1"/>
    <col min="3" max="3" width="6.26953125" style="586" customWidth="1"/>
    <col min="4" max="4" width="13.7265625" style="586" customWidth="1"/>
    <col min="5" max="5" width="47.81640625" style="586" customWidth="1"/>
    <col min="6" max="6" width="3.26953125" style="586" customWidth="1"/>
    <col min="7" max="7" width="12.7265625" style="631" bestFit="1" customWidth="1"/>
    <col min="8" max="8" width="1.1796875" style="631" customWidth="1"/>
    <col min="9" max="9" width="11.26953125" style="631" bestFit="1" customWidth="1"/>
    <col min="10" max="10" width="1.1796875" style="631" customWidth="1"/>
    <col min="11" max="11" width="8.81640625" style="631" bestFit="1" customWidth="1"/>
    <col min="12" max="16384" width="10.7265625" style="586"/>
  </cols>
  <sheetData>
    <row r="1" spans="1:11">
      <c r="A1" s="631" t="s">
        <v>51</v>
      </c>
    </row>
    <row r="2" spans="1:11">
      <c r="A2" s="631" t="s">
        <v>1048</v>
      </c>
    </row>
    <row r="3" spans="1:11">
      <c r="A3" s="631" t="s">
        <v>83</v>
      </c>
    </row>
    <row r="4" spans="1:11">
      <c r="A4" s="631" t="s">
        <v>919</v>
      </c>
      <c r="K4" s="652"/>
    </row>
    <row r="5" spans="1:11" s="608" customFormat="1" ht="15.5">
      <c r="A5" s="589"/>
      <c r="C5" s="758"/>
      <c r="D5" s="758"/>
      <c r="E5" s="758"/>
      <c r="F5" s="758"/>
      <c r="G5" s="592"/>
      <c r="H5" s="592"/>
      <c r="I5" s="592"/>
      <c r="J5" s="592"/>
      <c r="K5" s="592"/>
    </row>
    <row r="6" spans="1:11" s="603" customFormat="1" ht="39">
      <c r="A6" s="607" t="s">
        <v>103</v>
      </c>
      <c r="B6" s="606"/>
      <c r="C6" s="758" t="s">
        <v>397</v>
      </c>
      <c r="D6" s="758"/>
      <c r="E6" s="758"/>
      <c r="F6" s="758"/>
      <c r="G6" s="609" t="s">
        <v>1047</v>
      </c>
      <c r="H6" s="651"/>
      <c r="I6" s="609" t="s">
        <v>978</v>
      </c>
      <c r="J6" s="651"/>
      <c r="K6" s="609" t="s">
        <v>93</v>
      </c>
    </row>
    <row r="7" spans="1:11" s="603" customFormat="1" ht="13">
      <c r="A7" s="607"/>
      <c r="B7" s="606"/>
      <c r="C7" s="758" t="s">
        <v>912</v>
      </c>
      <c r="D7" s="758"/>
      <c r="E7" s="758"/>
      <c r="F7" s="758"/>
      <c r="G7" s="650" t="s">
        <v>911</v>
      </c>
      <c r="H7" s="589"/>
      <c r="I7" s="650" t="s">
        <v>910</v>
      </c>
      <c r="J7" s="589"/>
      <c r="K7" s="649" t="s">
        <v>909</v>
      </c>
    </row>
    <row r="8" spans="1:11" ht="14.5">
      <c r="A8" s="589" t="s">
        <v>1046</v>
      </c>
      <c r="C8" s="602" t="s">
        <v>1045</v>
      </c>
      <c r="G8" s="595">
        <f>W34_PG_2_of_3!I8+W34_PG_2_of_3!I9</f>
        <v>56</v>
      </c>
      <c r="H8" s="595"/>
      <c r="I8" s="595">
        <f>W34_PG_2_of_3!I10</f>
        <v>9</v>
      </c>
      <c r="J8" s="595"/>
      <c r="K8" s="595"/>
    </row>
    <row r="9" spans="1:11" ht="14.5">
      <c r="A9" s="589"/>
      <c r="C9" s="602"/>
      <c r="G9" s="595"/>
      <c r="H9" s="595"/>
      <c r="I9" s="595"/>
      <c r="J9" s="595"/>
      <c r="K9" s="595"/>
    </row>
    <row r="10" spans="1:11">
      <c r="A10" s="589">
        <f>1+A8</f>
        <v>2</v>
      </c>
      <c r="C10" s="591" t="s">
        <v>1044</v>
      </c>
      <c r="G10" s="636">
        <v>176100</v>
      </c>
      <c r="H10" s="637"/>
      <c r="I10" s="637">
        <v>176100</v>
      </c>
      <c r="J10" s="637"/>
    </row>
    <row r="11" spans="1:11">
      <c r="A11" s="589">
        <f>1+A10</f>
        <v>3</v>
      </c>
      <c r="C11" s="591" t="s">
        <v>1043</v>
      </c>
      <c r="G11" s="648">
        <v>168600</v>
      </c>
      <c r="H11" s="595"/>
      <c r="I11" s="647">
        <v>168600</v>
      </c>
      <c r="J11" s="595"/>
    </row>
    <row r="12" spans="1:11" ht="15.5">
      <c r="A12" s="589">
        <f>1+A11</f>
        <v>4</v>
      </c>
      <c r="C12" s="602" t="s">
        <v>1042</v>
      </c>
      <c r="G12" s="638">
        <f>+G10-G11</f>
        <v>7500</v>
      </c>
      <c r="H12" s="646"/>
      <c r="I12" s="645">
        <f>+G12</f>
        <v>7500</v>
      </c>
      <c r="J12" s="645"/>
      <c r="K12" s="645"/>
    </row>
    <row r="13" spans="1:11" ht="15.5">
      <c r="A13" s="589"/>
      <c r="C13" s="591"/>
      <c r="G13" s="644"/>
      <c r="H13" s="592"/>
      <c r="I13" s="644"/>
      <c r="J13" s="644"/>
      <c r="K13" s="592"/>
    </row>
    <row r="14" spans="1:11" ht="15.5">
      <c r="A14" s="589">
        <f>1+A12</f>
        <v>5</v>
      </c>
      <c r="C14" s="602" t="s">
        <v>1041</v>
      </c>
      <c r="D14" s="592"/>
      <c r="E14" s="592"/>
      <c r="F14" s="591"/>
      <c r="G14" s="638">
        <f>G8*G12</f>
        <v>420000</v>
      </c>
      <c r="H14" s="638">
        <f>H8*H12</f>
        <v>0</v>
      </c>
      <c r="I14" s="638">
        <f>I8*I12</f>
        <v>67500</v>
      </c>
      <c r="J14" s="637"/>
      <c r="K14" s="637"/>
    </row>
    <row r="15" spans="1:11" ht="15.5">
      <c r="A15" s="589">
        <f>1+A14</f>
        <v>6</v>
      </c>
      <c r="C15" s="591" t="s">
        <v>1008</v>
      </c>
      <c r="D15" s="592"/>
      <c r="E15" s="592"/>
      <c r="F15" s="591"/>
      <c r="G15" s="643">
        <v>6.2E-2</v>
      </c>
      <c r="H15" s="598"/>
      <c r="I15" s="598">
        <v>6.2E-2</v>
      </c>
      <c r="J15" s="598"/>
    </row>
    <row r="16" spans="1:11" ht="14.5">
      <c r="A16" s="589">
        <f>1+A15</f>
        <v>7</v>
      </c>
      <c r="C16" s="602" t="s">
        <v>1040</v>
      </c>
      <c r="E16" s="591"/>
      <c r="G16" s="642">
        <f>ROUND(G14*G15,0)</f>
        <v>26040</v>
      </c>
      <c r="H16" s="638"/>
      <c r="I16" s="642">
        <f>ROUND(I14*I15,0)</f>
        <v>4185</v>
      </c>
      <c r="J16" s="637"/>
      <c r="K16" s="637"/>
    </row>
    <row r="17" spans="1:11">
      <c r="A17" s="589">
        <f>1+A16</f>
        <v>8</v>
      </c>
      <c r="C17" s="591" t="s">
        <v>1039</v>
      </c>
      <c r="E17" s="591"/>
      <c r="G17" s="641"/>
      <c r="H17" s="638"/>
      <c r="I17" s="640">
        <f>+I16*0.5</f>
        <v>2092.5</v>
      </c>
      <c r="J17" s="637"/>
      <c r="K17" s="637"/>
    </row>
    <row r="18" spans="1:11" ht="15.5">
      <c r="A18" s="589"/>
      <c r="C18" s="602"/>
      <c r="G18" s="638">
        <f>+G16-G17</f>
        <v>26040</v>
      </c>
      <c r="H18" s="639"/>
      <c r="I18" s="638">
        <f>+I16-I17</f>
        <v>2092.5</v>
      </c>
      <c r="J18" s="637"/>
      <c r="K18" s="636">
        <f>+G18+I18</f>
        <v>28132.5</v>
      </c>
    </row>
    <row r="19" spans="1:11" ht="15.5">
      <c r="A19" s="589"/>
      <c r="C19" s="602"/>
      <c r="G19" s="638"/>
      <c r="H19" s="639"/>
      <c r="I19" s="638"/>
      <c r="J19" s="637"/>
      <c r="K19" s="636"/>
    </row>
    <row r="20" spans="1:11">
      <c r="A20" s="589">
        <v>8</v>
      </c>
      <c r="C20" s="635" t="s">
        <v>1038</v>
      </c>
      <c r="G20" s="591"/>
      <c r="H20" s="591"/>
      <c r="I20" s="591"/>
      <c r="J20" s="591"/>
      <c r="K20" s="653">
        <f>+W35_PG_2_of_2!E58</f>
        <v>0.60862487421268041</v>
      </c>
    </row>
    <row r="21" spans="1:11" ht="18" customHeight="1">
      <c r="A21" s="589">
        <f>1+A20</f>
        <v>9</v>
      </c>
      <c r="C21" s="602" t="s">
        <v>1037</v>
      </c>
      <c r="G21" s="591"/>
      <c r="H21" s="591"/>
      <c r="I21" s="591"/>
      <c r="J21" s="591"/>
      <c r="K21" s="634">
        <f>ROUND(K18*K20,0)</f>
        <v>17122</v>
      </c>
    </row>
    <row r="22" spans="1:11" ht="15.75" customHeight="1">
      <c r="A22" s="589">
        <f>1+A21</f>
        <v>10</v>
      </c>
      <c r="C22" s="602" t="s">
        <v>1006</v>
      </c>
      <c r="G22" s="591"/>
      <c r="H22" s="591"/>
      <c r="I22" s="591"/>
      <c r="J22" s="591"/>
      <c r="K22" s="633">
        <v>1</v>
      </c>
    </row>
    <row r="23" spans="1:11" ht="15.75" customHeight="1" thickBot="1">
      <c r="A23" s="589">
        <f>1+A22</f>
        <v>11</v>
      </c>
      <c r="C23" s="602" t="s">
        <v>1036</v>
      </c>
      <c r="G23" s="591"/>
      <c r="H23" s="591"/>
      <c r="I23" s="591"/>
      <c r="J23" s="591"/>
      <c r="K23" s="632">
        <f>ROUND(K21*K22,0)</f>
        <v>17122</v>
      </c>
    </row>
    <row r="24" spans="1:11" ht="13" thickTop="1">
      <c r="A24" s="589"/>
      <c r="C24" s="591"/>
      <c r="G24" s="591"/>
      <c r="H24" s="591"/>
      <c r="I24" s="591"/>
      <c r="J24" s="591"/>
      <c r="K24" s="591"/>
    </row>
    <row r="25" spans="1:11">
      <c r="A25" s="589"/>
    </row>
    <row r="26" spans="1:11">
      <c r="A26" s="589"/>
      <c r="C26" s="588" t="s">
        <v>53</v>
      </c>
      <c r="D26" s="432" t="s">
        <v>54</v>
      </c>
    </row>
    <row r="27" spans="1:11">
      <c r="A27" s="589"/>
    </row>
    <row r="28" spans="1:11">
      <c r="A28" s="589"/>
    </row>
  </sheetData>
  <mergeCells count="3">
    <mergeCell ref="C5:F5"/>
    <mergeCell ref="C6:F6"/>
    <mergeCell ref="C7:F7"/>
  </mergeCells>
  <pageMargins left="0.7" right="0.7" top="0.75" bottom="0.75" header="0.3" footer="0.3"/>
  <pageSetup scale="81"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A45A-A76A-4CDC-A6B7-99D566D648B0}">
  <sheetPr>
    <pageSetUpPr fitToPage="1"/>
  </sheetPr>
  <dimension ref="A1:F120"/>
  <sheetViews>
    <sheetView workbookViewId="0">
      <selection activeCell="L17" sqref="L17"/>
    </sheetView>
  </sheetViews>
  <sheetFormatPr defaultColWidth="9.1796875" defaultRowHeight="12.5"/>
  <cols>
    <col min="1" max="1" width="10.26953125" style="344" customWidth="1"/>
    <col min="2" max="2" width="12.81640625" style="344" customWidth="1"/>
    <col min="3" max="3" width="15" style="344" bestFit="1" customWidth="1"/>
    <col min="4" max="4" width="13.7265625" style="344" bestFit="1" customWidth="1"/>
    <col min="5" max="5" width="15" style="344" bestFit="1" customWidth="1"/>
    <col min="6" max="6" width="11.26953125" style="344" bestFit="1" customWidth="1"/>
    <col min="7" max="16384" width="9.1796875" style="344"/>
  </cols>
  <sheetData>
    <row r="1" spans="1:6">
      <c r="A1" s="344" t="s">
        <v>51</v>
      </c>
    </row>
    <row r="2" spans="1:6">
      <c r="A2" s="344" t="s">
        <v>1048</v>
      </c>
    </row>
    <row r="3" spans="1:6">
      <c r="A3" s="344" t="s">
        <v>83</v>
      </c>
    </row>
    <row r="4" spans="1:6">
      <c r="A4" s="344" t="s">
        <v>1038</v>
      </c>
    </row>
    <row r="6" spans="1:6">
      <c r="A6" s="655" t="s">
        <v>1055</v>
      </c>
      <c r="C6" s="656"/>
      <c r="D6" s="344" t="s">
        <v>1054</v>
      </c>
    </row>
    <row r="7" spans="1:6">
      <c r="A7" s="655" t="s">
        <v>1053</v>
      </c>
      <c r="B7" s="344" t="s">
        <v>562</v>
      </c>
      <c r="C7" s="656" t="s">
        <v>1052</v>
      </c>
      <c r="D7" s="657">
        <f>C10+C11+C12</f>
        <v>2291916.9699999997</v>
      </c>
      <c r="F7" s="657"/>
    </row>
    <row r="8" spans="1:6">
      <c r="A8" s="655"/>
      <c r="B8" s="344" t="s">
        <v>931</v>
      </c>
      <c r="C8" s="658">
        <v>13902914.34</v>
      </c>
      <c r="D8" s="657">
        <f>$D$7*(C8/($C$57-$D$7-C$13-C$14-C$15-C$16-C$17))</f>
        <v>721117.97403428482</v>
      </c>
      <c r="E8" s="657">
        <f>SUM(C8:D8)</f>
        <v>14624032.314034285</v>
      </c>
    </row>
    <row r="9" spans="1:6">
      <c r="A9" s="655"/>
      <c r="B9" s="344" t="s">
        <v>930</v>
      </c>
      <c r="C9" s="658">
        <v>2727349.63</v>
      </c>
      <c r="D9" s="657">
        <f>$D$7*(C9/($C$57-$D$7-C$13-C$14-C$15-C$16-C$17))</f>
        <v>141462.48704203384</v>
      </c>
      <c r="E9" s="657">
        <f t="shared" ref="E9:E56" si="0">SUM(C9:D9)</f>
        <v>2868812.1170420339</v>
      </c>
    </row>
    <row r="10" spans="1:6">
      <c r="A10" s="655"/>
      <c r="B10" s="344" t="s">
        <v>928</v>
      </c>
      <c r="C10" s="658">
        <v>938354.01999999979</v>
      </c>
      <c r="D10" s="657">
        <f>-C10</f>
        <v>-938354.01999999979</v>
      </c>
      <c r="E10" s="657">
        <f t="shared" si="0"/>
        <v>0</v>
      </c>
    </row>
    <row r="11" spans="1:6">
      <c r="A11" s="655"/>
      <c r="B11" s="344" t="s">
        <v>927</v>
      </c>
      <c r="C11" s="658">
        <v>-1186.0400000000004</v>
      </c>
      <c r="D11" s="657">
        <v>1186.04</v>
      </c>
      <c r="E11" s="657">
        <f t="shared" si="0"/>
        <v>0</v>
      </c>
    </row>
    <row r="12" spans="1:6">
      <c r="A12" s="655"/>
      <c r="B12" s="344" t="s">
        <v>926</v>
      </c>
      <c r="C12" s="658">
        <v>1354748.99</v>
      </c>
      <c r="D12" s="657">
        <f>-C12</f>
        <v>-1354748.99</v>
      </c>
      <c r="E12" s="657">
        <f t="shared" si="0"/>
        <v>0</v>
      </c>
    </row>
    <row r="13" spans="1:6">
      <c r="A13" s="655"/>
      <c r="B13" s="344" t="s">
        <v>925</v>
      </c>
      <c r="C13" s="658">
        <v>51600.020000000004</v>
      </c>
      <c r="D13" s="657">
        <v>0</v>
      </c>
      <c r="E13" s="657">
        <f t="shared" si="0"/>
        <v>51600.020000000004</v>
      </c>
    </row>
    <row r="14" spans="1:6">
      <c r="A14" s="655"/>
      <c r="B14" s="344" t="s">
        <v>924</v>
      </c>
      <c r="C14" s="658">
        <v>1071560.77</v>
      </c>
      <c r="D14" s="657">
        <v>0</v>
      </c>
      <c r="E14" s="657">
        <f t="shared" si="0"/>
        <v>1071560.77</v>
      </c>
    </row>
    <row r="15" spans="1:6">
      <c r="A15" s="655"/>
      <c r="B15" s="344" t="s">
        <v>923</v>
      </c>
      <c r="C15" s="658">
        <v>1432.06</v>
      </c>
      <c r="D15" s="657">
        <v>0</v>
      </c>
      <c r="E15" s="657">
        <f t="shared" si="0"/>
        <v>1432.06</v>
      </c>
    </row>
    <row r="16" spans="1:6">
      <c r="A16" s="655"/>
      <c r="B16" s="344" t="s">
        <v>922</v>
      </c>
      <c r="C16" s="658">
        <v>20734.640000000003</v>
      </c>
      <c r="D16" s="657">
        <v>0</v>
      </c>
      <c r="E16" s="657">
        <f t="shared" si="0"/>
        <v>20734.640000000003</v>
      </c>
    </row>
    <row r="17" spans="1:5">
      <c r="A17" s="655"/>
      <c r="B17" s="344" t="s">
        <v>921</v>
      </c>
      <c r="C17" s="658">
        <v>1524.15</v>
      </c>
      <c r="D17" s="657">
        <v>0</v>
      </c>
      <c r="E17" s="657">
        <f t="shared" si="0"/>
        <v>1524.15</v>
      </c>
    </row>
    <row r="18" spans="1:5">
      <c r="A18" s="655"/>
      <c r="B18" s="344" t="s">
        <v>893</v>
      </c>
      <c r="C18" s="658">
        <v>1457527.4599999995</v>
      </c>
      <c r="D18" s="657">
        <f>$D$7*(C18/($C$57-$D$7-C$13-C$14-C$15-C$16-C$17))</f>
        <v>75599.203400870334</v>
      </c>
      <c r="E18" s="657">
        <f t="shared" si="0"/>
        <v>1533126.6634008698</v>
      </c>
    </row>
    <row r="19" spans="1:5">
      <c r="A19" s="655"/>
      <c r="B19" s="344" t="s">
        <v>891</v>
      </c>
      <c r="C19" s="658">
        <v>2892914.53</v>
      </c>
      <c r="D19" s="657">
        <f t="shared" ref="D19:D56" si="1">$D$7*(C19/($C$57-$D$7-C$13-C$14-C$15-C$16-C$17))</f>
        <v>150050.02648444319</v>
      </c>
      <c r="E19" s="657">
        <f t="shared" si="0"/>
        <v>3042964.5564844431</v>
      </c>
    </row>
    <row r="20" spans="1:5">
      <c r="A20" s="655"/>
      <c r="B20" s="344" t="s">
        <v>889</v>
      </c>
      <c r="C20" s="658">
        <v>1487187.51</v>
      </c>
      <c r="D20" s="657">
        <f t="shared" si="1"/>
        <v>77137.614315495579</v>
      </c>
      <c r="E20" s="657">
        <f t="shared" si="0"/>
        <v>1564325.1243154956</v>
      </c>
    </row>
    <row r="21" spans="1:5">
      <c r="A21" s="655"/>
      <c r="B21" s="344" t="s">
        <v>887</v>
      </c>
      <c r="C21" s="658">
        <v>43619.179999999993</v>
      </c>
      <c r="D21" s="657">
        <f t="shared" si="1"/>
        <v>2262.4446890346585</v>
      </c>
      <c r="E21" s="657">
        <f t="shared" si="0"/>
        <v>45881.624689034652</v>
      </c>
    </row>
    <row r="22" spans="1:5">
      <c r="A22" s="655"/>
      <c r="B22" s="344" t="s">
        <v>885</v>
      </c>
      <c r="C22" s="658">
        <v>2345338.7600000002</v>
      </c>
      <c r="D22" s="657">
        <f t="shared" si="1"/>
        <v>121648.30291511974</v>
      </c>
      <c r="E22" s="657">
        <f t="shared" si="0"/>
        <v>2466987.0629151198</v>
      </c>
    </row>
    <row r="23" spans="1:5">
      <c r="A23" s="655"/>
      <c r="B23" s="344" t="s">
        <v>884</v>
      </c>
      <c r="C23" s="658">
        <v>1463237.2199999995</v>
      </c>
      <c r="D23" s="657">
        <f t="shared" si="1"/>
        <v>75895.357895009423</v>
      </c>
      <c r="E23" s="657">
        <f t="shared" si="0"/>
        <v>1539132.577895009</v>
      </c>
    </row>
    <row r="24" spans="1:5">
      <c r="A24" s="655"/>
      <c r="B24" s="659" t="s">
        <v>883</v>
      </c>
      <c r="C24" s="658">
        <v>153247.66</v>
      </c>
      <c r="D24" s="657">
        <f t="shared" si="1"/>
        <v>7948.6674090156921</v>
      </c>
      <c r="E24" s="657">
        <f t="shared" si="0"/>
        <v>161196.32740901571</v>
      </c>
    </row>
    <row r="25" spans="1:5">
      <c r="A25" s="655"/>
      <c r="B25" s="344" t="s">
        <v>882</v>
      </c>
      <c r="C25" s="658">
        <v>2032123.9499999997</v>
      </c>
      <c r="D25" s="657">
        <f t="shared" si="1"/>
        <v>105402.44081015809</v>
      </c>
      <c r="E25" s="657">
        <f t="shared" si="0"/>
        <v>2137526.3908101576</v>
      </c>
    </row>
    <row r="26" spans="1:5">
      <c r="A26" s="655"/>
      <c r="B26" s="344" t="s">
        <v>881</v>
      </c>
      <c r="C26" s="658">
        <v>712096.11999999988</v>
      </c>
      <c r="D26" s="657">
        <f t="shared" si="1"/>
        <v>36935.08417114184</v>
      </c>
      <c r="E26" s="657">
        <f t="shared" si="0"/>
        <v>749031.20417114173</v>
      </c>
    </row>
    <row r="27" spans="1:5">
      <c r="A27" s="655"/>
      <c r="B27" s="344" t="s">
        <v>880</v>
      </c>
      <c r="C27" s="658">
        <v>146297.55999999994</v>
      </c>
      <c r="D27" s="657">
        <f t="shared" si="1"/>
        <v>7588.1788158495683</v>
      </c>
      <c r="E27" s="657">
        <f t="shared" si="0"/>
        <v>153885.7388158495</v>
      </c>
    </row>
    <row r="28" spans="1:5">
      <c r="A28" s="655"/>
      <c r="B28" s="344" t="s">
        <v>879</v>
      </c>
      <c r="C28" s="658">
        <v>171.62000000000003</v>
      </c>
      <c r="D28" s="657">
        <f t="shared" si="1"/>
        <v>8.9016060717356034</v>
      </c>
      <c r="E28" s="657">
        <f t="shared" si="0"/>
        <v>180.52160607173565</v>
      </c>
    </row>
    <row r="29" spans="1:5">
      <c r="A29" s="655"/>
      <c r="B29" s="659" t="s">
        <v>1056</v>
      </c>
      <c r="C29" s="658">
        <v>701.51</v>
      </c>
      <c r="D29" s="657">
        <f t="shared" si="1"/>
        <v>36.386002070756561</v>
      </c>
      <c r="E29" s="657">
        <f t="shared" si="0"/>
        <v>737.89600207075659</v>
      </c>
    </row>
    <row r="30" spans="1:5">
      <c r="A30" s="655"/>
      <c r="B30" s="659" t="s">
        <v>878</v>
      </c>
      <c r="C30" s="658">
        <v>1765.4299999999998</v>
      </c>
      <c r="D30" s="657">
        <f t="shared" si="1"/>
        <v>91.569528069130527</v>
      </c>
      <c r="E30" s="657">
        <f t="shared" si="0"/>
        <v>1856.9995280691303</v>
      </c>
    </row>
    <row r="31" spans="1:5">
      <c r="A31" s="655"/>
      <c r="B31" s="659" t="s">
        <v>877</v>
      </c>
      <c r="C31" s="658">
        <v>2222.4699999999998</v>
      </c>
      <c r="D31" s="657">
        <f t="shared" si="1"/>
        <v>115.27533181593184</v>
      </c>
      <c r="E31" s="657">
        <f t="shared" si="0"/>
        <v>2337.7453318159314</v>
      </c>
    </row>
    <row r="32" spans="1:5">
      <c r="A32" s="655"/>
      <c r="B32" s="659" t="s">
        <v>876</v>
      </c>
      <c r="C32" s="658">
        <v>210355.43000000005</v>
      </c>
      <c r="D32" s="657">
        <f t="shared" si="1"/>
        <v>10910.739849146683</v>
      </c>
      <c r="E32" s="657">
        <f t="shared" si="0"/>
        <v>221266.16984914674</v>
      </c>
    </row>
    <row r="33" spans="1:5">
      <c r="A33" s="655"/>
      <c r="B33" s="659" t="s">
        <v>875</v>
      </c>
      <c r="C33" s="658">
        <v>40060.550000000119</v>
      </c>
      <c r="D33" s="657">
        <f t="shared" si="1"/>
        <v>2077.8652553144666</v>
      </c>
      <c r="E33" s="657">
        <f t="shared" si="0"/>
        <v>42138.415255314583</v>
      </c>
    </row>
    <row r="34" spans="1:5">
      <c r="A34" s="655"/>
      <c r="B34" s="659" t="s">
        <v>874</v>
      </c>
      <c r="C34" s="658">
        <v>439.88</v>
      </c>
      <c r="D34" s="657">
        <f t="shared" si="1"/>
        <v>22.815746875859784</v>
      </c>
      <c r="E34" s="657">
        <f t="shared" si="0"/>
        <v>462.69574687585975</v>
      </c>
    </row>
    <row r="35" spans="1:5">
      <c r="A35" s="655"/>
      <c r="B35" s="659" t="s">
        <v>873</v>
      </c>
      <c r="C35" s="658">
        <v>2669.45</v>
      </c>
      <c r="D35" s="657">
        <f t="shared" si="1"/>
        <v>138.45934231554946</v>
      </c>
      <c r="E35" s="657">
        <f t="shared" si="0"/>
        <v>2807.9093423155491</v>
      </c>
    </row>
    <row r="36" spans="1:5">
      <c r="A36" s="655"/>
      <c r="B36" s="659" t="s">
        <v>872</v>
      </c>
      <c r="C36" s="658">
        <v>799086.63</v>
      </c>
      <c r="D36" s="657">
        <f t="shared" si="1"/>
        <v>41447.118036655054</v>
      </c>
      <c r="E36" s="657">
        <f t="shared" si="0"/>
        <v>840533.74803665502</v>
      </c>
    </row>
    <row r="37" spans="1:5">
      <c r="A37" s="655"/>
      <c r="B37" s="659" t="s">
        <v>871</v>
      </c>
      <c r="C37" s="658">
        <v>156486.19999999998</v>
      </c>
      <c r="D37" s="657">
        <f t="shared" si="1"/>
        <v>8116.6443774783329</v>
      </c>
      <c r="E37" s="657">
        <f t="shared" si="0"/>
        <v>164602.84437747832</v>
      </c>
    </row>
    <row r="38" spans="1:5">
      <c r="A38" s="655"/>
      <c r="B38" s="659" t="s">
        <v>870</v>
      </c>
      <c r="C38" s="658">
        <v>4735269.7899999982</v>
      </c>
      <c r="D38" s="657">
        <f t="shared" si="1"/>
        <v>245609.52286429406</v>
      </c>
      <c r="E38" s="657">
        <f t="shared" si="0"/>
        <v>4980879.3128642924</v>
      </c>
    </row>
    <row r="39" spans="1:5">
      <c r="A39" s="655"/>
      <c r="B39" s="659" t="s">
        <v>869</v>
      </c>
      <c r="C39" s="658">
        <v>10805.84</v>
      </c>
      <c r="D39" s="657">
        <f t="shared" si="1"/>
        <v>560.47856283768465</v>
      </c>
      <c r="E39" s="657">
        <f t="shared" si="0"/>
        <v>11366.318562837685</v>
      </c>
    </row>
    <row r="40" spans="1:5">
      <c r="A40" s="655"/>
      <c r="B40" s="659" t="s">
        <v>868</v>
      </c>
      <c r="C40" s="658">
        <v>1166.17</v>
      </c>
      <c r="D40" s="657">
        <f t="shared" si="1"/>
        <v>60.487040861647287</v>
      </c>
      <c r="E40" s="657">
        <f t="shared" si="0"/>
        <v>1226.6570408616474</v>
      </c>
    </row>
    <row r="41" spans="1:5">
      <c r="A41" s="655"/>
      <c r="B41" s="659" t="s">
        <v>867</v>
      </c>
      <c r="C41" s="658">
        <v>5475654.3200000003</v>
      </c>
      <c r="D41" s="657">
        <f t="shared" si="1"/>
        <v>284011.87356740056</v>
      </c>
      <c r="E41" s="657">
        <f t="shared" si="0"/>
        <v>5759666.1935674008</v>
      </c>
    </row>
    <row r="42" spans="1:5">
      <c r="A42" s="655"/>
      <c r="B42" s="659" t="s">
        <v>866</v>
      </c>
      <c r="C42" s="658">
        <v>5622.0900000000011</v>
      </c>
      <c r="D42" s="657">
        <f t="shared" si="1"/>
        <v>291.60721640743515</v>
      </c>
      <c r="E42" s="657">
        <f t="shared" si="0"/>
        <v>5913.6972164074359</v>
      </c>
    </row>
    <row r="43" spans="1:5">
      <c r="A43" s="655"/>
      <c r="B43" s="659" t="s">
        <v>865</v>
      </c>
      <c r="C43" s="658">
        <v>7101.2299999999987</v>
      </c>
      <c r="D43" s="657">
        <f t="shared" si="1"/>
        <v>368.32742154056052</v>
      </c>
      <c r="E43" s="657">
        <f t="shared" si="0"/>
        <v>7469.5574215405595</v>
      </c>
    </row>
    <row r="44" spans="1:5">
      <c r="A44" s="655"/>
      <c r="B44" s="659" t="s">
        <v>864</v>
      </c>
      <c r="C44" s="658">
        <v>5100.8100000000004</v>
      </c>
      <c r="D44" s="657">
        <f t="shared" si="1"/>
        <v>264.56940488736558</v>
      </c>
      <c r="E44" s="657">
        <f t="shared" si="0"/>
        <v>5365.379404887366</v>
      </c>
    </row>
    <row r="45" spans="1:5">
      <c r="A45" s="655"/>
      <c r="B45" s="659" t="s">
        <v>863</v>
      </c>
      <c r="C45" s="658">
        <v>29825.910000000007</v>
      </c>
      <c r="D45" s="657">
        <f t="shared" si="1"/>
        <v>1547.0137603486753</v>
      </c>
      <c r="E45" s="657">
        <f t="shared" si="0"/>
        <v>31372.923760348684</v>
      </c>
    </row>
    <row r="46" spans="1:5">
      <c r="A46" s="655"/>
      <c r="B46" s="659" t="s">
        <v>862</v>
      </c>
      <c r="C46" s="658">
        <v>1283.83</v>
      </c>
      <c r="D46" s="657">
        <f t="shared" si="1"/>
        <v>66.589843392823198</v>
      </c>
      <c r="E46" s="657">
        <f t="shared" si="0"/>
        <v>1350.4198433928232</v>
      </c>
    </row>
    <row r="47" spans="1:5">
      <c r="A47" s="655"/>
      <c r="B47" s="659" t="s">
        <v>861</v>
      </c>
      <c r="C47" s="658">
        <v>76971.759999999995</v>
      </c>
      <c r="D47" s="657">
        <f t="shared" si="1"/>
        <v>3992.3801781154611</v>
      </c>
      <c r="E47" s="657">
        <f t="shared" si="0"/>
        <v>80964.140178115456</v>
      </c>
    </row>
    <row r="48" spans="1:5">
      <c r="A48" s="655"/>
      <c r="B48" s="659" t="s">
        <v>860</v>
      </c>
      <c r="C48" s="658">
        <v>665474.23999999987</v>
      </c>
      <c r="D48" s="657">
        <f t="shared" si="1"/>
        <v>34516.895090127226</v>
      </c>
      <c r="E48" s="657">
        <f t="shared" si="0"/>
        <v>699991.13509012712</v>
      </c>
    </row>
    <row r="49" spans="1:6">
      <c r="A49" s="655"/>
      <c r="B49" s="660" t="s">
        <v>859</v>
      </c>
      <c r="C49" s="661">
        <v>28829.879999999997</v>
      </c>
      <c r="D49" s="657">
        <f t="shared" si="1"/>
        <v>1495.3515607470504</v>
      </c>
      <c r="E49" s="657">
        <f t="shared" si="0"/>
        <v>30325.231560747048</v>
      </c>
    </row>
    <row r="50" spans="1:6">
      <c r="A50" s="655"/>
      <c r="B50" s="660" t="s">
        <v>858</v>
      </c>
      <c r="C50" s="658">
        <v>259130.14999999997</v>
      </c>
      <c r="D50" s="657">
        <f t="shared" si="1"/>
        <v>13440.592685058598</v>
      </c>
      <c r="E50" s="657">
        <f t="shared" si="0"/>
        <v>272570.74268505856</v>
      </c>
    </row>
    <row r="51" spans="1:6">
      <c r="A51" s="655"/>
      <c r="B51" s="659" t="s">
        <v>857</v>
      </c>
      <c r="C51" s="658">
        <v>2097930.4400000004</v>
      </c>
      <c r="D51" s="657">
        <f t="shared" si="1"/>
        <v>108815.69946849403</v>
      </c>
      <c r="E51" s="657">
        <f t="shared" si="0"/>
        <v>2206746.1394684943</v>
      </c>
    </row>
    <row r="52" spans="1:6">
      <c r="A52" s="655"/>
      <c r="B52" s="659" t="s">
        <v>856</v>
      </c>
      <c r="C52" s="658">
        <v>-457097</v>
      </c>
      <c r="D52" s="657">
        <f t="shared" si="1"/>
        <v>-23708.760229414565</v>
      </c>
      <c r="E52" s="657">
        <f t="shared" si="0"/>
        <v>-480805.76022941456</v>
      </c>
    </row>
    <row r="53" spans="1:6">
      <c r="A53" s="655"/>
      <c r="B53" s="659" t="s">
        <v>1051</v>
      </c>
      <c r="C53" s="658">
        <v>3696.0299999999997</v>
      </c>
      <c r="D53" s="657">
        <f t="shared" si="1"/>
        <v>191.70611286165325</v>
      </c>
      <c r="E53" s="657">
        <f t="shared" si="0"/>
        <v>3887.7361128616531</v>
      </c>
    </row>
    <row r="54" spans="1:6">
      <c r="A54" s="655"/>
      <c r="B54" s="659" t="s">
        <v>855</v>
      </c>
      <c r="C54" s="658">
        <v>166792.27000000002</v>
      </c>
      <c r="D54" s="657">
        <f t="shared" si="1"/>
        <v>8651.2008119715883</v>
      </c>
      <c r="E54" s="657">
        <f t="shared" si="0"/>
        <v>175443.47081197161</v>
      </c>
      <c r="F54" s="657"/>
    </row>
    <row r="55" spans="1:6">
      <c r="A55" s="655"/>
      <c r="B55" s="659" t="s">
        <v>854</v>
      </c>
      <c r="C55" s="658">
        <v>4032.3999999999996</v>
      </c>
      <c r="D55" s="657">
        <f t="shared" si="1"/>
        <v>209.15299104805172</v>
      </c>
      <c r="E55" s="657">
        <f t="shared" si="0"/>
        <v>4241.5529910480509</v>
      </c>
    </row>
    <row r="56" spans="1:6">
      <c r="A56" s="655"/>
      <c r="B56" s="659" t="s">
        <v>853</v>
      </c>
      <c r="C56" s="662">
        <v>491992.51000000007</v>
      </c>
      <c r="D56" s="663">
        <f t="shared" si="1"/>
        <v>25518.72459074956</v>
      </c>
      <c r="E56" s="663">
        <f t="shared" si="0"/>
        <v>517511.23459074961</v>
      </c>
    </row>
    <row r="57" spans="1:6">
      <c r="A57" s="655" t="s">
        <v>1050</v>
      </c>
      <c r="B57" s="655"/>
      <c r="C57" s="664">
        <f>SUM(C8:C56)</f>
        <v>47626164.370000005</v>
      </c>
      <c r="D57" s="664">
        <f>SUM(D8:D56)</f>
        <v>-2.4010660126805305E-10</v>
      </c>
      <c r="E57" s="664">
        <f>SUM(E8:E56)</f>
        <v>47626164.369999975</v>
      </c>
      <c r="F57" s="344" t="s">
        <v>131</v>
      </c>
    </row>
    <row r="58" spans="1:6">
      <c r="A58" s="655"/>
      <c r="B58" s="655"/>
      <c r="E58" s="665">
        <f>SUM(E18:E56)/E57</f>
        <v>0.60862487421268041</v>
      </c>
      <c r="F58" s="344" t="s">
        <v>1049</v>
      </c>
    </row>
    <row r="59" spans="1:6">
      <c r="D59" s="657"/>
      <c r="E59" s="657"/>
    </row>
    <row r="60" spans="1:6">
      <c r="D60" s="657"/>
      <c r="E60" s="657"/>
    </row>
    <row r="61" spans="1:6">
      <c r="D61" s="657"/>
      <c r="E61" s="657"/>
    </row>
    <row r="62" spans="1:6">
      <c r="D62" s="657"/>
      <c r="E62" s="657"/>
    </row>
    <row r="63" spans="1:6">
      <c r="D63" s="657"/>
      <c r="E63" s="657"/>
    </row>
    <row r="64" spans="1:6">
      <c r="D64" s="657"/>
      <c r="E64" s="657"/>
    </row>
    <row r="68" spans="1:5">
      <c r="A68" s="655"/>
      <c r="B68" s="655"/>
      <c r="C68" s="664"/>
      <c r="D68" s="664"/>
      <c r="E68" s="664"/>
    </row>
    <row r="69" spans="1:5">
      <c r="A69" s="655"/>
      <c r="B69" s="655"/>
      <c r="E69" s="665"/>
    </row>
    <row r="70" spans="1:5">
      <c r="C70" s="666"/>
    </row>
    <row r="81" s="344" customFormat="1"/>
    <row r="82" s="344" customFormat="1"/>
    <row r="83" s="344" customFormat="1"/>
    <row r="84" s="344" customFormat="1"/>
    <row r="85" s="344" customFormat="1"/>
    <row r="86" s="344" customFormat="1"/>
    <row r="87" s="344" customFormat="1"/>
    <row r="88" s="344" customFormat="1"/>
    <row r="89" s="344" customFormat="1"/>
    <row r="90" s="344" customFormat="1"/>
    <row r="91" s="344" customFormat="1"/>
    <row r="92" s="344" customFormat="1"/>
    <row r="93" s="344" customFormat="1"/>
    <row r="94" s="344" customFormat="1"/>
    <row r="95" s="344" customFormat="1"/>
    <row r="96" s="344" customFormat="1"/>
    <row r="97" s="344" customFormat="1"/>
    <row r="98" s="344" customFormat="1"/>
    <row r="99" s="344" customFormat="1"/>
    <row r="100" s="344" customFormat="1"/>
    <row r="101" s="344" customFormat="1"/>
    <row r="102" s="344" customFormat="1"/>
    <row r="103" s="344" customFormat="1"/>
    <row r="104" s="344" customFormat="1"/>
    <row r="105" s="344" customFormat="1"/>
    <row r="106" s="344" customFormat="1"/>
    <row r="107" s="344" customFormat="1"/>
    <row r="108" s="344" customFormat="1"/>
    <row r="109" s="344" customFormat="1"/>
    <row r="110" s="344" customFormat="1"/>
    <row r="111" s="344" customFormat="1"/>
    <row r="112" s="344" customFormat="1"/>
    <row r="113" s="344" customFormat="1"/>
    <row r="114" s="344" customFormat="1"/>
    <row r="115" s="344" customFormat="1"/>
    <row r="116" s="344" customFormat="1"/>
    <row r="117" s="344" customFormat="1"/>
    <row r="118" s="344" customFormat="1"/>
    <row r="119" s="344" customFormat="1"/>
    <row r="120" s="344" customFormat="1"/>
  </sheetData>
  <pageMargins left="0.7" right="0.7" top="0.75" bottom="0.75" header="0.3" footer="0.3"/>
  <pageSetup scale="71"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69FA0-7C2F-4174-80B7-8EC5780C8791}">
  <dimension ref="A1:H40"/>
  <sheetViews>
    <sheetView workbookViewId="0">
      <selection activeCell="A4" sqref="A4"/>
    </sheetView>
  </sheetViews>
  <sheetFormatPr defaultColWidth="9.1796875" defaultRowHeight="14"/>
  <cols>
    <col min="1" max="1" width="38.7265625" style="334" customWidth="1"/>
    <col min="2" max="2" width="15.26953125" style="334" bestFit="1" customWidth="1"/>
    <col min="3" max="5" width="9.1796875" style="334"/>
    <col min="6" max="6" width="29.453125" style="334" bestFit="1" customWidth="1"/>
    <col min="7" max="7" width="10" style="334" bestFit="1" customWidth="1"/>
    <col min="8" max="8" width="37.7265625" style="334" bestFit="1" customWidth="1"/>
    <col min="9" max="16384" width="9.1796875" style="334"/>
  </cols>
  <sheetData>
    <row r="1" spans="1:2" customFormat="1" ht="14.5">
      <c r="A1" s="343" t="s">
        <v>51</v>
      </c>
    </row>
    <row r="2" spans="1:2" customFormat="1" ht="14.5">
      <c r="A2" s="344" t="s">
        <v>577</v>
      </c>
    </row>
    <row r="3" spans="1:2" customFormat="1" ht="14.5">
      <c r="A3" s="343" t="s">
        <v>83</v>
      </c>
    </row>
    <row r="4" spans="1:2" customFormat="1" ht="14.5">
      <c r="A4" s="344" t="s">
        <v>573</v>
      </c>
    </row>
    <row r="5" spans="1:2" customFormat="1" ht="14.5"/>
    <row r="6" spans="1:2" customFormat="1" ht="15">
      <c r="A6" s="345" t="s">
        <v>574</v>
      </c>
      <c r="B6" s="345" t="s">
        <v>561</v>
      </c>
    </row>
    <row r="7" spans="1:2" ht="15">
      <c r="A7" t="s">
        <v>562</v>
      </c>
      <c r="B7" t="s">
        <v>563</v>
      </c>
    </row>
    <row r="8" spans="1:2" ht="15">
      <c r="A8" t="s">
        <v>564</v>
      </c>
      <c r="B8" s="347">
        <v>13140600.84</v>
      </c>
    </row>
    <row r="9" spans="1:2" ht="15">
      <c r="A9" t="s">
        <v>565</v>
      </c>
      <c r="B9" s="347">
        <v>312617571.63000059</v>
      </c>
    </row>
    <row r="10" spans="1:2" ht="15">
      <c r="A10" t="s">
        <v>566</v>
      </c>
      <c r="B10" s="347">
        <v>315773.21499999997</v>
      </c>
    </row>
    <row r="11" spans="1:2" ht="15">
      <c r="A11" t="s">
        <v>567</v>
      </c>
      <c r="B11" s="347">
        <v>1553726.5399999996</v>
      </c>
    </row>
    <row r="12" spans="1:2" ht="15">
      <c r="A12" t="s">
        <v>568</v>
      </c>
      <c r="B12" s="347">
        <v>1859020.31</v>
      </c>
    </row>
    <row r="13" spans="1:2" ht="15">
      <c r="A13" t="s">
        <v>569</v>
      </c>
      <c r="B13" s="347">
        <v>26031.98</v>
      </c>
    </row>
    <row r="14" spans="1:2" ht="15">
      <c r="A14" t="s">
        <v>570</v>
      </c>
      <c r="B14" s="347">
        <v>725.99</v>
      </c>
    </row>
    <row r="15" spans="1:2" ht="15">
      <c r="A15" t="s">
        <v>244</v>
      </c>
      <c r="B15" s="347">
        <v>329513450.50500059</v>
      </c>
    </row>
    <row r="19" spans="1:8">
      <c r="A19" s="337" t="s">
        <v>575</v>
      </c>
      <c r="B19" s="337"/>
      <c r="F19" s="337" t="s">
        <v>576</v>
      </c>
      <c r="G19" s="337"/>
    </row>
    <row r="20" spans="1:8" ht="15">
      <c r="A20" s="335" t="s">
        <v>564</v>
      </c>
      <c r="B20" s="336">
        <v>13140600.84</v>
      </c>
      <c r="C20" s="338">
        <v>3.9878799544786965E-2</v>
      </c>
      <c r="F20" s="335" t="s">
        <v>564</v>
      </c>
      <c r="G20" s="336">
        <f>+C20*$G$27</f>
        <v>373092.84865837754</v>
      </c>
    </row>
    <row r="21" spans="1:8" ht="15">
      <c r="A21" s="335" t="s">
        <v>565</v>
      </c>
      <c r="B21" s="336">
        <v>312617571.63000059</v>
      </c>
      <c r="C21" s="338">
        <v>0.94872476723148635</v>
      </c>
      <c r="F21" s="335" t="s">
        <v>565</v>
      </c>
      <c r="G21" s="336">
        <f>+C21*$G$27</f>
        <v>8875954.8943198323</v>
      </c>
    </row>
    <row r="22" spans="1:8" ht="15">
      <c r="A22" s="335" t="s">
        <v>566</v>
      </c>
      <c r="B22" s="336">
        <v>315773.21499999997</v>
      </c>
      <c r="C22" s="338">
        <v>9.5830144267573043E-4</v>
      </c>
      <c r="F22" s="335" t="s">
        <v>566</v>
      </c>
      <c r="G22" s="336">
        <f t="shared" ref="G22:G26" si="0">+C22*$G$27</f>
        <v>8965.5510998966074</v>
      </c>
    </row>
    <row r="23" spans="1:8" ht="15">
      <c r="A23" s="335" t="s">
        <v>567</v>
      </c>
      <c r="B23" s="336">
        <v>1553726.5399999996</v>
      </c>
      <c r="C23" s="338">
        <v>4.7152143186228465E-3</v>
      </c>
      <c r="E23" s="335"/>
      <c r="F23" s="335" t="s">
        <v>567</v>
      </c>
      <c r="G23" s="336">
        <f t="shared" si="0"/>
        <v>44113.984429095886</v>
      </c>
    </row>
    <row r="24" spans="1:8" ht="15">
      <c r="A24" s="335" t="s">
        <v>568</v>
      </c>
      <c r="B24" s="336">
        <v>1859020.31</v>
      </c>
      <c r="C24" s="338">
        <v>5.641712977576277E-3</v>
      </c>
      <c r="E24" s="335"/>
      <c r="F24" s="335" t="s">
        <v>568</v>
      </c>
      <c r="G24" s="336">
        <f t="shared" si="0"/>
        <v>52781.999211208073</v>
      </c>
    </row>
    <row r="25" spans="1:8" ht="15">
      <c r="A25" s="335" t="s">
        <v>569</v>
      </c>
      <c r="B25" s="336">
        <v>26031.98</v>
      </c>
      <c r="C25" s="338">
        <v>7.9001266746787769E-5</v>
      </c>
      <c r="E25" s="335"/>
      <c r="F25" s="335" t="s">
        <v>569</v>
      </c>
      <c r="G25" s="336">
        <f t="shared" si="0"/>
        <v>739.10970226365316</v>
      </c>
    </row>
    <row r="26" spans="1:8" ht="15">
      <c r="A26" s="335" t="s">
        <v>570</v>
      </c>
      <c r="B26" s="336">
        <v>725.99</v>
      </c>
      <c r="C26" s="338">
        <v>2.203218105019305E-6</v>
      </c>
      <c r="E26" s="335"/>
      <c r="F26" s="335" t="s">
        <v>570</v>
      </c>
      <c r="G26" s="336">
        <f t="shared" si="0"/>
        <v>20.612579325367857</v>
      </c>
    </row>
    <row r="27" spans="1:8" ht="15">
      <c r="A27" s="339" t="s">
        <v>244</v>
      </c>
      <c r="B27" s="340">
        <v>329513450.50500059</v>
      </c>
      <c r="C27" s="338">
        <v>1</v>
      </c>
      <c r="F27" s="339" t="s">
        <v>244</v>
      </c>
      <c r="G27" s="340">
        <v>9355669</v>
      </c>
      <c r="H27" s="341" t="s">
        <v>571</v>
      </c>
    </row>
    <row r="28" spans="1:8">
      <c r="G28" s="336">
        <v>0</v>
      </c>
      <c r="H28" s="342" t="s">
        <v>572</v>
      </c>
    </row>
    <row r="39" spans="4:4">
      <c r="D39" s="342"/>
    </row>
    <row r="40" spans="4:4">
      <c r="D40" s="34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757C-9684-467C-915D-0E57EF981F84}">
  <dimension ref="A1:C13"/>
  <sheetViews>
    <sheetView workbookViewId="0">
      <selection activeCell="C10" sqref="C10:C13"/>
    </sheetView>
  </sheetViews>
  <sheetFormatPr defaultColWidth="9.1796875" defaultRowHeight="14.5"/>
  <cols>
    <col min="1" max="1" width="17.81640625" style="348" bestFit="1" customWidth="1"/>
    <col min="2" max="2" width="8.1796875" style="348" bestFit="1" customWidth="1"/>
    <col min="3" max="3" width="18.81640625" style="348" bestFit="1" customWidth="1"/>
    <col min="4" max="16384" width="9.1796875" style="348"/>
  </cols>
  <sheetData>
    <row r="1" spans="1:3" customFormat="1">
      <c r="A1" s="344" t="s">
        <v>51</v>
      </c>
    </row>
    <row r="2" spans="1:3" customFormat="1">
      <c r="A2" s="344" t="s">
        <v>577</v>
      </c>
    </row>
    <row r="3" spans="1:3" customFormat="1">
      <c r="A3" s="344" t="s">
        <v>83</v>
      </c>
    </row>
    <row r="4" spans="1:3" customFormat="1">
      <c r="A4" t="s">
        <v>583</v>
      </c>
    </row>
    <row r="5" spans="1:3" customFormat="1"/>
    <row r="6" spans="1:3" customFormat="1"/>
    <row r="7" spans="1:3">
      <c r="A7" s="348" t="s">
        <v>582</v>
      </c>
    </row>
    <row r="9" spans="1:3">
      <c r="A9" t="s">
        <v>264</v>
      </c>
      <c r="B9" t="s">
        <v>95</v>
      </c>
      <c r="C9" t="s">
        <v>558</v>
      </c>
    </row>
    <row r="10" spans="1:3">
      <c r="A10" t="s">
        <v>578</v>
      </c>
      <c r="B10" t="s">
        <v>579</v>
      </c>
      <c r="C10" s="346">
        <v>-331109.28000000003</v>
      </c>
    </row>
    <row r="11" spans="1:3">
      <c r="A11"/>
      <c r="B11" t="s">
        <v>580</v>
      </c>
      <c r="C11" s="346">
        <v>-456915.77000000008</v>
      </c>
    </row>
    <row r="12" spans="1:3">
      <c r="A12" t="s">
        <v>581</v>
      </c>
      <c r="B12"/>
      <c r="C12" s="346">
        <v>-788025.05</v>
      </c>
    </row>
    <row r="13" spans="1:3">
      <c r="A13" t="s">
        <v>244</v>
      </c>
      <c r="B13"/>
      <c r="C13" s="346">
        <v>-788025.05</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30FE7-07AB-4156-A8EF-4E48E5AC0FDA}">
  <dimension ref="A1:P26"/>
  <sheetViews>
    <sheetView workbookViewId="0">
      <pane xSplit="1" ySplit="7" topLeftCell="B8" activePane="bottomRight" state="frozen"/>
      <selection pane="topRight"/>
      <selection pane="bottomLeft"/>
      <selection pane="bottomRight" activeCell="B8" sqref="B8"/>
    </sheetView>
  </sheetViews>
  <sheetFormatPr defaultColWidth="13.7265625" defaultRowHeight="12.5"/>
  <cols>
    <col min="1" max="1" width="46.26953125" style="349" customWidth="1"/>
    <col min="2" max="2" width="14.1796875" style="349" customWidth="1"/>
    <col min="3" max="3" width="17.453125" style="349" customWidth="1"/>
    <col min="4" max="4" width="16" style="349" customWidth="1"/>
    <col min="5" max="15" width="13.7265625" style="349"/>
    <col min="16" max="16" width="21.1796875" style="349" customWidth="1"/>
    <col min="17" max="16384" width="13.7265625" style="349"/>
  </cols>
  <sheetData>
    <row r="1" spans="1:16" ht="15" customHeight="1">
      <c r="A1" s="762" t="s">
        <v>51</v>
      </c>
      <c r="B1" s="761"/>
      <c r="C1" s="761"/>
    </row>
    <row r="2" spans="1:16" ht="15" customHeight="1">
      <c r="A2" s="760" t="s">
        <v>601</v>
      </c>
      <c r="B2" s="761"/>
      <c r="C2" s="761"/>
      <c r="D2" s="761"/>
    </row>
    <row r="3" spans="1:16" ht="15" customHeight="1">
      <c r="A3" s="760" t="s">
        <v>600</v>
      </c>
      <c r="B3" s="761"/>
      <c r="C3" s="761"/>
    </row>
    <row r="4" spans="1:16" ht="15" customHeight="1">
      <c r="A4" s="762" t="s">
        <v>83</v>
      </c>
      <c r="B4" s="761"/>
      <c r="C4" s="761"/>
      <c r="D4" s="761"/>
      <c r="E4" s="761"/>
    </row>
    <row r="5" spans="1:16" ht="15" customHeight="1"/>
    <row r="6" spans="1:16" ht="15" customHeight="1"/>
    <row r="7" spans="1:16" ht="15" customHeight="1">
      <c r="A7" s="362" t="s">
        <v>599</v>
      </c>
      <c r="B7" s="362" t="s">
        <v>598</v>
      </c>
      <c r="C7" s="362" t="s">
        <v>70</v>
      </c>
      <c r="D7" s="362" t="s">
        <v>69</v>
      </c>
      <c r="E7" s="362" t="s">
        <v>68</v>
      </c>
      <c r="F7" s="362" t="s">
        <v>67</v>
      </c>
      <c r="G7" s="362" t="s">
        <v>66</v>
      </c>
      <c r="H7" s="362" t="s">
        <v>65</v>
      </c>
      <c r="I7" s="362" t="s">
        <v>64</v>
      </c>
      <c r="J7" s="362" t="s">
        <v>63</v>
      </c>
      <c r="K7" s="362" t="s">
        <v>62</v>
      </c>
      <c r="L7" s="362" t="s">
        <v>61</v>
      </c>
      <c r="M7" s="362" t="s">
        <v>60</v>
      </c>
      <c r="N7" s="362" t="s">
        <v>59</v>
      </c>
      <c r="O7" s="361" t="s">
        <v>88</v>
      </c>
    </row>
    <row r="8" spans="1:16" ht="15" customHeight="1">
      <c r="A8" s="360" t="s">
        <v>597</v>
      </c>
      <c r="B8" s="359">
        <v>31700</v>
      </c>
      <c r="C8" s="358">
        <v>37963.01</v>
      </c>
      <c r="D8" s="358">
        <v>37962.99</v>
      </c>
      <c r="E8" s="358">
        <v>37962.99</v>
      </c>
      <c r="F8" s="358">
        <v>37963.01</v>
      </c>
      <c r="G8" s="358">
        <v>37963</v>
      </c>
      <c r="H8" s="358">
        <v>37962.980000000003</v>
      </c>
      <c r="I8" s="358">
        <v>37963</v>
      </c>
      <c r="J8" s="358">
        <v>37963</v>
      </c>
      <c r="K8" s="358">
        <v>37962.980000000003</v>
      </c>
      <c r="L8" s="358">
        <v>37962.980000000003</v>
      </c>
      <c r="M8" s="358">
        <v>37962.980000000003</v>
      </c>
      <c r="N8" s="358">
        <v>37962.99</v>
      </c>
      <c r="O8" s="358">
        <f t="shared" ref="O8:O18" si="0">SUM(C8:N8)</f>
        <v>455555.90999999992</v>
      </c>
    </row>
    <row r="9" spans="1:16" ht="15" customHeight="1">
      <c r="A9" s="356" t="s">
        <v>596</v>
      </c>
      <c r="B9" s="357">
        <v>31700</v>
      </c>
      <c r="C9" s="355">
        <v>7347.96</v>
      </c>
      <c r="D9" s="355">
        <v>7347.95</v>
      </c>
      <c r="E9" s="355">
        <v>7347.97</v>
      </c>
      <c r="F9" s="355">
        <v>7347.97</v>
      </c>
      <c r="G9" s="355">
        <v>7347.96</v>
      </c>
      <c r="H9" s="355">
        <v>7347.97</v>
      </c>
      <c r="I9" s="355">
        <v>7347.97</v>
      </c>
      <c r="J9" s="355">
        <v>7347.96</v>
      </c>
      <c r="K9" s="355">
        <v>7347.96</v>
      </c>
      <c r="L9" s="355">
        <v>7347.96</v>
      </c>
      <c r="M9" s="355">
        <v>7347.95</v>
      </c>
      <c r="N9" s="355">
        <v>7347.96</v>
      </c>
      <c r="O9" s="355">
        <f t="shared" si="0"/>
        <v>88175.540000000023</v>
      </c>
    </row>
    <row r="10" spans="1:16" ht="15" customHeight="1">
      <c r="A10" s="356" t="s">
        <v>595</v>
      </c>
      <c r="B10" s="357">
        <v>31700</v>
      </c>
      <c r="C10" s="355">
        <v>-572.67999999999995</v>
      </c>
      <c r="D10" s="355">
        <v>-572.67999999999995</v>
      </c>
      <c r="E10" s="355">
        <v>-572.67999999999995</v>
      </c>
      <c r="F10" s="355">
        <v>-572.67999999999995</v>
      </c>
      <c r="G10" s="355">
        <v>-572.67999999999995</v>
      </c>
      <c r="H10" s="355">
        <v>-572.67999999999995</v>
      </c>
      <c r="I10" s="355">
        <v>-572.67999999999995</v>
      </c>
      <c r="J10" s="355">
        <v>-572.67999999999995</v>
      </c>
      <c r="K10" s="355">
        <v>-572.67999999999995</v>
      </c>
      <c r="L10" s="355">
        <v>-572.67999999999995</v>
      </c>
      <c r="M10" s="355">
        <v>-572.67999999999995</v>
      </c>
      <c r="N10" s="355">
        <v>-572.67999999999995</v>
      </c>
      <c r="O10" s="355">
        <f t="shared" si="0"/>
        <v>-6872.1600000000008</v>
      </c>
      <c r="P10" s="356"/>
    </row>
    <row r="11" spans="1:16" ht="15" customHeight="1">
      <c r="A11" s="356" t="s">
        <v>594</v>
      </c>
      <c r="B11" s="357">
        <v>31700</v>
      </c>
      <c r="C11" s="355">
        <v>12809.88</v>
      </c>
      <c r="D11" s="355">
        <v>12809.89</v>
      </c>
      <c r="E11" s="355">
        <v>12809.91</v>
      </c>
      <c r="F11" s="355">
        <v>12809.91</v>
      </c>
      <c r="G11" s="355">
        <v>12809.89</v>
      </c>
      <c r="H11" s="355">
        <v>12809.89</v>
      </c>
      <c r="I11" s="355">
        <v>12809.91</v>
      </c>
      <c r="J11" s="355">
        <v>12809.9</v>
      </c>
      <c r="K11" s="355">
        <v>12809.9</v>
      </c>
      <c r="L11" s="355">
        <v>12809.89</v>
      </c>
      <c r="M11" s="355">
        <v>12809.89</v>
      </c>
      <c r="N11" s="355">
        <v>12809.9</v>
      </c>
      <c r="O11" s="355">
        <f t="shared" si="0"/>
        <v>153718.75999999998</v>
      </c>
      <c r="P11" s="356"/>
    </row>
    <row r="12" spans="1:16" ht="15" customHeight="1">
      <c r="A12" s="356" t="s">
        <v>593</v>
      </c>
      <c r="B12" s="357">
        <v>31700</v>
      </c>
      <c r="C12" s="355">
        <v>-1978.36</v>
      </c>
      <c r="D12" s="355">
        <v>-1978.36</v>
      </c>
      <c r="E12" s="355">
        <v>16107.05</v>
      </c>
      <c r="F12" s="355">
        <v>16107.03</v>
      </c>
      <c r="G12" s="355">
        <v>16107.03</v>
      </c>
      <c r="H12" s="355">
        <v>16107.05</v>
      </c>
      <c r="I12" s="355">
        <v>16107.04</v>
      </c>
      <c r="J12" s="355">
        <v>16107.04</v>
      </c>
      <c r="K12" s="355">
        <v>16107.03</v>
      </c>
      <c r="L12" s="355">
        <v>16107.03</v>
      </c>
      <c r="M12" s="355">
        <v>16107.04</v>
      </c>
      <c r="N12" s="355">
        <v>16107.05</v>
      </c>
      <c r="O12" s="355">
        <f t="shared" si="0"/>
        <v>157113.67000000001</v>
      </c>
      <c r="P12" s="356"/>
    </row>
    <row r="13" spans="1:16" ht="15" customHeight="1">
      <c r="A13" s="356" t="s">
        <v>592</v>
      </c>
      <c r="B13" s="357">
        <v>31700</v>
      </c>
      <c r="C13" s="356"/>
      <c r="D13" s="355">
        <v>9750.74</v>
      </c>
      <c r="E13" s="355">
        <v>9750.75</v>
      </c>
      <c r="F13" s="355">
        <v>9750.75</v>
      </c>
      <c r="G13" s="355">
        <v>9750.74</v>
      </c>
      <c r="H13" s="355">
        <v>9750.74</v>
      </c>
      <c r="I13" s="355">
        <v>9750.75</v>
      </c>
      <c r="J13" s="355">
        <v>9750.74</v>
      </c>
      <c r="K13" s="355">
        <v>9750.75</v>
      </c>
      <c r="L13" s="355">
        <v>9750.74</v>
      </c>
      <c r="M13" s="355">
        <v>9750.74</v>
      </c>
      <c r="N13" s="355">
        <v>9750.75</v>
      </c>
      <c r="O13" s="355">
        <f t="shared" si="0"/>
        <v>107258.19</v>
      </c>
      <c r="P13" s="356"/>
    </row>
    <row r="14" spans="1:16" ht="15" customHeight="1">
      <c r="A14" s="356" t="s">
        <v>591</v>
      </c>
      <c r="B14" s="357">
        <v>31700</v>
      </c>
      <c r="C14" s="356"/>
      <c r="D14" s="356"/>
      <c r="E14" s="355">
        <v>22198.5</v>
      </c>
      <c r="F14" s="355">
        <v>22198.5</v>
      </c>
      <c r="G14" s="355">
        <v>22198.47</v>
      </c>
      <c r="H14" s="355">
        <v>22198.48</v>
      </c>
      <c r="I14" s="355">
        <v>22198.5</v>
      </c>
      <c r="J14" s="355">
        <v>22198.49</v>
      </c>
      <c r="K14" s="355">
        <v>22198.49</v>
      </c>
      <c r="L14" s="355">
        <v>22198.47</v>
      </c>
      <c r="M14" s="355">
        <v>22198.47</v>
      </c>
      <c r="N14" s="355">
        <v>22198.49</v>
      </c>
      <c r="O14" s="355">
        <f t="shared" si="0"/>
        <v>221984.86</v>
      </c>
      <c r="P14" s="356"/>
    </row>
    <row r="15" spans="1:16" ht="15" customHeight="1">
      <c r="A15" s="356" t="s">
        <v>590</v>
      </c>
      <c r="B15" s="357">
        <v>31700</v>
      </c>
      <c r="C15" s="356"/>
      <c r="D15" s="356"/>
      <c r="E15" s="355">
        <v>46001.8</v>
      </c>
      <c r="F15" s="355">
        <v>46001.8</v>
      </c>
      <c r="G15" s="355">
        <v>46001.74</v>
      </c>
      <c r="H15" s="355">
        <v>46001.75</v>
      </c>
      <c r="I15" s="355">
        <v>46001.8</v>
      </c>
      <c r="J15" s="355">
        <v>46001.760000000002</v>
      </c>
      <c r="K15" s="355">
        <v>46001.78</v>
      </c>
      <c r="L15" s="355">
        <v>46001.73</v>
      </c>
      <c r="M15" s="355">
        <v>46001.74</v>
      </c>
      <c r="N15" s="355">
        <v>46001.77</v>
      </c>
      <c r="O15" s="355">
        <f t="shared" si="0"/>
        <v>460017.67000000004</v>
      </c>
      <c r="P15" s="356"/>
    </row>
    <row r="16" spans="1:16" ht="15" customHeight="1">
      <c r="A16" s="356" t="s">
        <v>589</v>
      </c>
      <c r="B16" s="357">
        <v>31700</v>
      </c>
      <c r="C16" s="356"/>
      <c r="D16" s="356"/>
      <c r="E16" s="355">
        <v>23214.63</v>
      </c>
      <c r="F16" s="355">
        <v>23214.63</v>
      </c>
      <c r="G16" s="355">
        <v>23214.6</v>
      </c>
      <c r="H16" s="355">
        <v>23214.6</v>
      </c>
      <c r="I16" s="355">
        <v>23214.63</v>
      </c>
      <c r="J16" s="355">
        <v>23214.61</v>
      </c>
      <c r="K16" s="355">
        <v>23214.62</v>
      </c>
      <c r="L16" s="355">
        <v>23214.59</v>
      </c>
      <c r="M16" s="355">
        <v>23214.6</v>
      </c>
      <c r="N16" s="355">
        <v>23214.62</v>
      </c>
      <c r="O16" s="355">
        <f t="shared" si="0"/>
        <v>232146.13</v>
      </c>
      <c r="P16" s="356"/>
    </row>
    <row r="17" spans="1:15" ht="15" customHeight="1">
      <c r="A17" s="356" t="s">
        <v>588</v>
      </c>
      <c r="B17" s="357">
        <v>31700</v>
      </c>
      <c r="C17" s="355">
        <v>-10974.67</v>
      </c>
      <c r="D17" s="355">
        <v>-16476.3</v>
      </c>
      <c r="E17" s="355">
        <v>-16476.3</v>
      </c>
      <c r="F17" s="355">
        <v>-16476.28</v>
      </c>
      <c r="G17" s="355">
        <v>-16476.28</v>
      </c>
      <c r="H17" s="355">
        <v>-16476.3</v>
      </c>
      <c r="I17" s="355">
        <v>-16476.29</v>
      </c>
      <c r="J17" s="355">
        <v>-16476.3</v>
      </c>
      <c r="K17" s="355">
        <v>-16476.28</v>
      </c>
      <c r="L17" s="355">
        <v>-16476.28</v>
      </c>
      <c r="M17" s="355">
        <v>-16476.29</v>
      </c>
      <c r="N17" s="355">
        <v>-16476.3</v>
      </c>
      <c r="O17" s="355">
        <f t="shared" si="0"/>
        <v>-192213.87</v>
      </c>
    </row>
    <row r="18" spans="1:15" ht="15" customHeight="1">
      <c r="A18" s="356" t="s">
        <v>587</v>
      </c>
      <c r="B18" s="357">
        <v>39919</v>
      </c>
      <c r="C18" s="354">
        <v>855.9</v>
      </c>
      <c r="D18" s="354">
        <v>855.91</v>
      </c>
      <c r="E18" s="354">
        <v>855.9</v>
      </c>
      <c r="F18" s="354">
        <v>855.89</v>
      </c>
      <c r="G18" s="354">
        <v>855.91</v>
      </c>
      <c r="H18" s="354">
        <v>855.89</v>
      </c>
      <c r="I18" s="354">
        <v>855.9</v>
      </c>
      <c r="J18" s="354">
        <v>855.9</v>
      </c>
      <c r="K18" s="354">
        <v>855.91</v>
      </c>
      <c r="L18" s="354">
        <v>855.89</v>
      </c>
      <c r="M18" s="354">
        <v>855.91</v>
      </c>
      <c r="N18" s="354">
        <v>855.89</v>
      </c>
      <c r="O18" s="354">
        <f t="shared" si="0"/>
        <v>10270.799999999999</v>
      </c>
    </row>
    <row r="19" spans="1:15" ht="15" customHeight="1" thickBot="1">
      <c r="C19" s="352">
        <f t="shared" ref="C19:O19" si="1">SUM(C8:C18)</f>
        <v>45451.040000000001</v>
      </c>
      <c r="D19" s="352">
        <f t="shared" si="1"/>
        <v>49700.14</v>
      </c>
      <c r="E19" s="352">
        <f t="shared" si="1"/>
        <v>159200.52000000002</v>
      </c>
      <c r="F19" s="352">
        <f t="shared" si="1"/>
        <v>159200.53000000003</v>
      </c>
      <c r="G19" s="352">
        <f t="shared" si="1"/>
        <v>159200.38</v>
      </c>
      <c r="H19" s="352">
        <f t="shared" si="1"/>
        <v>159200.37000000002</v>
      </c>
      <c r="I19" s="352">
        <f t="shared" si="1"/>
        <v>159200.52999999997</v>
      </c>
      <c r="J19" s="352">
        <f t="shared" si="1"/>
        <v>159200.42000000001</v>
      </c>
      <c r="K19" s="352">
        <f t="shared" si="1"/>
        <v>159200.46000000002</v>
      </c>
      <c r="L19" s="352">
        <f t="shared" si="1"/>
        <v>159200.32000000004</v>
      </c>
      <c r="M19" s="352">
        <f t="shared" si="1"/>
        <v>159200.35</v>
      </c>
      <c r="N19" s="352">
        <f t="shared" si="1"/>
        <v>159200.44000000003</v>
      </c>
      <c r="O19" s="352">
        <f t="shared" si="1"/>
        <v>1687155.4999999998</v>
      </c>
    </row>
    <row r="20" spans="1:15" ht="15" customHeight="1" thickTop="1">
      <c r="C20" s="351"/>
      <c r="D20" s="351"/>
      <c r="E20" s="351"/>
      <c r="F20" s="351"/>
      <c r="G20" s="351"/>
      <c r="H20" s="351"/>
      <c r="I20" s="351"/>
      <c r="J20" s="351"/>
      <c r="K20" s="351"/>
      <c r="L20" s="351"/>
      <c r="M20" s="351"/>
      <c r="N20" s="351"/>
      <c r="O20" s="351"/>
    </row>
    <row r="21" spans="1:15" ht="15" customHeight="1">
      <c r="E21" s="356"/>
      <c r="L21" s="763" t="s">
        <v>586</v>
      </c>
      <c r="M21" s="761"/>
      <c r="N21" s="761"/>
      <c r="O21" s="355">
        <f>+N19*12</f>
        <v>1910405.2800000003</v>
      </c>
    </row>
    <row r="22" spans="1:15" ht="15" customHeight="1">
      <c r="J22" s="763" t="s">
        <v>585</v>
      </c>
      <c r="K22" s="761"/>
      <c r="L22" s="761"/>
      <c r="M22" s="761"/>
      <c r="N22" s="761"/>
      <c r="O22" s="354">
        <v>1797036.5</v>
      </c>
    </row>
    <row r="23" spans="1:15" ht="15" customHeight="1" thickBot="1">
      <c r="N23" s="353" t="s">
        <v>584</v>
      </c>
      <c r="O23" s="352">
        <f>O21-O22</f>
        <v>113368.78000000026</v>
      </c>
    </row>
    <row r="24" spans="1:15" ht="15" customHeight="1" thickTop="1">
      <c r="O24" s="351"/>
    </row>
    <row r="25" spans="1:15" ht="15" customHeight="1">
      <c r="A25" s="350" t="s">
        <v>53</v>
      </c>
      <c r="B25" s="350" t="s">
        <v>54</v>
      </c>
    </row>
    <row r="26" spans="1:15" ht="15" customHeight="1"/>
  </sheetData>
  <mergeCells count="6">
    <mergeCell ref="A2:D2"/>
    <mergeCell ref="A1:C1"/>
    <mergeCell ref="A4:E4"/>
    <mergeCell ref="A3:C3"/>
    <mergeCell ref="J22:N22"/>
    <mergeCell ref="L21:N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F28DE-BFFD-4577-992A-7FD398D23E1A}">
  <dimension ref="A1:E26"/>
  <sheetViews>
    <sheetView showRuler="0" workbookViewId="0">
      <selection sqref="A1:C1"/>
    </sheetView>
  </sheetViews>
  <sheetFormatPr defaultColWidth="13.7265625" defaultRowHeight="12.5"/>
  <cols>
    <col min="1" max="1" width="19.81640625" style="2" customWidth="1"/>
    <col min="2" max="2" width="21.26953125" style="2" customWidth="1"/>
    <col min="3" max="16384" width="13.7265625" style="2"/>
  </cols>
  <sheetData>
    <row r="1" spans="1:5" ht="15" customHeight="1">
      <c r="A1" s="671" t="s">
        <v>51</v>
      </c>
      <c r="B1" s="670"/>
      <c r="C1" s="670"/>
    </row>
    <row r="2" spans="1:5" ht="15" customHeight="1">
      <c r="A2" s="672" t="s">
        <v>85</v>
      </c>
      <c r="B2" s="670"/>
      <c r="C2" s="670"/>
      <c r="D2" s="670"/>
    </row>
    <row r="3" spans="1:5" ht="15" customHeight="1">
      <c r="A3" s="672" t="s">
        <v>102</v>
      </c>
      <c r="B3" s="670"/>
      <c r="C3" s="670"/>
    </row>
    <row r="4" spans="1:5" ht="15" customHeight="1">
      <c r="A4" s="671" t="s">
        <v>83</v>
      </c>
      <c r="B4" s="670"/>
      <c r="C4" s="670"/>
      <c r="D4" s="670"/>
      <c r="E4" s="670"/>
    </row>
    <row r="5" spans="1:5" ht="15" customHeight="1"/>
    <row r="6" spans="1:5" ht="10.9" customHeight="1">
      <c r="A6" s="674" t="s">
        <v>101</v>
      </c>
      <c r="B6" s="673" t="s">
        <v>100</v>
      </c>
      <c r="C6" s="18"/>
    </row>
    <row r="7" spans="1:5" ht="16.75" customHeight="1">
      <c r="A7" s="675"/>
      <c r="B7" s="673"/>
      <c r="C7" s="18"/>
    </row>
    <row r="8" spans="1:5" ht="15" customHeight="1">
      <c r="A8" s="17" t="s">
        <v>70</v>
      </c>
      <c r="B8" s="14">
        <v>17431.63</v>
      </c>
    </row>
    <row r="9" spans="1:5" ht="15" customHeight="1">
      <c r="A9" s="13" t="s">
        <v>69</v>
      </c>
      <c r="B9" s="10">
        <v>17434.310000000001</v>
      </c>
    </row>
    <row r="10" spans="1:5" ht="15" customHeight="1">
      <c r="A10" s="13" t="s">
        <v>68</v>
      </c>
      <c r="B10" s="10">
        <v>17435.21</v>
      </c>
    </row>
    <row r="11" spans="1:5" ht="15" customHeight="1">
      <c r="A11" s="13" t="s">
        <v>67</v>
      </c>
      <c r="B11" s="10">
        <v>17436.88</v>
      </c>
    </row>
    <row r="12" spans="1:5" ht="15" customHeight="1">
      <c r="A12" s="13" t="s">
        <v>66</v>
      </c>
      <c r="B12" s="10">
        <v>17439.21</v>
      </c>
    </row>
    <row r="13" spans="1:5" ht="15" customHeight="1">
      <c r="A13" s="13" t="s">
        <v>65</v>
      </c>
      <c r="B13" s="10">
        <v>17442.55</v>
      </c>
    </row>
    <row r="14" spans="1:5" ht="15" customHeight="1">
      <c r="A14" s="13" t="s">
        <v>64</v>
      </c>
      <c r="B14" s="10">
        <v>17444.11</v>
      </c>
    </row>
    <row r="15" spans="1:5" ht="15" customHeight="1">
      <c r="A15" s="13" t="s">
        <v>63</v>
      </c>
      <c r="B15" s="10">
        <v>17446.509999999998</v>
      </c>
    </row>
    <row r="16" spans="1:5" ht="15" customHeight="1">
      <c r="A16" s="13" t="s">
        <v>62</v>
      </c>
      <c r="B16" s="10">
        <v>17449.22</v>
      </c>
    </row>
    <row r="17" spans="1:2" ht="15" customHeight="1">
      <c r="A17" s="13" t="s">
        <v>61</v>
      </c>
      <c r="B17" s="10">
        <v>17450.509999999998</v>
      </c>
    </row>
    <row r="18" spans="1:2" ht="15" customHeight="1">
      <c r="A18" s="13" t="s">
        <v>60</v>
      </c>
      <c r="B18" s="10">
        <v>17452.63</v>
      </c>
    </row>
    <row r="19" spans="1:2" ht="15" customHeight="1">
      <c r="A19" s="24" t="s">
        <v>59</v>
      </c>
      <c r="B19" s="9">
        <v>17455.55</v>
      </c>
    </row>
    <row r="20" spans="1:2" ht="27.65" customHeight="1">
      <c r="A20" s="17" t="s">
        <v>99</v>
      </c>
      <c r="B20" s="14">
        <f>SUM(B8:B19)</f>
        <v>209318.32</v>
      </c>
    </row>
    <row r="21" spans="1:2" ht="15" customHeight="1"/>
    <row r="22" spans="1:2" ht="50.15" customHeight="1">
      <c r="A22" s="13" t="s">
        <v>98</v>
      </c>
      <c r="B22" s="21">
        <f>-B20</f>
        <v>-209318.32</v>
      </c>
    </row>
    <row r="23" spans="1:2" ht="15" customHeight="1">
      <c r="A23" s="13" t="s">
        <v>56</v>
      </c>
      <c r="B23" s="25">
        <v>407.3</v>
      </c>
    </row>
    <row r="24" spans="1:2" ht="15" customHeight="1"/>
    <row r="25" spans="1:2" ht="15" customHeight="1">
      <c r="A25" s="3" t="s">
        <v>53</v>
      </c>
      <c r="B25" s="3" t="s">
        <v>54</v>
      </c>
    </row>
    <row r="26" spans="1:2" ht="15" customHeight="1"/>
  </sheetData>
  <mergeCells count="6">
    <mergeCell ref="A2:D2"/>
    <mergeCell ref="A1:C1"/>
    <mergeCell ref="A4:E4"/>
    <mergeCell ref="A3:C3"/>
    <mergeCell ref="B6:B7"/>
    <mergeCell ref="A6:A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EC5AE-F0FE-4E6E-9F1B-807670714F1D}">
  <dimension ref="A1:P38"/>
  <sheetViews>
    <sheetView workbookViewId="0">
      <pane xSplit="2" ySplit="6" topLeftCell="C16" activePane="bottomRight" state="frozen"/>
      <selection pane="topRight"/>
      <selection pane="bottomLeft"/>
      <selection pane="bottomRight" activeCell="C7" sqref="C7"/>
    </sheetView>
  </sheetViews>
  <sheetFormatPr defaultColWidth="13.7265625" defaultRowHeight="12.5"/>
  <cols>
    <col min="1" max="1" width="57.81640625" style="349" customWidth="1"/>
    <col min="2" max="2" width="9.81640625" style="349" customWidth="1"/>
    <col min="3" max="3" width="15.54296875" style="349" customWidth="1"/>
    <col min="4" max="4" width="14.26953125" style="349" customWidth="1"/>
    <col min="5" max="15" width="13.7265625" style="349"/>
    <col min="16" max="16" width="16.453125" style="349" customWidth="1"/>
    <col min="17" max="16384" width="13.7265625" style="349"/>
  </cols>
  <sheetData>
    <row r="1" spans="1:16" ht="15" customHeight="1">
      <c r="A1" s="762" t="s">
        <v>51</v>
      </c>
      <c r="B1" s="761"/>
      <c r="C1" s="761"/>
    </row>
    <row r="2" spans="1:16" ht="15" customHeight="1">
      <c r="A2" s="760" t="s">
        <v>627</v>
      </c>
      <c r="B2" s="761"/>
      <c r="C2" s="761"/>
      <c r="D2" s="761"/>
    </row>
    <row r="3" spans="1:16" ht="15" customHeight="1">
      <c r="A3" s="760" t="s">
        <v>626</v>
      </c>
      <c r="B3" s="761"/>
      <c r="C3" s="761"/>
      <c r="D3" s="761"/>
      <c r="E3" s="761"/>
    </row>
    <row r="4" spans="1:16" ht="15" customHeight="1">
      <c r="A4" s="762" t="s">
        <v>83</v>
      </c>
      <c r="B4" s="761"/>
      <c r="C4" s="761"/>
      <c r="D4" s="761"/>
      <c r="E4" s="761"/>
    </row>
    <row r="5" spans="1:16" ht="15" customHeight="1"/>
    <row r="6" spans="1:16" ht="30.75" customHeight="1">
      <c r="A6" s="356" t="s">
        <v>599</v>
      </c>
      <c r="B6" s="367" t="s">
        <v>598</v>
      </c>
      <c r="C6" s="362" t="s">
        <v>70</v>
      </c>
      <c r="D6" s="362" t="s">
        <v>69</v>
      </c>
      <c r="E6" s="362" t="s">
        <v>68</v>
      </c>
      <c r="F6" s="362" t="s">
        <v>67</v>
      </c>
      <c r="G6" s="362" t="s">
        <v>66</v>
      </c>
      <c r="H6" s="362" t="s">
        <v>65</v>
      </c>
      <c r="I6" s="362" t="s">
        <v>64</v>
      </c>
      <c r="J6" s="362" t="s">
        <v>63</v>
      </c>
      <c r="K6" s="362" t="s">
        <v>62</v>
      </c>
      <c r="L6" s="362" t="s">
        <v>61</v>
      </c>
      <c r="M6" s="362" t="s">
        <v>60</v>
      </c>
      <c r="N6" s="362" t="s">
        <v>59</v>
      </c>
      <c r="O6" s="361" t="s">
        <v>625</v>
      </c>
    </row>
    <row r="7" spans="1:16" ht="16.75" customHeight="1">
      <c r="A7" s="356" t="s">
        <v>624</v>
      </c>
      <c r="B7" s="366">
        <v>31700</v>
      </c>
      <c r="C7" s="358">
        <v>3277.09</v>
      </c>
      <c r="D7" s="358">
        <v>3262.05</v>
      </c>
      <c r="E7" s="358">
        <v>3226.21</v>
      </c>
      <c r="F7" s="358">
        <v>3161.55</v>
      </c>
      <c r="G7" s="358">
        <v>3032.87</v>
      </c>
      <c r="H7" s="358">
        <v>2797.76</v>
      </c>
      <c r="I7" s="358">
        <v>2794.25</v>
      </c>
      <c r="J7" s="358">
        <v>2737.01</v>
      </c>
      <c r="K7" s="358">
        <v>2711.26</v>
      </c>
      <c r="L7" s="358">
        <v>2680</v>
      </c>
      <c r="M7" s="358">
        <v>2587.13</v>
      </c>
      <c r="N7" s="358">
        <v>2556.4299999999998</v>
      </c>
      <c r="O7" s="358">
        <f t="shared" ref="O7:O25" si="0">SUM(C7:N7)</f>
        <v>34823.61</v>
      </c>
    </row>
    <row r="8" spans="1:16" ht="16.75" customHeight="1">
      <c r="A8" s="356" t="s">
        <v>623</v>
      </c>
      <c r="B8" s="366">
        <v>31700</v>
      </c>
      <c r="C8" s="355">
        <v>1340.38</v>
      </c>
      <c r="D8" s="355">
        <v>1344.09</v>
      </c>
      <c r="E8" s="355">
        <v>1347.82</v>
      </c>
      <c r="F8" s="355">
        <v>1351.56</v>
      </c>
      <c r="G8" s="355">
        <v>1355.32</v>
      </c>
      <c r="H8" s="355">
        <v>1359.08</v>
      </c>
      <c r="I8" s="355">
        <v>1362.85</v>
      </c>
      <c r="J8" s="355">
        <v>1366.63</v>
      </c>
      <c r="K8" s="355">
        <v>1370.42</v>
      </c>
      <c r="L8" s="355">
        <v>1374.22</v>
      </c>
      <c r="M8" s="355">
        <v>1378.04</v>
      </c>
      <c r="N8" s="355">
        <v>1381.86</v>
      </c>
      <c r="O8" s="355">
        <f t="shared" si="0"/>
        <v>16332.27</v>
      </c>
    </row>
    <row r="9" spans="1:16" ht="16.75" customHeight="1">
      <c r="A9" s="356" t="s">
        <v>622</v>
      </c>
      <c r="B9" s="366">
        <v>31700</v>
      </c>
      <c r="C9" s="355">
        <v>5.9</v>
      </c>
      <c r="D9" s="355">
        <v>5.92</v>
      </c>
      <c r="E9" s="355">
        <v>5.94</v>
      </c>
      <c r="F9" s="355">
        <v>5.95</v>
      </c>
      <c r="G9" s="355">
        <v>5.97</v>
      </c>
      <c r="H9" s="355">
        <v>5.99</v>
      </c>
      <c r="I9" s="355">
        <v>6</v>
      </c>
      <c r="J9" s="355">
        <v>6.02</v>
      </c>
      <c r="K9" s="355">
        <v>6.04</v>
      </c>
      <c r="L9" s="355">
        <v>6.06</v>
      </c>
      <c r="M9" s="355">
        <v>6.07</v>
      </c>
      <c r="N9" s="355">
        <v>6.09</v>
      </c>
      <c r="O9" s="355">
        <f t="shared" si="0"/>
        <v>71.95</v>
      </c>
    </row>
    <row r="10" spans="1:16" ht="16.75" customHeight="1">
      <c r="A10" s="356" t="s">
        <v>621</v>
      </c>
      <c r="B10" s="366">
        <v>31700</v>
      </c>
      <c r="C10" s="355">
        <v>830.46</v>
      </c>
      <c r="D10" s="355">
        <v>845.43</v>
      </c>
      <c r="E10" s="355">
        <v>864.37</v>
      </c>
      <c r="F10" s="355">
        <v>883.85</v>
      </c>
      <c r="G10" s="355">
        <v>903.88</v>
      </c>
      <c r="H10" s="355">
        <v>924.46</v>
      </c>
      <c r="I10" s="355">
        <v>938.97</v>
      </c>
      <c r="J10" s="355">
        <v>976.38</v>
      </c>
      <c r="K10" s="355">
        <v>998.97</v>
      </c>
      <c r="L10" s="355">
        <v>1022.19</v>
      </c>
      <c r="M10" s="355">
        <v>1046.07</v>
      </c>
      <c r="N10" s="355">
        <v>1070.6099999999999</v>
      </c>
      <c r="O10" s="355">
        <f t="shared" si="0"/>
        <v>11305.640000000001</v>
      </c>
    </row>
    <row r="11" spans="1:16" ht="16.75" customHeight="1">
      <c r="A11" s="356" t="s">
        <v>620</v>
      </c>
      <c r="B11" s="366">
        <v>31700</v>
      </c>
      <c r="C11" s="355">
        <v>3852.51</v>
      </c>
      <c r="D11" s="355">
        <v>3870.97</v>
      </c>
      <c r="E11" s="355">
        <v>3889.52</v>
      </c>
      <c r="F11" s="355">
        <v>3908.16</v>
      </c>
      <c r="G11" s="355">
        <v>3926.88</v>
      </c>
      <c r="H11" s="355">
        <v>3945.7</v>
      </c>
      <c r="I11" s="355">
        <v>3964.6</v>
      </c>
      <c r="J11" s="355">
        <v>3983.61</v>
      </c>
      <c r="K11" s="355">
        <v>4002.7</v>
      </c>
      <c r="L11" s="355">
        <v>4021.87</v>
      </c>
      <c r="M11" s="355">
        <v>4041.15</v>
      </c>
      <c r="N11" s="355">
        <v>4060.51</v>
      </c>
      <c r="O11" s="355">
        <f t="shared" si="0"/>
        <v>47468.180000000008</v>
      </c>
    </row>
    <row r="12" spans="1:16" ht="16.75" customHeight="1">
      <c r="A12" s="356" t="s">
        <v>619</v>
      </c>
      <c r="B12" s="366">
        <v>31700</v>
      </c>
      <c r="C12" s="355">
        <v>3949.51</v>
      </c>
      <c r="D12" s="355">
        <v>3966.05</v>
      </c>
      <c r="E12" s="355">
        <v>3837.15</v>
      </c>
      <c r="F12" s="355">
        <v>3827.44</v>
      </c>
      <c r="G12" s="355">
        <v>3876.84</v>
      </c>
      <c r="H12" s="355">
        <v>3880.29</v>
      </c>
      <c r="I12" s="355">
        <v>3771.53</v>
      </c>
      <c r="J12" s="355">
        <v>3783.5</v>
      </c>
      <c r="K12" s="355">
        <v>3640.93</v>
      </c>
      <c r="L12" s="355">
        <v>3635.98</v>
      </c>
      <c r="M12" s="355">
        <v>3606.65</v>
      </c>
      <c r="N12" s="355">
        <v>3615.45</v>
      </c>
      <c r="O12" s="355">
        <f t="shared" si="0"/>
        <v>45391.32</v>
      </c>
    </row>
    <row r="13" spans="1:16" ht="16.75" customHeight="1">
      <c r="A13" s="356" t="s">
        <v>618</v>
      </c>
      <c r="B13" s="366">
        <v>31700</v>
      </c>
      <c r="C13" s="355">
        <v>4846.51</v>
      </c>
      <c r="D13" s="355">
        <v>4819.3900000000003</v>
      </c>
      <c r="E13" s="355">
        <v>4806.21</v>
      </c>
      <c r="F13" s="355">
        <v>4763.92</v>
      </c>
      <c r="G13" s="355">
        <v>4718.1000000000004</v>
      </c>
      <c r="H13" s="355">
        <v>4650.68</v>
      </c>
      <c r="I13" s="355">
        <v>4637.3999999999996</v>
      </c>
      <c r="J13" s="355">
        <v>4557.87</v>
      </c>
      <c r="K13" s="355">
        <v>4584.18</v>
      </c>
      <c r="L13" s="355">
        <v>4609.47</v>
      </c>
      <c r="M13" s="355">
        <v>4633.54</v>
      </c>
      <c r="N13" s="355">
        <v>4648.4799999999996</v>
      </c>
      <c r="O13" s="355">
        <f t="shared" si="0"/>
        <v>56275.75</v>
      </c>
    </row>
    <row r="14" spans="1:16" ht="16.75" customHeight="1">
      <c r="A14" s="356" t="s">
        <v>617</v>
      </c>
      <c r="B14" s="366">
        <v>31700</v>
      </c>
      <c r="C14" s="355">
        <v>530.79999999999995</v>
      </c>
      <c r="D14" s="355">
        <v>533.33000000000004</v>
      </c>
      <c r="E14" s="355">
        <v>535.88</v>
      </c>
      <c r="F14" s="355">
        <v>538.46</v>
      </c>
      <c r="G14" s="355">
        <v>541.04</v>
      </c>
      <c r="H14" s="355">
        <v>543.63</v>
      </c>
      <c r="I14" s="355">
        <v>546.23</v>
      </c>
      <c r="J14" s="355">
        <v>548.86</v>
      </c>
      <c r="K14" s="355">
        <v>551.48</v>
      </c>
      <c r="L14" s="355">
        <v>554.14</v>
      </c>
      <c r="M14" s="355">
        <v>556.78</v>
      </c>
      <c r="N14" s="355">
        <v>559.44000000000005</v>
      </c>
      <c r="O14" s="355">
        <f t="shared" si="0"/>
        <v>6540.0700000000015</v>
      </c>
    </row>
    <row r="15" spans="1:16" ht="16.75" customHeight="1">
      <c r="A15" s="356" t="s">
        <v>616</v>
      </c>
      <c r="B15" s="366">
        <v>31700</v>
      </c>
      <c r="C15" s="355">
        <v>13015.23</v>
      </c>
      <c r="D15" s="355">
        <v>12931.39</v>
      </c>
      <c r="E15" s="355">
        <v>12937</v>
      </c>
      <c r="F15" s="355">
        <v>12905.82</v>
      </c>
      <c r="G15" s="355">
        <v>12839.16</v>
      </c>
      <c r="H15" s="355">
        <v>12740.55</v>
      </c>
      <c r="I15" s="355">
        <v>12734.13</v>
      </c>
      <c r="J15" s="355">
        <v>12698.11</v>
      </c>
      <c r="K15" s="355">
        <v>12615.07</v>
      </c>
      <c r="L15" s="355">
        <v>12603.31</v>
      </c>
      <c r="M15" s="355">
        <v>12549.59</v>
      </c>
      <c r="N15" s="355">
        <v>12464.5</v>
      </c>
      <c r="O15" s="355">
        <f t="shared" si="0"/>
        <v>153033.85999999999</v>
      </c>
      <c r="P15" s="356" t="s">
        <v>605</v>
      </c>
    </row>
    <row r="16" spans="1:16" ht="16.75" customHeight="1">
      <c r="A16" s="356" t="s">
        <v>615</v>
      </c>
      <c r="B16" s="366">
        <v>31700</v>
      </c>
      <c r="C16" s="355">
        <v>13495.11</v>
      </c>
      <c r="D16" s="355">
        <v>17476.349999999999</v>
      </c>
      <c r="E16" s="355">
        <v>17563.73</v>
      </c>
      <c r="F16" s="355">
        <v>17651.55</v>
      </c>
      <c r="G16" s="355">
        <v>17739.8</v>
      </c>
      <c r="H16" s="355">
        <v>17828.5</v>
      </c>
      <c r="I16" s="355">
        <v>17917.650000000001</v>
      </c>
      <c r="J16" s="355">
        <v>18007.23</v>
      </c>
      <c r="K16" s="355">
        <v>18097.27</v>
      </c>
      <c r="L16" s="355">
        <v>18187.759999999998</v>
      </c>
      <c r="M16" s="355">
        <v>18278.7</v>
      </c>
      <c r="N16" s="355">
        <v>18370.09</v>
      </c>
      <c r="O16" s="355">
        <f t="shared" si="0"/>
        <v>210613.74000000002</v>
      </c>
    </row>
    <row r="17" spans="1:16" ht="16.75" customHeight="1">
      <c r="A17" s="356" t="s">
        <v>614</v>
      </c>
      <c r="B17" s="366">
        <v>31700</v>
      </c>
      <c r="C17" s="355">
        <v>1350.59</v>
      </c>
      <c r="D17" s="355">
        <v>1415.96</v>
      </c>
      <c r="E17" s="355">
        <v>1368</v>
      </c>
      <c r="F17" s="355">
        <v>1375.65</v>
      </c>
      <c r="G17" s="355">
        <v>1383.34</v>
      </c>
      <c r="H17" s="355">
        <v>1391.07</v>
      </c>
      <c r="I17" s="355">
        <v>1398.85</v>
      </c>
      <c r="J17" s="355">
        <v>1406.68</v>
      </c>
      <c r="K17" s="355">
        <v>1414.54</v>
      </c>
      <c r="L17" s="355">
        <v>1422.45</v>
      </c>
      <c r="M17" s="355">
        <v>1430.4</v>
      </c>
      <c r="N17" s="355">
        <v>1438.4</v>
      </c>
      <c r="O17" s="355">
        <f t="shared" si="0"/>
        <v>16795.93</v>
      </c>
      <c r="P17" s="356"/>
    </row>
    <row r="18" spans="1:16" ht="16.75" customHeight="1">
      <c r="A18" s="356" t="s">
        <v>613</v>
      </c>
      <c r="B18" s="366">
        <v>31700</v>
      </c>
      <c r="C18" s="355">
        <v>14763.41</v>
      </c>
      <c r="D18" s="355">
        <v>14808.57</v>
      </c>
      <c r="E18" s="355">
        <v>14853.86</v>
      </c>
      <c r="F18" s="355">
        <v>14899.28</v>
      </c>
      <c r="G18" s="355">
        <v>14944.85</v>
      </c>
      <c r="H18" s="355">
        <v>14990.55</v>
      </c>
      <c r="I18" s="355">
        <v>15036.4</v>
      </c>
      <c r="J18" s="355">
        <v>15082.39</v>
      </c>
      <c r="K18" s="355">
        <v>15128.5</v>
      </c>
      <c r="L18" s="355">
        <v>15174.79</v>
      </c>
      <c r="M18" s="355">
        <v>15221.19</v>
      </c>
      <c r="N18" s="355">
        <v>15267.75</v>
      </c>
      <c r="O18" s="355">
        <f t="shared" si="0"/>
        <v>180171.54</v>
      </c>
      <c r="P18" s="356"/>
    </row>
    <row r="19" spans="1:16" ht="16.75" customHeight="1">
      <c r="A19" s="356" t="s">
        <v>612</v>
      </c>
      <c r="B19" s="366">
        <v>31700</v>
      </c>
      <c r="C19" s="356"/>
      <c r="D19" s="356"/>
      <c r="E19" s="355">
        <v>109246.49</v>
      </c>
      <c r="F19" s="355">
        <v>109786.36</v>
      </c>
      <c r="G19" s="355">
        <v>110328.87</v>
      </c>
      <c r="H19" s="355">
        <v>110874.08</v>
      </c>
      <c r="I19" s="355">
        <v>111421.99</v>
      </c>
      <c r="J19" s="355">
        <v>111972.58</v>
      </c>
      <c r="K19" s="355">
        <v>112525.94</v>
      </c>
      <c r="L19" s="355">
        <v>113082.01</v>
      </c>
      <c r="M19" s="355">
        <v>113640.82</v>
      </c>
      <c r="N19" s="355">
        <v>114202.37</v>
      </c>
      <c r="O19" s="355">
        <f t="shared" si="0"/>
        <v>1117081.5100000002</v>
      </c>
      <c r="P19" s="356" t="s">
        <v>605</v>
      </c>
    </row>
    <row r="20" spans="1:16" ht="16.75" customHeight="1">
      <c r="A20" s="356" t="s">
        <v>611</v>
      </c>
      <c r="B20" s="366">
        <v>31700</v>
      </c>
      <c r="C20" s="355">
        <v>5311.88</v>
      </c>
      <c r="D20" s="355">
        <v>5334.32</v>
      </c>
      <c r="E20" s="355">
        <v>24059.93</v>
      </c>
      <c r="F20" s="355">
        <v>24178.82</v>
      </c>
      <c r="G20" s="355">
        <v>24298.3</v>
      </c>
      <c r="H20" s="355">
        <v>24418.38</v>
      </c>
      <c r="I20" s="355">
        <v>24539.05</v>
      </c>
      <c r="J20" s="355">
        <v>24660.31</v>
      </c>
      <c r="K20" s="355">
        <v>24782.18</v>
      </c>
      <c r="L20" s="355">
        <v>24904.63</v>
      </c>
      <c r="M20" s="355">
        <v>25027.71</v>
      </c>
      <c r="N20" s="355">
        <v>25151.38</v>
      </c>
      <c r="O20" s="355">
        <f t="shared" si="0"/>
        <v>256666.88999999998</v>
      </c>
      <c r="P20" s="356"/>
    </row>
    <row r="21" spans="1:16" ht="16.75" customHeight="1">
      <c r="A21" s="356" t="s">
        <v>610</v>
      </c>
      <c r="B21" s="366">
        <v>31700</v>
      </c>
      <c r="C21" s="356"/>
      <c r="D21" s="355">
        <v>9750.74</v>
      </c>
      <c r="E21" s="355">
        <v>9799.49</v>
      </c>
      <c r="F21" s="355">
        <v>9848.49</v>
      </c>
      <c r="G21" s="355">
        <v>9897.73</v>
      </c>
      <c r="H21" s="355">
        <v>9947.2199999999993</v>
      </c>
      <c r="I21" s="355">
        <v>9996.9599999999991</v>
      </c>
      <c r="J21" s="355">
        <v>10046.94</v>
      </c>
      <c r="K21" s="355">
        <v>10097.18</v>
      </c>
      <c r="L21" s="355">
        <v>10147.67</v>
      </c>
      <c r="M21" s="355">
        <v>10198.4</v>
      </c>
      <c r="N21" s="355">
        <v>10249.4</v>
      </c>
      <c r="O21" s="355">
        <f t="shared" si="0"/>
        <v>109980.21999999999</v>
      </c>
      <c r="P21" s="356"/>
    </row>
    <row r="22" spans="1:16" ht="16.75" customHeight="1">
      <c r="A22" s="356" t="s">
        <v>609</v>
      </c>
      <c r="B22" s="366">
        <v>31700</v>
      </c>
      <c r="C22" s="356"/>
      <c r="D22" s="356"/>
      <c r="E22" s="355">
        <v>21940.05</v>
      </c>
      <c r="F22" s="355">
        <v>22048.46</v>
      </c>
      <c r="G22" s="355">
        <v>22157.42</v>
      </c>
      <c r="H22" s="355">
        <v>22266.91</v>
      </c>
      <c r="I22" s="355">
        <v>22376.98</v>
      </c>
      <c r="J22" s="355">
        <v>22487.55</v>
      </c>
      <c r="K22" s="355">
        <v>22598.66</v>
      </c>
      <c r="L22" s="355">
        <v>22710.33</v>
      </c>
      <c r="M22" s="355">
        <v>22822.57</v>
      </c>
      <c r="N22" s="355">
        <v>22935.35</v>
      </c>
      <c r="O22" s="355">
        <f t="shared" si="0"/>
        <v>224344.28</v>
      </c>
      <c r="P22" s="356"/>
    </row>
    <row r="23" spans="1:16" ht="16.75" customHeight="1">
      <c r="A23" s="356" t="s">
        <v>608</v>
      </c>
      <c r="B23" s="366">
        <v>31700</v>
      </c>
      <c r="C23" s="356"/>
      <c r="D23" s="356"/>
      <c r="E23" s="355">
        <v>118885.46</v>
      </c>
      <c r="F23" s="355">
        <v>119472.95</v>
      </c>
      <c r="G23" s="355">
        <v>120063.34</v>
      </c>
      <c r="H23" s="355">
        <v>120656.66</v>
      </c>
      <c r="I23" s="355">
        <v>121252.9</v>
      </c>
      <c r="J23" s="355">
        <v>121852.09</v>
      </c>
      <c r="K23" s="355">
        <v>122454.26</v>
      </c>
      <c r="L23" s="355">
        <v>123059.36</v>
      </c>
      <c r="M23" s="355">
        <v>123667.49</v>
      </c>
      <c r="N23" s="355">
        <v>124278.61</v>
      </c>
      <c r="O23" s="355">
        <f t="shared" si="0"/>
        <v>1215643.1200000001</v>
      </c>
      <c r="P23" s="356" t="s">
        <v>605</v>
      </c>
    </row>
    <row r="24" spans="1:16" ht="16.75" customHeight="1">
      <c r="A24" s="356" t="s">
        <v>607</v>
      </c>
      <c r="B24" s="366">
        <v>31700</v>
      </c>
      <c r="C24" s="356"/>
      <c r="D24" s="356"/>
      <c r="E24" s="355">
        <v>45466.21</v>
      </c>
      <c r="F24" s="355">
        <v>45690.9</v>
      </c>
      <c r="G24" s="355">
        <v>45916.67</v>
      </c>
      <c r="H24" s="355">
        <v>46143.57</v>
      </c>
      <c r="I24" s="355">
        <v>46371.62</v>
      </c>
      <c r="J24" s="355">
        <v>46600.77</v>
      </c>
      <c r="K24" s="355">
        <v>46831.05</v>
      </c>
      <c r="L24" s="355">
        <v>47062.48</v>
      </c>
      <c r="M24" s="355">
        <v>47295.03</v>
      </c>
      <c r="N24" s="355">
        <v>47528.76</v>
      </c>
      <c r="O24" s="355">
        <f t="shared" si="0"/>
        <v>464907.05999999994</v>
      </c>
      <c r="P24" s="356"/>
    </row>
    <row r="25" spans="1:16" ht="16.75" customHeight="1">
      <c r="A25" s="356" t="s">
        <v>606</v>
      </c>
      <c r="B25" s="366">
        <v>31700</v>
      </c>
      <c r="C25" s="365"/>
      <c r="D25" s="365"/>
      <c r="E25" s="354">
        <v>22944.35</v>
      </c>
      <c r="F25" s="354">
        <v>23057.73</v>
      </c>
      <c r="G25" s="354">
        <v>23171.67</v>
      </c>
      <c r="H25" s="354">
        <v>23286.2</v>
      </c>
      <c r="I25" s="354">
        <v>23401.26</v>
      </c>
      <c r="J25" s="354">
        <v>23516.89</v>
      </c>
      <c r="K25" s="354">
        <v>23633.11</v>
      </c>
      <c r="L25" s="354">
        <v>23749.89</v>
      </c>
      <c r="M25" s="354">
        <v>23867.25</v>
      </c>
      <c r="N25" s="354">
        <v>23985.21</v>
      </c>
      <c r="O25" s="354">
        <f t="shared" si="0"/>
        <v>234613.55999999997</v>
      </c>
      <c r="P25" s="356"/>
    </row>
    <row r="26" spans="1:16" ht="15" customHeight="1" thickBot="1">
      <c r="C26" s="352">
        <f t="shared" ref="C26:O26" si="1">SUM(C7:C25)</f>
        <v>66569.38</v>
      </c>
      <c r="D26" s="352">
        <f t="shared" si="1"/>
        <v>80364.560000000012</v>
      </c>
      <c r="E26" s="352">
        <f t="shared" si="1"/>
        <v>417577.67</v>
      </c>
      <c r="F26" s="352">
        <f t="shared" si="1"/>
        <v>419356.89999999997</v>
      </c>
      <c r="G26" s="352">
        <f t="shared" si="1"/>
        <v>421102.04999999993</v>
      </c>
      <c r="H26" s="352">
        <f t="shared" si="1"/>
        <v>422651.28</v>
      </c>
      <c r="I26" s="352">
        <f t="shared" si="1"/>
        <v>424469.62</v>
      </c>
      <c r="J26" s="352">
        <f t="shared" si="1"/>
        <v>426291.42000000004</v>
      </c>
      <c r="K26" s="352">
        <f t="shared" si="1"/>
        <v>428043.73999999993</v>
      </c>
      <c r="L26" s="352">
        <f t="shared" si="1"/>
        <v>430008.61</v>
      </c>
      <c r="M26" s="352">
        <f t="shared" si="1"/>
        <v>431854.57999999996</v>
      </c>
      <c r="N26" s="352">
        <f t="shared" si="1"/>
        <v>433770.69</v>
      </c>
      <c r="O26" s="352">
        <f t="shared" si="1"/>
        <v>4402060.5</v>
      </c>
    </row>
    <row r="27" spans="1:16" ht="15" customHeight="1" thickTop="1">
      <c r="C27" s="351"/>
      <c r="D27" s="351"/>
      <c r="E27" s="351"/>
      <c r="F27" s="351"/>
      <c r="G27" s="351"/>
      <c r="H27" s="351"/>
      <c r="I27" s="351"/>
      <c r="J27" s="351"/>
      <c r="K27" s="351"/>
      <c r="L27" s="351"/>
      <c r="M27" s="351"/>
      <c r="N27" s="351"/>
      <c r="O27" s="351"/>
    </row>
    <row r="28" spans="1:16" ht="15" customHeight="1">
      <c r="N28" s="353" t="s">
        <v>605</v>
      </c>
      <c r="O28" s="355">
        <f>+O19+O23+O15</f>
        <v>2485758.4900000002</v>
      </c>
    </row>
    <row r="29" spans="1:16" ht="15" customHeight="1">
      <c r="N29" s="353" t="s">
        <v>604</v>
      </c>
      <c r="O29" s="354">
        <f>+O9+O10+O11+O12+O13+O14+O16+O17+O18+O20+O21+O22+O24+O25+O7+O8</f>
        <v>1916302.01</v>
      </c>
    </row>
    <row r="30" spans="1:16" ht="15" customHeight="1">
      <c r="N30" s="353" t="s">
        <v>88</v>
      </c>
      <c r="O30" s="364">
        <f>+O28+O29</f>
        <v>4402060.5</v>
      </c>
    </row>
    <row r="31" spans="1:16" ht="15" customHeight="1">
      <c r="O31" s="360"/>
    </row>
    <row r="32" spans="1:16" ht="15" customHeight="1">
      <c r="L32" s="763" t="s">
        <v>603</v>
      </c>
      <c r="M32" s="761"/>
      <c r="N32" s="761"/>
      <c r="O32" s="355">
        <f>(+N26-N23-N19-N15)*12</f>
        <v>2193902.5200000005</v>
      </c>
    </row>
    <row r="33" spans="1:15" ht="15" customHeight="1">
      <c r="J33" s="763" t="s">
        <v>602</v>
      </c>
      <c r="K33" s="761"/>
      <c r="L33" s="761"/>
      <c r="M33" s="761"/>
      <c r="N33" s="761"/>
      <c r="O33" s="354">
        <v>2069335.87</v>
      </c>
    </row>
    <row r="34" spans="1:15" ht="15" customHeight="1" thickBot="1">
      <c r="N34" s="353" t="s">
        <v>584</v>
      </c>
      <c r="O34" s="363">
        <f>O32-O33</f>
        <v>124566.65000000037</v>
      </c>
    </row>
    <row r="35" spans="1:15" ht="15" customHeight="1" thickTop="1">
      <c r="O35" s="351"/>
    </row>
    <row r="36" spans="1:15" ht="15" customHeight="1"/>
    <row r="37" spans="1:15" ht="15" customHeight="1">
      <c r="A37" s="350" t="s">
        <v>53</v>
      </c>
      <c r="B37" s="762" t="s">
        <v>54</v>
      </c>
      <c r="C37" s="761"/>
    </row>
    <row r="38" spans="1:15" ht="15" customHeight="1"/>
  </sheetData>
  <mergeCells count="7">
    <mergeCell ref="B37:C37"/>
    <mergeCell ref="L32:N32"/>
    <mergeCell ref="J33:N33"/>
    <mergeCell ref="A2:D2"/>
    <mergeCell ref="A1:C1"/>
    <mergeCell ref="A3:E3"/>
    <mergeCell ref="A4: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CB74C-BD00-47B6-BDC5-F7F1C6C82F6E}">
  <dimension ref="A1:G25"/>
  <sheetViews>
    <sheetView showRuler="0" workbookViewId="0">
      <selection activeCell="H10" sqref="H10"/>
    </sheetView>
  </sheetViews>
  <sheetFormatPr defaultColWidth="13.7265625" defaultRowHeight="12.5"/>
  <cols>
    <col min="1" max="3" width="13.7265625" style="349"/>
    <col min="4" max="4" width="17" style="349" customWidth="1"/>
    <col min="5" max="16384" width="13.7265625" style="349"/>
  </cols>
  <sheetData>
    <row r="1" spans="1:7" ht="15" customHeight="1">
      <c r="A1" s="762" t="s">
        <v>51</v>
      </c>
      <c r="B1" s="761"/>
      <c r="C1" s="761"/>
    </row>
    <row r="2" spans="1:7" ht="16.75" customHeight="1">
      <c r="A2" s="760" t="s">
        <v>631</v>
      </c>
      <c r="B2" s="761"/>
      <c r="C2" s="761"/>
      <c r="D2" s="761"/>
      <c r="E2" s="761"/>
    </row>
    <row r="3" spans="1:7" ht="16.75" customHeight="1">
      <c r="A3" s="760" t="s">
        <v>630</v>
      </c>
      <c r="B3" s="760"/>
      <c r="C3" s="760"/>
      <c r="D3" s="760"/>
      <c r="E3" s="760"/>
      <c r="F3" s="760"/>
      <c r="G3" s="760"/>
    </row>
    <row r="4" spans="1:7" ht="16.75" customHeight="1">
      <c r="A4" s="760" t="s">
        <v>83</v>
      </c>
      <c r="B4" s="761"/>
      <c r="C4" s="761"/>
    </row>
    <row r="5" spans="1:7" ht="15" customHeight="1"/>
    <row r="6" spans="1:7" ht="15" customHeight="1">
      <c r="A6" s="374" t="s">
        <v>95</v>
      </c>
      <c r="B6" s="385" t="s">
        <v>629</v>
      </c>
      <c r="C6" s="380"/>
    </row>
    <row r="7" spans="1:7" ht="15" customHeight="1">
      <c r="A7" s="384"/>
      <c r="B7" s="384"/>
      <c r="D7" s="356" t="s">
        <v>628</v>
      </c>
    </row>
    <row r="8" spans="1:7" ht="15" customHeight="1">
      <c r="A8" s="383" t="s">
        <v>562</v>
      </c>
      <c r="B8" s="382" t="s">
        <v>558</v>
      </c>
      <c r="C8" s="380"/>
    </row>
    <row r="9" spans="1:7" ht="15" customHeight="1">
      <c r="A9" s="386">
        <v>45656</v>
      </c>
      <c r="B9" s="381">
        <v>1688800</v>
      </c>
      <c r="C9" s="380"/>
      <c r="D9" s="379">
        <f>-B9</f>
        <v>-1688800</v>
      </c>
    </row>
    <row r="10" spans="1:7" ht="15" customHeight="1">
      <c r="A10" s="387">
        <v>45687</v>
      </c>
      <c r="B10" s="378">
        <v>184</v>
      </c>
      <c r="C10" s="372"/>
      <c r="D10" s="377">
        <f>-B10</f>
        <v>-184</v>
      </c>
      <c r="E10" s="368"/>
    </row>
    <row r="11" spans="1:7" ht="15" customHeight="1">
      <c r="A11" s="388">
        <v>45688</v>
      </c>
      <c r="B11" s="376">
        <v>292</v>
      </c>
      <c r="C11" s="372"/>
      <c r="D11" s="375">
        <f>-B11</f>
        <v>-292</v>
      </c>
      <c r="E11" s="368"/>
    </row>
    <row r="12" spans="1:7" ht="15" customHeight="1" thickBot="1">
      <c r="A12" s="374" t="s">
        <v>244</v>
      </c>
      <c r="B12" s="373">
        <v>1689276</v>
      </c>
      <c r="C12" s="372"/>
      <c r="D12" s="371">
        <f>-B12</f>
        <v>-1689276</v>
      </c>
      <c r="E12" s="368"/>
    </row>
    <row r="13" spans="1:7" ht="15" customHeight="1" thickTop="1">
      <c r="A13" s="370"/>
      <c r="B13" s="370"/>
      <c r="C13" s="368"/>
      <c r="D13" s="351"/>
      <c r="E13" s="368"/>
    </row>
    <row r="14" spans="1:7" ht="15" customHeight="1">
      <c r="A14" s="356"/>
      <c r="B14" s="356"/>
      <c r="D14" s="356"/>
      <c r="E14" s="368"/>
    </row>
    <row r="15" spans="1:7" ht="15" customHeight="1">
      <c r="A15" s="356"/>
      <c r="B15" s="356"/>
      <c r="D15" s="356"/>
      <c r="E15" s="368"/>
    </row>
    <row r="16" spans="1:7" ht="15" customHeight="1">
      <c r="A16" s="356"/>
      <c r="B16" s="356"/>
      <c r="D16" s="356"/>
      <c r="E16" s="368"/>
    </row>
    <row r="17" spans="1:5" ht="15" customHeight="1">
      <c r="A17" s="369"/>
      <c r="B17" s="369"/>
      <c r="D17" s="369"/>
      <c r="E17" s="368"/>
    </row>
    <row r="18" spans="1:5" ht="15" customHeight="1">
      <c r="E18" s="368"/>
    </row>
    <row r="19" spans="1:5" ht="15" customHeight="1">
      <c r="A19" s="368"/>
      <c r="B19" s="368"/>
      <c r="C19" s="368"/>
      <c r="D19" s="368"/>
      <c r="E19" s="368"/>
    </row>
    <row r="20" spans="1:5" ht="15" customHeight="1">
      <c r="A20" s="368"/>
      <c r="B20" s="368"/>
      <c r="C20" s="368"/>
      <c r="D20" s="368"/>
      <c r="E20" s="368"/>
    </row>
    <row r="21" spans="1:5" ht="15" customHeight="1">
      <c r="A21" s="368"/>
      <c r="B21" s="368"/>
      <c r="C21" s="368"/>
      <c r="D21" s="368"/>
      <c r="E21" s="368"/>
    </row>
    <row r="22" spans="1:5" ht="15" customHeight="1"/>
    <row r="23" spans="1:5" ht="15" customHeight="1"/>
    <row r="24" spans="1:5" ht="15" customHeight="1">
      <c r="A24" s="356" t="s">
        <v>53</v>
      </c>
      <c r="B24" s="356" t="s">
        <v>54</v>
      </c>
    </row>
    <row r="25" spans="1:5" ht="15" customHeight="1"/>
  </sheetData>
  <mergeCells count="4">
    <mergeCell ref="A1:C1"/>
    <mergeCell ref="A2:E2"/>
    <mergeCell ref="A3:G3"/>
    <mergeCell ref="A4:C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92718-62B3-459C-8FB9-B06E7A9A5971}">
  <dimension ref="A1:C18"/>
  <sheetViews>
    <sheetView showRuler="0" workbookViewId="0">
      <selection sqref="A1:D1"/>
    </sheetView>
  </sheetViews>
  <sheetFormatPr defaultColWidth="13.7265625" defaultRowHeight="12.5"/>
  <cols>
    <col min="1" max="1" width="60.1796875" style="349" customWidth="1"/>
    <col min="2" max="2" width="14.81640625" style="349" customWidth="1"/>
    <col min="3" max="16384" width="13.7265625" style="349"/>
  </cols>
  <sheetData>
    <row r="1" spans="1:3" ht="15" customHeight="1">
      <c r="A1" s="392" t="s">
        <v>51</v>
      </c>
    </row>
    <row r="2" spans="1:3" ht="15" customHeight="1">
      <c r="A2" s="392" t="s">
        <v>635</v>
      </c>
    </row>
    <row r="3" spans="1:3" ht="15" customHeight="1">
      <c r="A3" s="392" t="s">
        <v>634</v>
      </c>
    </row>
    <row r="4" spans="1:3" ht="15" customHeight="1">
      <c r="A4" s="392" t="s">
        <v>549</v>
      </c>
    </row>
    <row r="5" spans="1:3" ht="15" customHeight="1"/>
    <row r="6" spans="1:3" ht="15" customHeight="1"/>
    <row r="7" spans="1:3" ht="15" customHeight="1"/>
    <row r="8" spans="1:3" ht="15" customHeight="1">
      <c r="A8" s="390" t="s">
        <v>226</v>
      </c>
      <c r="B8" s="390" t="s">
        <v>227</v>
      </c>
      <c r="C8" s="380"/>
    </row>
    <row r="9" spans="1:3" ht="15" customHeight="1">
      <c r="A9" s="384"/>
      <c r="B9" s="384"/>
    </row>
    <row r="10" spans="1:3" ht="15" customHeight="1">
      <c r="A10" s="390" t="s">
        <v>230</v>
      </c>
      <c r="B10" s="390" t="s">
        <v>633</v>
      </c>
      <c r="C10" s="380"/>
    </row>
    <row r="11" spans="1:3" ht="15" customHeight="1">
      <c r="A11" s="390" t="s">
        <v>562</v>
      </c>
      <c r="B11" s="390" t="s">
        <v>632</v>
      </c>
      <c r="C11" s="380"/>
    </row>
    <row r="12" spans="1:3" ht="15" customHeight="1">
      <c r="A12" s="391">
        <v>408101922</v>
      </c>
      <c r="B12" s="389">
        <v>23090</v>
      </c>
      <c r="C12" s="380"/>
    </row>
    <row r="13" spans="1:3" ht="15" customHeight="1">
      <c r="A13" s="391">
        <v>408101923</v>
      </c>
      <c r="B13" s="389">
        <v>15413</v>
      </c>
      <c r="C13" s="380"/>
    </row>
    <row r="14" spans="1:3" ht="15" customHeight="1">
      <c r="A14" s="390" t="s">
        <v>244</v>
      </c>
      <c r="B14" s="389">
        <v>38503</v>
      </c>
      <c r="C14" s="380"/>
    </row>
    <row r="15" spans="1:3" ht="15" customHeight="1">
      <c r="A15" s="360"/>
      <c r="B15" s="360"/>
    </row>
    <row r="16" spans="1:3" ht="15" customHeight="1"/>
    <row r="17" spans="1:2" ht="15" customHeight="1">
      <c r="A17" s="350" t="s">
        <v>53</v>
      </c>
      <c r="B17" s="350" t="s">
        <v>54</v>
      </c>
    </row>
    <row r="18" spans="1:2" ht="15" customHeight="1"/>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28CC-6324-4602-94EC-4C08026A5E86}">
  <dimension ref="A1:D23"/>
  <sheetViews>
    <sheetView showRuler="0" workbookViewId="0">
      <selection sqref="A1:D1"/>
    </sheetView>
  </sheetViews>
  <sheetFormatPr defaultColWidth="13.7265625" defaultRowHeight="12.5"/>
  <cols>
    <col min="1" max="1" width="8.1796875" style="349" customWidth="1"/>
    <col min="2" max="2" width="41" style="349" customWidth="1"/>
    <col min="3" max="3" width="21.453125" style="349" customWidth="1"/>
    <col min="4" max="16384" width="13.7265625" style="349"/>
  </cols>
  <sheetData>
    <row r="1" spans="1:4" ht="15" customHeight="1">
      <c r="A1" s="764" t="s">
        <v>51</v>
      </c>
      <c r="B1" s="761"/>
      <c r="C1" s="761"/>
      <c r="D1" s="761"/>
    </row>
    <row r="2" spans="1:4" ht="15" customHeight="1">
      <c r="A2" s="764" t="s">
        <v>635</v>
      </c>
      <c r="B2" s="761"/>
      <c r="C2" s="761"/>
      <c r="D2" s="761"/>
    </row>
    <row r="3" spans="1:4" ht="15" customHeight="1">
      <c r="A3" s="764" t="s">
        <v>643</v>
      </c>
      <c r="B3" s="761"/>
      <c r="C3" s="761"/>
      <c r="D3" s="761"/>
    </row>
    <row r="4" spans="1:4" ht="15" customHeight="1">
      <c r="A4" s="764" t="s">
        <v>549</v>
      </c>
      <c r="B4" s="761"/>
      <c r="C4" s="761"/>
      <c r="D4" s="761"/>
    </row>
    <row r="5" spans="1:4" ht="15" customHeight="1"/>
    <row r="6" spans="1:4" ht="15" customHeight="1"/>
    <row r="7" spans="1:4" ht="16.75" customHeight="1">
      <c r="A7" s="760" t="s">
        <v>642</v>
      </c>
      <c r="B7" s="761"/>
      <c r="C7" s="761"/>
    </row>
    <row r="8" spans="1:4" ht="15" customHeight="1"/>
    <row r="9" spans="1:4" ht="27.65" customHeight="1">
      <c r="A9" s="362" t="s">
        <v>103</v>
      </c>
      <c r="B9" s="362" t="s">
        <v>104</v>
      </c>
      <c r="C9" s="362" t="s">
        <v>641</v>
      </c>
      <c r="D9" s="380"/>
    </row>
    <row r="10" spans="1:4" ht="15" customHeight="1">
      <c r="A10" s="360"/>
      <c r="B10" s="360"/>
      <c r="C10" s="360"/>
    </row>
    <row r="11" spans="1:4" ht="15" customHeight="1">
      <c r="A11" s="366">
        <v>1</v>
      </c>
      <c r="B11" s="356" t="s">
        <v>640</v>
      </c>
      <c r="C11" s="379">
        <v>176</v>
      </c>
    </row>
    <row r="12" spans="1:4" ht="15" customHeight="1">
      <c r="A12" s="366">
        <v>2</v>
      </c>
      <c r="C12" s="356"/>
    </row>
    <row r="13" spans="1:4" ht="15" customHeight="1">
      <c r="A13" s="366">
        <v>3</v>
      </c>
      <c r="B13" s="356" t="s">
        <v>639</v>
      </c>
      <c r="C13" s="377">
        <v>-1118137</v>
      </c>
    </row>
    <row r="14" spans="1:4" ht="15" customHeight="1">
      <c r="A14" s="366">
        <v>4</v>
      </c>
      <c r="C14" s="356"/>
    </row>
    <row r="15" spans="1:4" ht="15" customHeight="1">
      <c r="A15" s="366">
        <v>5</v>
      </c>
      <c r="B15" s="356" t="s">
        <v>638</v>
      </c>
      <c r="C15" s="377">
        <v>-372108</v>
      </c>
    </row>
    <row r="16" spans="1:4" ht="15" customHeight="1">
      <c r="A16" s="366">
        <v>6</v>
      </c>
      <c r="C16" s="356"/>
    </row>
    <row r="17" spans="1:3" ht="15" customHeight="1">
      <c r="A17" s="366">
        <v>7</v>
      </c>
      <c r="B17" s="356" t="s">
        <v>637</v>
      </c>
      <c r="C17" s="377">
        <v>-1285556</v>
      </c>
    </row>
    <row r="18" spans="1:3" ht="15" customHeight="1">
      <c r="A18" s="366">
        <v>8</v>
      </c>
    </row>
    <row r="19" spans="1:3" ht="15" customHeight="1" thickBot="1">
      <c r="A19" s="366">
        <v>9</v>
      </c>
      <c r="B19" s="356" t="s">
        <v>636</v>
      </c>
      <c r="C19" s="393">
        <f>ROUND(SUM(C11:C17),0)</f>
        <v>-2775625</v>
      </c>
    </row>
    <row r="20" spans="1:3" ht="15" customHeight="1" thickTop="1">
      <c r="C20" s="351"/>
    </row>
    <row r="21" spans="1:3" ht="15" customHeight="1"/>
    <row r="22" spans="1:3" ht="15" customHeight="1">
      <c r="A22" s="350" t="s">
        <v>53</v>
      </c>
      <c r="B22" s="350" t="s">
        <v>54</v>
      </c>
    </row>
    <row r="23" spans="1:3" ht="15" customHeight="1"/>
  </sheetData>
  <mergeCells count="5">
    <mergeCell ref="A2:D2"/>
    <mergeCell ref="A1:D1"/>
    <mergeCell ref="A4:D4"/>
    <mergeCell ref="A3:D3"/>
    <mergeCell ref="A7:C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917BD-442A-4070-ABCE-CA164775105B}">
  <dimension ref="A1:Y48"/>
  <sheetViews>
    <sheetView showRuler="0" topLeftCell="G1" workbookViewId="0">
      <selection sqref="A1:D1"/>
    </sheetView>
  </sheetViews>
  <sheetFormatPr defaultColWidth="13.7265625" defaultRowHeight="12.5"/>
  <cols>
    <col min="1" max="16384" width="13.7265625" style="349"/>
  </cols>
  <sheetData>
    <row r="1" spans="1:25" ht="15" customHeight="1">
      <c r="A1" s="764" t="s">
        <v>51</v>
      </c>
      <c r="B1" s="761"/>
      <c r="C1" s="761"/>
      <c r="D1" s="761"/>
    </row>
    <row r="2" spans="1:25" ht="15" customHeight="1">
      <c r="A2" s="764" t="s">
        <v>635</v>
      </c>
      <c r="B2" s="761"/>
      <c r="C2" s="761"/>
      <c r="D2" s="761"/>
    </row>
    <row r="3" spans="1:25" ht="15" customHeight="1">
      <c r="A3" s="764" t="s">
        <v>647</v>
      </c>
      <c r="B3" s="761"/>
      <c r="C3" s="761"/>
      <c r="D3" s="761"/>
    </row>
    <row r="4" spans="1:25" ht="15" customHeight="1">
      <c r="A4" s="764" t="s">
        <v>549</v>
      </c>
      <c r="B4" s="761"/>
      <c r="C4" s="761"/>
      <c r="D4" s="761"/>
    </row>
    <row r="5" spans="1:25" ht="15" customHeight="1"/>
    <row r="6" spans="1:25" ht="15" customHeight="1"/>
    <row r="7" spans="1:25" ht="15" customHeight="1">
      <c r="C7" s="369" t="s">
        <v>101</v>
      </c>
    </row>
    <row r="8" spans="1:25" ht="15" customHeight="1">
      <c r="A8" s="369" t="s">
        <v>646</v>
      </c>
      <c r="B8" s="356"/>
      <c r="C8" s="369" t="s">
        <v>70</v>
      </c>
      <c r="D8" s="369"/>
      <c r="E8" s="369" t="s">
        <v>69</v>
      </c>
      <c r="F8" s="369"/>
      <c r="G8" s="369" t="s">
        <v>68</v>
      </c>
      <c r="H8" s="369"/>
      <c r="I8" s="369" t="s">
        <v>67</v>
      </c>
      <c r="J8" s="369"/>
      <c r="K8" s="369" t="s">
        <v>66</v>
      </c>
      <c r="L8" s="369"/>
      <c r="M8" s="369" t="s">
        <v>65</v>
      </c>
      <c r="N8" s="369"/>
      <c r="O8" s="369" t="s">
        <v>64</v>
      </c>
      <c r="P8" s="369"/>
      <c r="Q8" s="369" t="s">
        <v>63</v>
      </c>
      <c r="R8" s="369"/>
      <c r="S8" s="369" t="s">
        <v>62</v>
      </c>
      <c r="T8" s="369"/>
      <c r="U8" s="369" t="s">
        <v>61</v>
      </c>
      <c r="V8" s="369"/>
      <c r="W8" s="369" t="s">
        <v>60</v>
      </c>
      <c r="X8" s="369"/>
      <c r="Y8" s="369" t="s">
        <v>59</v>
      </c>
    </row>
    <row r="9" spans="1:25" ht="15" customHeight="1">
      <c r="A9" s="396">
        <v>1</v>
      </c>
      <c r="B9" s="395">
        <v>45444</v>
      </c>
      <c r="C9" s="379">
        <v>0</v>
      </c>
      <c r="D9" s="395">
        <v>45474</v>
      </c>
      <c r="E9" s="379">
        <v>340</v>
      </c>
      <c r="F9" s="395">
        <v>45505</v>
      </c>
      <c r="G9" s="379">
        <v>133</v>
      </c>
      <c r="H9" s="395">
        <v>45536</v>
      </c>
      <c r="I9" s="379">
        <v>348</v>
      </c>
      <c r="J9" s="395">
        <v>45566</v>
      </c>
      <c r="K9" s="379">
        <v>366</v>
      </c>
      <c r="L9" s="395">
        <v>45597</v>
      </c>
      <c r="M9" s="379">
        <v>0</v>
      </c>
      <c r="N9" s="395">
        <v>45627</v>
      </c>
      <c r="O9" s="379">
        <v>0</v>
      </c>
      <c r="P9" s="395">
        <v>45658</v>
      </c>
      <c r="Q9" s="379">
        <v>0</v>
      </c>
      <c r="R9" s="395">
        <v>45689</v>
      </c>
      <c r="S9" s="379">
        <v>0</v>
      </c>
      <c r="T9" s="395">
        <v>45717</v>
      </c>
      <c r="U9" s="379">
        <v>0</v>
      </c>
      <c r="V9" s="395">
        <v>45748</v>
      </c>
      <c r="W9" s="379">
        <v>0</v>
      </c>
      <c r="X9" s="395">
        <v>45778</v>
      </c>
      <c r="Y9" s="379">
        <v>0</v>
      </c>
    </row>
    <row r="10" spans="1:25" ht="15" customHeight="1">
      <c r="A10" s="396">
        <v>2</v>
      </c>
      <c r="B10" s="395">
        <v>45445</v>
      </c>
      <c r="C10" s="377">
        <v>0</v>
      </c>
      <c r="D10" s="395">
        <v>45475</v>
      </c>
      <c r="E10" s="377">
        <v>0</v>
      </c>
      <c r="F10" s="395">
        <v>45506</v>
      </c>
      <c r="G10" s="377">
        <v>0</v>
      </c>
      <c r="H10" s="395">
        <v>45537</v>
      </c>
      <c r="I10" s="377">
        <v>0</v>
      </c>
      <c r="J10" s="395">
        <v>45567</v>
      </c>
      <c r="K10" s="377">
        <v>256</v>
      </c>
      <c r="L10" s="395">
        <v>45598</v>
      </c>
      <c r="M10" s="377">
        <v>0</v>
      </c>
      <c r="N10" s="395">
        <v>45628</v>
      </c>
      <c r="O10" s="377">
        <v>10959</v>
      </c>
      <c r="P10" s="395">
        <v>45659</v>
      </c>
      <c r="Q10" s="377">
        <v>423</v>
      </c>
      <c r="R10" s="395">
        <v>45690</v>
      </c>
      <c r="S10" s="377">
        <v>0</v>
      </c>
      <c r="T10" s="395">
        <v>45718</v>
      </c>
      <c r="U10" s="377">
        <v>0</v>
      </c>
      <c r="V10" s="395">
        <v>45749</v>
      </c>
      <c r="W10" s="377">
        <v>0</v>
      </c>
      <c r="X10" s="395">
        <v>45779</v>
      </c>
      <c r="Y10" s="377">
        <v>434</v>
      </c>
    </row>
    <row r="11" spans="1:25" ht="15" customHeight="1">
      <c r="A11" s="396">
        <v>3</v>
      </c>
      <c r="B11" s="395">
        <v>45446</v>
      </c>
      <c r="C11" s="377">
        <v>0</v>
      </c>
      <c r="D11" s="395">
        <v>45476</v>
      </c>
      <c r="E11" s="377">
        <v>0</v>
      </c>
      <c r="F11" s="395">
        <v>45507</v>
      </c>
      <c r="G11" s="377">
        <v>0</v>
      </c>
      <c r="H11" s="395">
        <v>45538</v>
      </c>
      <c r="I11" s="377">
        <v>308</v>
      </c>
      <c r="J11" s="395">
        <v>45568</v>
      </c>
      <c r="K11" s="377">
        <v>0</v>
      </c>
      <c r="L11" s="395">
        <v>45599</v>
      </c>
      <c r="M11" s="377">
        <v>0</v>
      </c>
      <c r="N11" s="395">
        <v>45629</v>
      </c>
      <c r="O11" s="377">
        <v>0</v>
      </c>
      <c r="P11" s="395">
        <v>45660</v>
      </c>
      <c r="Q11" s="377">
        <v>67</v>
      </c>
      <c r="R11" s="395">
        <v>45691</v>
      </c>
      <c r="S11" s="377">
        <v>233</v>
      </c>
      <c r="T11" s="395">
        <v>45719</v>
      </c>
      <c r="U11" s="377">
        <v>214</v>
      </c>
      <c r="V11" s="395">
        <v>45750</v>
      </c>
      <c r="W11" s="377">
        <v>54</v>
      </c>
      <c r="X11" s="395">
        <v>45780</v>
      </c>
      <c r="Y11" s="377">
        <v>434</v>
      </c>
    </row>
    <row r="12" spans="1:25" ht="15" customHeight="1">
      <c r="A12" s="396">
        <v>4</v>
      </c>
      <c r="B12" s="395">
        <v>45447</v>
      </c>
      <c r="C12" s="377">
        <v>93</v>
      </c>
      <c r="D12" s="395">
        <v>45477</v>
      </c>
      <c r="E12" s="377">
        <v>0</v>
      </c>
      <c r="F12" s="395">
        <v>45508</v>
      </c>
      <c r="G12" s="377">
        <v>0</v>
      </c>
      <c r="H12" s="395">
        <v>45539</v>
      </c>
      <c r="I12" s="377">
        <v>0</v>
      </c>
      <c r="J12" s="395">
        <v>45569</v>
      </c>
      <c r="K12" s="377">
        <v>0</v>
      </c>
      <c r="L12" s="395">
        <v>45600</v>
      </c>
      <c r="M12" s="377">
        <v>33</v>
      </c>
      <c r="N12" s="395">
        <v>45630</v>
      </c>
      <c r="O12" s="377">
        <v>14160</v>
      </c>
      <c r="P12" s="395">
        <v>45661</v>
      </c>
      <c r="Q12" s="377">
        <v>67</v>
      </c>
      <c r="R12" s="395">
        <v>45692</v>
      </c>
      <c r="S12" s="377">
        <v>142</v>
      </c>
      <c r="T12" s="395">
        <v>45720</v>
      </c>
      <c r="U12" s="377">
        <v>862</v>
      </c>
      <c r="V12" s="395">
        <v>45751</v>
      </c>
      <c r="W12" s="377">
        <v>0</v>
      </c>
      <c r="X12" s="395">
        <v>45781</v>
      </c>
      <c r="Y12" s="377">
        <v>434</v>
      </c>
    </row>
    <row r="13" spans="1:25" ht="15" customHeight="1">
      <c r="A13" s="396">
        <v>5</v>
      </c>
      <c r="B13" s="395">
        <v>45448</v>
      </c>
      <c r="C13" s="377">
        <v>0</v>
      </c>
      <c r="D13" s="395">
        <v>45478</v>
      </c>
      <c r="E13" s="377">
        <v>0</v>
      </c>
      <c r="F13" s="395">
        <v>45509</v>
      </c>
      <c r="G13" s="377">
        <v>712</v>
      </c>
      <c r="H13" s="395">
        <v>45540</v>
      </c>
      <c r="I13" s="377">
        <v>0</v>
      </c>
      <c r="J13" s="395">
        <v>45570</v>
      </c>
      <c r="K13" s="377">
        <v>0</v>
      </c>
      <c r="L13" s="395">
        <v>45601</v>
      </c>
      <c r="M13" s="377">
        <v>0</v>
      </c>
      <c r="N13" s="395">
        <v>45631</v>
      </c>
      <c r="O13" s="377">
        <v>0</v>
      </c>
      <c r="P13" s="395">
        <v>45662</v>
      </c>
      <c r="Q13" s="377">
        <v>67</v>
      </c>
      <c r="R13" s="395">
        <v>45693</v>
      </c>
      <c r="S13" s="377">
        <v>0</v>
      </c>
      <c r="T13" s="395">
        <v>45721</v>
      </c>
      <c r="U13" s="377">
        <v>150</v>
      </c>
      <c r="V13" s="395">
        <v>45752</v>
      </c>
      <c r="W13" s="377">
        <v>0</v>
      </c>
      <c r="X13" s="395">
        <v>45782</v>
      </c>
      <c r="Y13" s="377">
        <v>0</v>
      </c>
    </row>
    <row r="14" spans="1:25" ht="15" customHeight="1">
      <c r="A14" s="396">
        <v>6</v>
      </c>
      <c r="B14" s="395">
        <v>45449</v>
      </c>
      <c r="C14" s="377">
        <v>177</v>
      </c>
      <c r="D14" s="395">
        <v>45479</v>
      </c>
      <c r="E14" s="377">
        <v>0</v>
      </c>
      <c r="F14" s="395">
        <v>45510</v>
      </c>
      <c r="G14" s="377">
        <v>325</v>
      </c>
      <c r="H14" s="395">
        <v>45541</v>
      </c>
      <c r="I14" s="377">
        <v>0</v>
      </c>
      <c r="J14" s="395">
        <v>45571</v>
      </c>
      <c r="K14" s="377">
        <v>0</v>
      </c>
      <c r="L14" s="395">
        <v>45602</v>
      </c>
      <c r="M14" s="377">
        <v>0</v>
      </c>
      <c r="N14" s="395">
        <v>45632</v>
      </c>
      <c r="O14" s="377">
        <v>0</v>
      </c>
      <c r="P14" s="395">
        <v>45663</v>
      </c>
      <c r="Q14" s="377">
        <v>273</v>
      </c>
      <c r="R14" s="395">
        <v>45694</v>
      </c>
      <c r="S14" s="377">
        <v>23</v>
      </c>
      <c r="T14" s="395">
        <v>45722</v>
      </c>
      <c r="U14" s="377">
        <v>0</v>
      </c>
      <c r="V14" s="395">
        <v>45753</v>
      </c>
      <c r="W14" s="377">
        <v>0</v>
      </c>
      <c r="X14" s="395">
        <v>45783</v>
      </c>
      <c r="Y14" s="377">
        <v>832</v>
      </c>
    </row>
    <row r="15" spans="1:25" ht="15" customHeight="1">
      <c r="A15" s="396">
        <v>7</v>
      </c>
      <c r="B15" s="395">
        <v>45450</v>
      </c>
      <c r="C15" s="377">
        <v>0</v>
      </c>
      <c r="D15" s="395">
        <v>45480</v>
      </c>
      <c r="E15" s="377">
        <v>0</v>
      </c>
      <c r="F15" s="395">
        <v>45511</v>
      </c>
      <c r="G15" s="377">
        <v>0</v>
      </c>
      <c r="H15" s="395">
        <v>45542</v>
      </c>
      <c r="I15" s="377">
        <v>0</v>
      </c>
      <c r="J15" s="395">
        <v>45572</v>
      </c>
      <c r="K15" s="377">
        <v>0</v>
      </c>
      <c r="L15" s="395">
        <v>45603</v>
      </c>
      <c r="M15" s="377">
        <v>202</v>
      </c>
      <c r="N15" s="395">
        <v>45633</v>
      </c>
      <c r="O15" s="377">
        <v>0</v>
      </c>
      <c r="P15" s="395">
        <v>45664</v>
      </c>
      <c r="Q15" s="377">
        <v>145</v>
      </c>
      <c r="R15" s="395">
        <v>45695</v>
      </c>
      <c r="S15" s="377">
        <v>0</v>
      </c>
      <c r="T15" s="395">
        <v>45723</v>
      </c>
      <c r="U15" s="377">
        <v>0</v>
      </c>
      <c r="V15" s="395">
        <v>45754</v>
      </c>
      <c r="W15" s="377">
        <v>260</v>
      </c>
      <c r="X15" s="395">
        <v>45784</v>
      </c>
      <c r="Y15" s="377">
        <v>0</v>
      </c>
    </row>
    <row r="16" spans="1:25" ht="15" customHeight="1">
      <c r="A16" s="396">
        <v>8</v>
      </c>
      <c r="B16" s="395">
        <v>45451</v>
      </c>
      <c r="C16" s="377">
        <v>0</v>
      </c>
      <c r="D16" s="395">
        <v>45481</v>
      </c>
      <c r="E16" s="377">
        <v>304</v>
      </c>
      <c r="F16" s="395">
        <v>45512</v>
      </c>
      <c r="G16" s="377">
        <v>0</v>
      </c>
      <c r="H16" s="395">
        <v>45543</v>
      </c>
      <c r="I16" s="377">
        <v>0</v>
      </c>
      <c r="J16" s="395">
        <v>45573</v>
      </c>
      <c r="K16" s="377">
        <v>0</v>
      </c>
      <c r="L16" s="395">
        <v>45604</v>
      </c>
      <c r="M16" s="377">
        <v>0</v>
      </c>
      <c r="N16" s="395">
        <v>45634</v>
      </c>
      <c r="O16" s="377">
        <v>0</v>
      </c>
      <c r="P16" s="395">
        <v>45665</v>
      </c>
      <c r="Q16" s="377">
        <v>0</v>
      </c>
      <c r="R16" s="395">
        <v>45696</v>
      </c>
      <c r="S16" s="377">
        <v>0</v>
      </c>
      <c r="T16" s="395">
        <v>45724</v>
      </c>
      <c r="U16" s="377">
        <v>0</v>
      </c>
      <c r="V16" s="395">
        <v>45755</v>
      </c>
      <c r="W16" s="377">
        <v>0</v>
      </c>
      <c r="X16" s="395">
        <v>45785</v>
      </c>
      <c r="Y16" s="377">
        <v>0</v>
      </c>
    </row>
    <row r="17" spans="1:25" ht="15" customHeight="1">
      <c r="A17" s="396">
        <v>9</v>
      </c>
      <c r="B17" s="395">
        <v>45452</v>
      </c>
      <c r="C17" s="377">
        <v>0</v>
      </c>
      <c r="D17" s="395">
        <v>45482</v>
      </c>
      <c r="E17" s="377">
        <v>321</v>
      </c>
      <c r="F17" s="395">
        <v>45513</v>
      </c>
      <c r="G17" s="377">
        <v>0</v>
      </c>
      <c r="H17" s="395">
        <v>45544</v>
      </c>
      <c r="I17" s="377">
        <v>255</v>
      </c>
      <c r="J17" s="395">
        <v>45574</v>
      </c>
      <c r="K17" s="377">
        <v>202</v>
      </c>
      <c r="L17" s="395">
        <v>45605</v>
      </c>
      <c r="M17" s="377">
        <v>0</v>
      </c>
      <c r="N17" s="395">
        <v>45635</v>
      </c>
      <c r="O17" s="377">
        <v>0</v>
      </c>
      <c r="P17" s="395">
        <v>45666</v>
      </c>
      <c r="Q17" s="377">
        <v>0</v>
      </c>
      <c r="R17" s="395">
        <v>45697</v>
      </c>
      <c r="S17" s="377">
        <v>0</v>
      </c>
      <c r="T17" s="395">
        <v>45725</v>
      </c>
      <c r="U17" s="377">
        <v>0</v>
      </c>
      <c r="V17" s="395">
        <v>45756</v>
      </c>
      <c r="W17" s="377">
        <v>0</v>
      </c>
      <c r="X17" s="395">
        <v>45786</v>
      </c>
      <c r="Y17" s="377">
        <v>0</v>
      </c>
    </row>
    <row r="18" spans="1:25" ht="15" customHeight="1">
      <c r="A18" s="396">
        <v>10</v>
      </c>
      <c r="B18" s="395">
        <v>45453</v>
      </c>
      <c r="C18" s="377">
        <v>33</v>
      </c>
      <c r="D18" s="395">
        <v>45483</v>
      </c>
      <c r="E18" s="377">
        <v>0</v>
      </c>
      <c r="F18" s="395">
        <v>45514</v>
      </c>
      <c r="G18" s="377">
        <v>0</v>
      </c>
      <c r="H18" s="395">
        <v>45545</v>
      </c>
      <c r="I18" s="377">
        <v>465</v>
      </c>
      <c r="J18" s="395">
        <v>45575</v>
      </c>
      <c r="K18" s="377">
        <v>0</v>
      </c>
      <c r="L18" s="395">
        <v>45606</v>
      </c>
      <c r="M18" s="377">
        <v>0</v>
      </c>
      <c r="N18" s="395">
        <v>45636</v>
      </c>
      <c r="O18" s="377">
        <v>876</v>
      </c>
      <c r="P18" s="395">
        <v>45667</v>
      </c>
      <c r="Q18" s="377">
        <v>0</v>
      </c>
      <c r="R18" s="395">
        <v>45698</v>
      </c>
      <c r="S18" s="377">
        <v>0</v>
      </c>
      <c r="T18" s="395">
        <v>45726</v>
      </c>
      <c r="U18" s="377">
        <v>191</v>
      </c>
      <c r="V18" s="395">
        <v>45757</v>
      </c>
      <c r="W18" s="377">
        <v>0</v>
      </c>
      <c r="X18" s="395">
        <v>45787</v>
      </c>
      <c r="Y18" s="377">
        <v>0</v>
      </c>
    </row>
    <row r="19" spans="1:25" ht="15" customHeight="1">
      <c r="A19" s="396">
        <v>11</v>
      </c>
      <c r="B19" s="395">
        <v>45454</v>
      </c>
      <c r="C19" s="377">
        <v>0</v>
      </c>
      <c r="D19" s="395">
        <v>45484</v>
      </c>
      <c r="E19" s="377">
        <v>0</v>
      </c>
      <c r="F19" s="395">
        <v>45515</v>
      </c>
      <c r="G19" s="377">
        <v>0</v>
      </c>
      <c r="H19" s="395">
        <v>45546</v>
      </c>
      <c r="I19" s="377">
        <v>431</v>
      </c>
      <c r="J19" s="395">
        <v>45576</v>
      </c>
      <c r="K19" s="377">
        <v>0</v>
      </c>
      <c r="L19" s="395">
        <v>45607</v>
      </c>
      <c r="M19" s="377">
        <v>0</v>
      </c>
      <c r="N19" s="395">
        <v>45637</v>
      </c>
      <c r="O19" s="377">
        <v>0</v>
      </c>
      <c r="P19" s="395">
        <v>45668</v>
      </c>
      <c r="Q19" s="377">
        <v>0</v>
      </c>
      <c r="R19" s="395">
        <v>45699</v>
      </c>
      <c r="S19" s="377">
        <v>0</v>
      </c>
      <c r="T19" s="395">
        <v>45727</v>
      </c>
      <c r="U19" s="377">
        <v>0</v>
      </c>
      <c r="V19" s="395">
        <v>45758</v>
      </c>
      <c r="W19" s="377">
        <v>403</v>
      </c>
      <c r="X19" s="395">
        <v>45788</v>
      </c>
      <c r="Y19" s="377">
        <v>0</v>
      </c>
    </row>
    <row r="20" spans="1:25" ht="15" customHeight="1">
      <c r="A20" s="396">
        <v>12</v>
      </c>
      <c r="B20" s="395">
        <v>45455</v>
      </c>
      <c r="C20" s="377">
        <v>683</v>
      </c>
      <c r="D20" s="395">
        <v>45485</v>
      </c>
      <c r="E20" s="377">
        <v>287</v>
      </c>
      <c r="F20" s="395">
        <v>45516</v>
      </c>
      <c r="G20" s="377">
        <v>284</v>
      </c>
      <c r="H20" s="395">
        <v>45547</v>
      </c>
      <c r="I20" s="377">
        <v>0</v>
      </c>
      <c r="J20" s="395">
        <v>45577</v>
      </c>
      <c r="K20" s="377">
        <v>0</v>
      </c>
      <c r="L20" s="395">
        <v>45608</v>
      </c>
      <c r="M20" s="377">
        <v>0</v>
      </c>
      <c r="N20" s="395">
        <v>45638</v>
      </c>
      <c r="O20" s="377">
        <v>0</v>
      </c>
      <c r="P20" s="395">
        <v>45669</v>
      </c>
      <c r="Q20" s="377">
        <v>0</v>
      </c>
      <c r="R20" s="395">
        <v>45700</v>
      </c>
      <c r="S20" s="377">
        <v>0</v>
      </c>
      <c r="T20" s="395">
        <v>45728</v>
      </c>
      <c r="U20" s="377">
        <v>0</v>
      </c>
      <c r="V20" s="395">
        <v>45759</v>
      </c>
      <c r="W20" s="377">
        <v>403</v>
      </c>
      <c r="X20" s="395">
        <v>45789</v>
      </c>
      <c r="Y20" s="377">
        <v>33</v>
      </c>
    </row>
    <row r="21" spans="1:25" ht="15" customHeight="1">
      <c r="A21" s="396">
        <v>13</v>
      </c>
      <c r="B21" s="395">
        <v>45456</v>
      </c>
      <c r="C21" s="377">
        <v>429</v>
      </c>
      <c r="D21" s="395">
        <v>45486</v>
      </c>
      <c r="E21" s="377">
        <v>287</v>
      </c>
      <c r="F21" s="395">
        <v>45517</v>
      </c>
      <c r="G21" s="377">
        <v>0</v>
      </c>
      <c r="H21" s="395">
        <v>45548</v>
      </c>
      <c r="I21" s="377">
        <v>474</v>
      </c>
      <c r="J21" s="395">
        <v>45578</v>
      </c>
      <c r="K21" s="377">
        <v>0</v>
      </c>
      <c r="L21" s="395">
        <v>45609</v>
      </c>
      <c r="M21" s="377">
        <v>0</v>
      </c>
      <c r="N21" s="395">
        <v>45639</v>
      </c>
      <c r="O21" s="377">
        <v>0</v>
      </c>
      <c r="P21" s="395">
        <v>45670</v>
      </c>
      <c r="Q21" s="377">
        <v>0</v>
      </c>
      <c r="R21" s="395">
        <v>45701</v>
      </c>
      <c r="S21" s="377">
        <v>287</v>
      </c>
      <c r="T21" s="395">
        <v>45729</v>
      </c>
      <c r="U21" s="377">
        <v>0</v>
      </c>
      <c r="V21" s="395">
        <v>45760</v>
      </c>
      <c r="W21" s="377">
        <v>403</v>
      </c>
      <c r="X21" s="395">
        <v>45790</v>
      </c>
      <c r="Y21" s="377">
        <v>337</v>
      </c>
    </row>
    <row r="22" spans="1:25" ht="15" customHeight="1">
      <c r="A22" s="396">
        <v>14</v>
      </c>
      <c r="B22" s="395">
        <v>45457</v>
      </c>
      <c r="C22" s="377">
        <v>0</v>
      </c>
      <c r="D22" s="395">
        <v>45487</v>
      </c>
      <c r="E22" s="377">
        <v>287</v>
      </c>
      <c r="F22" s="395">
        <v>45518</v>
      </c>
      <c r="G22" s="377">
        <v>0</v>
      </c>
      <c r="H22" s="395">
        <v>45549</v>
      </c>
      <c r="I22" s="377">
        <v>474</v>
      </c>
      <c r="J22" s="395">
        <v>45579</v>
      </c>
      <c r="K22" s="377">
        <v>0</v>
      </c>
      <c r="L22" s="395">
        <v>45610</v>
      </c>
      <c r="M22" s="377">
        <v>118</v>
      </c>
      <c r="N22" s="395">
        <v>45640</v>
      </c>
      <c r="O22" s="377">
        <v>0</v>
      </c>
      <c r="P22" s="395">
        <v>45671</v>
      </c>
      <c r="Q22" s="377">
        <v>0</v>
      </c>
      <c r="R22" s="395">
        <v>45702</v>
      </c>
      <c r="S22" s="377">
        <v>32</v>
      </c>
      <c r="T22" s="395">
        <v>45730</v>
      </c>
      <c r="U22" s="377">
        <v>419</v>
      </c>
      <c r="V22" s="395">
        <v>45761</v>
      </c>
      <c r="W22" s="377">
        <v>0</v>
      </c>
      <c r="X22" s="395">
        <v>45791</v>
      </c>
      <c r="Y22" s="377">
        <v>0</v>
      </c>
    </row>
    <row r="23" spans="1:25" ht="15" customHeight="1">
      <c r="A23" s="396">
        <v>15</v>
      </c>
      <c r="B23" s="395">
        <v>45458</v>
      </c>
      <c r="C23" s="377">
        <v>0</v>
      </c>
      <c r="D23" s="395">
        <v>45488</v>
      </c>
      <c r="E23" s="377">
        <v>0</v>
      </c>
      <c r="F23" s="395">
        <v>45519</v>
      </c>
      <c r="G23" s="377">
        <v>0</v>
      </c>
      <c r="H23" s="395">
        <v>45550</v>
      </c>
      <c r="I23" s="377">
        <v>474</v>
      </c>
      <c r="J23" s="395">
        <v>45580</v>
      </c>
      <c r="K23" s="377">
        <v>132</v>
      </c>
      <c r="L23" s="395">
        <v>45611</v>
      </c>
      <c r="M23" s="377">
        <v>0</v>
      </c>
      <c r="N23" s="395">
        <v>45641</v>
      </c>
      <c r="O23" s="377">
        <v>0</v>
      </c>
      <c r="P23" s="395">
        <v>45672</v>
      </c>
      <c r="Q23" s="377">
        <v>226</v>
      </c>
      <c r="R23" s="395">
        <v>45703</v>
      </c>
      <c r="S23" s="377">
        <v>32</v>
      </c>
      <c r="T23" s="395">
        <v>45731</v>
      </c>
      <c r="U23" s="377">
        <v>419</v>
      </c>
      <c r="V23" s="395">
        <v>45762</v>
      </c>
      <c r="W23" s="377">
        <v>140</v>
      </c>
      <c r="X23" s="395">
        <v>45792</v>
      </c>
      <c r="Y23" s="377">
        <v>194</v>
      </c>
    </row>
    <row r="24" spans="1:25" ht="15" customHeight="1">
      <c r="A24" s="396">
        <v>16</v>
      </c>
      <c r="B24" s="395">
        <v>45459</v>
      </c>
      <c r="C24" s="377">
        <v>0</v>
      </c>
      <c r="D24" s="395">
        <v>45489</v>
      </c>
      <c r="E24" s="377">
        <v>476</v>
      </c>
      <c r="F24" s="395">
        <v>45520</v>
      </c>
      <c r="G24" s="377">
        <v>138</v>
      </c>
      <c r="H24" s="395">
        <v>45551</v>
      </c>
      <c r="I24" s="377">
        <v>129</v>
      </c>
      <c r="J24" s="395">
        <v>45581</v>
      </c>
      <c r="K24" s="377">
        <v>0</v>
      </c>
      <c r="L24" s="395">
        <v>45612</v>
      </c>
      <c r="M24" s="377">
        <v>0</v>
      </c>
      <c r="N24" s="395">
        <v>45642</v>
      </c>
      <c r="O24" s="377">
        <v>172</v>
      </c>
      <c r="P24" s="395">
        <v>45673</v>
      </c>
      <c r="Q24" s="377">
        <v>0</v>
      </c>
      <c r="R24" s="395">
        <v>45704</v>
      </c>
      <c r="S24" s="377">
        <v>32</v>
      </c>
      <c r="T24" s="395">
        <v>45732</v>
      </c>
      <c r="U24" s="377">
        <v>419</v>
      </c>
      <c r="V24" s="395">
        <v>45763</v>
      </c>
      <c r="W24" s="377">
        <v>199</v>
      </c>
      <c r="X24" s="395">
        <v>45793</v>
      </c>
      <c r="Y24" s="377">
        <v>145</v>
      </c>
    </row>
    <row r="25" spans="1:25" ht="15" customHeight="1">
      <c r="A25" s="396">
        <v>17</v>
      </c>
      <c r="B25" s="395">
        <v>45460</v>
      </c>
      <c r="C25" s="377">
        <v>0</v>
      </c>
      <c r="D25" s="395">
        <v>45490</v>
      </c>
      <c r="E25" s="377">
        <v>332</v>
      </c>
      <c r="F25" s="395">
        <v>45521</v>
      </c>
      <c r="G25" s="377">
        <v>138</v>
      </c>
      <c r="H25" s="395">
        <v>45552</v>
      </c>
      <c r="I25" s="377">
        <v>0</v>
      </c>
      <c r="J25" s="395">
        <v>45582</v>
      </c>
      <c r="K25" s="377">
        <v>0</v>
      </c>
      <c r="L25" s="395">
        <v>45613</v>
      </c>
      <c r="M25" s="377">
        <v>0</v>
      </c>
      <c r="N25" s="395">
        <v>45643</v>
      </c>
      <c r="O25" s="377">
        <v>131</v>
      </c>
      <c r="P25" s="395">
        <v>45674</v>
      </c>
      <c r="Q25" s="377">
        <v>0</v>
      </c>
      <c r="R25" s="395">
        <v>45705</v>
      </c>
      <c r="S25" s="377">
        <v>0</v>
      </c>
      <c r="T25" s="395">
        <v>45733</v>
      </c>
      <c r="U25" s="377">
        <v>0</v>
      </c>
      <c r="V25" s="395">
        <v>45764</v>
      </c>
      <c r="W25" s="377">
        <v>0</v>
      </c>
      <c r="X25" s="395">
        <v>45794</v>
      </c>
      <c r="Y25" s="377">
        <v>145</v>
      </c>
    </row>
    <row r="26" spans="1:25" ht="15" customHeight="1">
      <c r="A26" s="396">
        <v>18</v>
      </c>
      <c r="B26" s="395">
        <v>45461</v>
      </c>
      <c r="C26" s="377">
        <v>229</v>
      </c>
      <c r="D26" s="395">
        <v>45491</v>
      </c>
      <c r="E26" s="377">
        <v>0</v>
      </c>
      <c r="F26" s="395">
        <v>45522</v>
      </c>
      <c r="G26" s="377">
        <v>138</v>
      </c>
      <c r="H26" s="395">
        <v>45553</v>
      </c>
      <c r="I26" s="377">
        <v>284</v>
      </c>
      <c r="J26" s="395">
        <v>45583</v>
      </c>
      <c r="K26" s="377">
        <v>268</v>
      </c>
      <c r="L26" s="395">
        <v>45614</v>
      </c>
      <c r="M26" s="377">
        <v>323</v>
      </c>
      <c r="N26" s="395">
        <v>45644</v>
      </c>
      <c r="O26" s="377">
        <v>147</v>
      </c>
      <c r="P26" s="395">
        <v>45675</v>
      </c>
      <c r="Q26" s="377">
        <v>0</v>
      </c>
      <c r="R26" s="395">
        <v>45706</v>
      </c>
      <c r="S26" s="377">
        <v>368</v>
      </c>
      <c r="T26" s="395">
        <v>45734</v>
      </c>
      <c r="U26" s="377">
        <v>0</v>
      </c>
      <c r="V26" s="395">
        <v>45765</v>
      </c>
      <c r="W26" s="377">
        <v>146</v>
      </c>
      <c r="X26" s="395">
        <v>45795</v>
      </c>
      <c r="Y26" s="377">
        <v>145</v>
      </c>
    </row>
    <row r="27" spans="1:25" ht="15" customHeight="1">
      <c r="A27" s="396">
        <v>19</v>
      </c>
      <c r="B27" s="395">
        <v>45462</v>
      </c>
      <c r="C27" s="377">
        <v>0</v>
      </c>
      <c r="D27" s="395">
        <v>45492</v>
      </c>
      <c r="E27" s="377">
        <v>0</v>
      </c>
      <c r="F27" s="395">
        <v>45523</v>
      </c>
      <c r="G27" s="377">
        <v>327</v>
      </c>
      <c r="H27" s="395">
        <v>45554</v>
      </c>
      <c r="I27" s="377">
        <v>44</v>
      </c>
      <c r="J27" s="395">
        <v>45584</v>
      </c>
      <c r="K27" s="377">
        <v>268</v>
      </c>
      <c r="L27" s="395">
        <v>45615</v>
      </c>
      <c r="M27" s="377">
        <v>0</v>
      </c>
      <c r="N27" s="395">
        <v>45645</v>
      </c>
      <c r="O27" s="377">
        <v>0</v>
      </c>
      <c r="P27" s="395">
        <v>45676</v>
      </c>
      <c r="Q27" s="377">
        <v>0</v>
      </c>
      <c r="R27" s="395">
        <v>45707</v>
      </c>
      <c r="S27" s="377">
        <v>154</v>
      </c>
      <c r="T27" s="395">
        <v>45735</v>
      </c>
      <c r="U27" s="377">
        <v>0</v>
      </c>
      <c r="V27" s="395">
        <v>45766</v>
      </c>
      <c r="W27" s="377">
        <v>146</v>
      </c>
      <c r="X27" s="395">
        <v>45796</v>
      </c>
      <c r="Y27" s="377">
        <v>0</v>
      </c>
    </row>
    <row r="28" spans="1:25" ht="15" customHeight="1">
      <c r="A28" s="396">
        <v>20</v>
      </c>
      <c r="B28" s="395">
        <v>45463</v>
      </c>
      <c r="C28" s="377">
        <v>0</v>
      </c>
      <c r="D28" s="395">
        <v>45493</v>
      </c>
      <c r="E28" s="377">
        <v>0</v>
      </c>
      <c r="F28" s="395">
        <v>45524</v>
      </c>
      <c r="G28" s="377">
        <v>0</v>
      </c>
      <c r="H28" s="395">
        <v>45555</v>
      </c>
      <c r="I28" s="377">
        <v>0</v>
      </c>
      <c r="J28" s="395">
        <v>45585</v>
      </c>
      <c r="K28" s="377">
        <v>268</v>
      </c>
      <c r="L28" s="395">
        <v>45616</v>
      </c>
      <c r="M28" s="377">
        <v>0</v>
      </c>
      <c r="N28" s="395">
        <v>45646</v>
      </c>
      <c r="O28" s="377">
        <v>0</v>
      </c>
      <c r="P28" s="395">
        <v>45677</v>
      </c>
      <c r="Q28" s="377">
        <v>0</v>
      </c>
      <c r="R28" s="395">
        <v>45708</v>
      </c>
      <c r="S28" s="377">
        <v>0</v>
      </c>
      <c r="T28" s="395">
        <v>45736</v>
      </c>
      <c r="U28" s="377">
        <v>410</v>
      </c>
      <c r="V28" s="395">
        <v>45767</v>
      </c>
      <c r="W28" s="377">
        <v>146</v>
      </c>
      <c r="X28" s="395">
        <v>45797</v>
      </c>
      <c r="Y28" s="377">
        <v>403</v>
      </c>
    </row>
    <row r="29" spans="1:25" ht="15" customHeight="1">
      <c r="A29" s="396">
        <v>21</v>
      </c>
      <c r="B29" s="395">
        <v>45464</v>
      </c>
      <c r="C29" s="377">
        <v>0</v>
      </c>
      <c r="D29" s="395">
        <v>45494</v>
      </c>
      <c r="E29" s="377">
        <v>0</v>
      </c>
      <c r="F29" s="395">
        <v>45525</v>
      </c>
      <c r="G29" s="377">
        <v>0</v>
      </c>
      <c r="H29" s="395">
        <v>45556</v>
      </c>
      <c r="I29" s="377">
        <v>0</v>
      </c>
      <c r="J29" s="395">
        <v>45586</v>
      </c>
      <c r="K29" s="377">
        <v>172</v>
      </c>
      <c r="L29" s="395">
        <v>45617</v>
      </c>
      <c r="M29" s="377">
        <v>0</v>
      </c>
      <c r="N29" s="395">
        <v>45647</v>
      </c>
      <c r="O29" s="377">
        <v>0</v>
      </c>
      <c r="P29" s="395">
        <v>45678</v>
      </c>
      <c r="Q29" s="377">
        <v>190</v>
      </c>
      <c r="R29" s="395">
        <v>45709</v>
      </c>
      <c r="S29" s="377">
        <v>398</v>
      </c>
      <c r="T29" s="395">
        <v>45737</v>
      </c>
      <c r="U29" s="377">
        <v>394</v>
      </c>
      <c r="V29" s="395">
        <v>45768</v>
      </c>
      <c r="W29" s="377">
        <v>0</v>
      </c>
      <c r="X29" s="395">
        <v>45798</v>
      </c>
      <c r="Y29" s="377">
        <v>0</v>
      </c>
    </row>
    <row r="30" spans="1:25" ht="15" customHeight="1">
      <c r="A30" s="396">
        <v>22</v>
      </c>
      <c r="B30" s="395">
        <v>45465</v>
      </c>
      <c r="C30" s="377">
        <v>0</v>
      </c>
      <c r="D30" s="395">
        <v>45495</v>
      </c>
      <c r="E30" s="377">
        <v>360</v>
      </c>
      <c r="F30" s="395">
        <v>45526</v>
      </c>
      <c r="G30" s="377">
        <v>0</v>
      </c>
      <c r="H30" s="395">
        <v>45557</v>
      </c>
      <c r="I30" s="377">
        <v>0</v>
      </c>
      <c r="J30" s="395">
        <v>45587</v>
      </c>
      <c r="K30" s="377">
        <v>505</v>
      </c>
      <c r="L30" s="395">
        <v>45618</v>
      </c>
      <c r="M30" s="377">
        <v>0</v>
      </c>
      <c r="N30" s="395">
        <v>45648</v>
      </c>
      <c r="O30" s="377">
        <v>0</v>
      </c>
      <c r="P30" s="395">
        <v>45679</v>
      </c>
      <c r="Q30" s="377">
        <v>0</v>
      </c>
      <c r="R30" s="395">
        <v>45710</v>
      </c>
      <c r="S30" s="377">
        <v>398</v>
      </c>
      <c r="T30" s="395">
        <v>45738</v>
      </c>
      <c r="U30" s="377">
        <v>394</v>
      </c>
      <c r="V30" s="395">
        <v>45769</v>
      </c>
      <c r="W30" s="377">
        <v>0</v>
      </c>
      <c r="X30" s="395">
        <v>45799</v>
      </c>
      <c r="Y30" s="377">
        <v>0</v>
      </c>
    </row>
    <row r="31" spans="1:25" ht="15" customHeight="1">
      <c r="A31" s="396">
        <v>23</v>
      </c>
      <c r="B31" s="395">
        <v>45466</v>
      </c>
      <c r="C31" s="377">
        <v>0</v>
      </c>
      <c r="D31" s="395">
        <v>45496</v>
      </c>
      <c r="E31" s="377">
        <v>100</v>
      </c>
      <c r="F31" s="395">
        <v>45527</v>
      </c>
      <c r="G31" s="377">
        <v>0</v>
      </c>
      <c r="H31" s="395">
        <v>45558</v>
      </c>
      <c r="I31" s="377">
        <v>0</v>
      </c>
      <c r="J31" s="395">
        <v>45588</v>
      </c>
      <c r="K31" s="377">
        <v>0</v>
      </c>
      <c r="L31" s="395">
        <v>45619</v>
      </c>
      <c r="M31" s="377">
        <v>0</v>
      </c>
      <c r="N31" s="395">
        <v>45649</v>
      </c>
      <c r="O31" s="377">
        <v>0</v>
      </c>
      <c r="P31" s="395">
        <v>45680</v>
      </c>
      <c r="Q31" s="377">
        <v>177</v>
      </c>
      <c r="R31" s="395">
        <v>45711</v>
      </c>
      <c r="S31" s="377">
        <v>398</v>
      </c>
      <c r="T31" s="395">
        <v>45739</v>
      </c>
      <c r="U31" s="377">
        <v>394</v>
      </c>
      <c r="V31" s="395">
        <v>45770</v>
      </c>
      <c r="W31" s="377">
        <v>0</v>
      </c>
      <c r="X31" s="395">
        <v>45800</v>
      </c>
      <c r="Y31" s="377">
        <v>290</v>
      </c>
    </row>
    <row r="32" spans="1:25" ht="15" customHeight="1">
      <c r="A32" s="396">
        <v>24</v>
      </c>
      <c r="B32" s="395">
        <v>45467</v>
      </c>
      <c r="C32" s="377">
        <v>455</v>
      </c>
      <c r="D32" s="395">
        <v>45497</v>
      </c>
      <c r="E32" s="377">
        <v>0</v>
      </c>
      <c r="F32" s="395">
        <v>45528</v>
      </c>
      <c r="G32" s="377">
        <v>0</v>
      </c>
      <c r="H32" s="395">
        <v>45559</v>
      </c>
      <c r="I32" s="377">
        <v>0</v>
      </c>
      <c r="J32" s="395">
        <v>45589</v>
      </c>
      <c r="K32" s="377">
        <v>0</v>
      </c>
      <c r="L32" s="395">
        <v>45620</v>
      </c>
      <c r="M32" s="377">
        <v>0</v>
      </c>
      <c r="N32" s="395">
        <v>45650</v>
      </c>
      <c r="O32" s="377">
        <v>0</v>
      </c>
      <c r="P32" s="395">
        <v>45681</v>
      </c>
      <c r="Q32" s="377">
        <v>1041</v>
      </c>
      <c r="R32" s="395">
        <v>45712</v>
      </c>
      <c r="S32" s="377">
        <v>383</v>
      </c>
      <c r="T32" s="395">
        <v>45740</v>
      </c>
      <c r="U32" s="377">
        <v>0</v>
      </c>
      <c r="V32" s="395">
        <v>45771</v>
      </c>
      <c r="W32" s="377">
        <v>0</v>
      </c>
      <c r="X32" s="395">
        <v>45801</v>
      </c>
      <c r="Y32" s="377">
        <v>290</v>
      </c>
    </row>
    <row r="33" spans="1:25" ht="15" customHeight="1">
      <c r="A33" s="396">
        <v>25</v>
      </c>
      <c r="B33" s="395">
        <v>45468</v>
      </c>
      <c r="C33" s="377">
        <v>0</v>
      </c>
      <c r="D33" s="395">
        <v>45498</v>
      </c>
      <c r="E33" s="377">
        <v>0</v>
      </c>
      <c r="F33" s="395">
        <v>45529</v>
      </c>
      <c r="G33" s="377">
        <v>0</v>
      </c>
      <c r="H33" s="395">
        <v>45560</v>
      </c>
      <c r="I33" s="377">
        <v>95</v>
      </c>
      <c r="J33" s="395">
        <v>45590</v>
      </c>
      <c r="K33" s="377">
        <v>0</v>
      </c>
      <c r="L33" s="395">
        <v>45621</v>
      </c>
      <c r="M33" s="377">
        <v>196</v>
      </c>
      <c r="N33" s="395">
        <v>45651</v>
      </c>
      <c r="O33" s="377">
        <v>0</v>
      </c>
      <c r="P33" s="395">
        <v>45682</v>
      </c>
      <c r="Q33" s="377">
        <v>1041</v>
      </c>
      <c r="R33" s="395">
        <v>45713</v>
      </c>
      <c r="S33" s="377">
        <v>0</v>
      </c>
      <c r="T33" s="395">
        <v>45741</v>
      </c>
      <c r="U33" s="377">
        <v>0</v>
      </c>
      <c r="V33" s="395">
        <v>45772</v>
      </c>
      <c r="W33" s="377">
        <v>257</v>
      </c>
      <c r="X33" s="395">
        <v>45802</v>
      </c>
      <c r="Y33" s="377">
        <v>290</v>
      </c>
    </row>
    <row r="34" spans="1:25" ht="15" customHeight="1">
      <c r="A34" s="396">
        <v>26</v>
      </c>
      <c r="B34" s="395">
        <v>45469</v>
      </c>
      <c r="C34" s="377">
        <v>0</v>
      </c>
      <c r="D34" s="395">
        <v>45499</v>
      </c>
      <c r="E34" s="377">
        <v>0</v>
      </c>
      <c r="F34" s="395">
        <v>45530</v>
      </c>
      <c r="G34" s="377">
        <v>92</v>
      </c>
      <c r="H34" s="395">
        <v>45561</v>
      </c>
      <c r="I34" s="377">
        <v>533</v>
      </c>
      <c r="J34" s="395">
        <v>45591</v>
      </c>
      <c r="K34" s="377">
        <v>0</v>
      </c>
      <c r="L34" s="395">
        <v>45622</v>
      </c>
      <c r="M34" s="377">
        <v>81</v>
      </c>
      <c r="N34" s="395">
        <v>45652</v>
      </c>
      <c r="O34" s="377">
        <v>0</v>
      </c>
      <c r="P34" s="395">
        <v>45683</v>
      </c>
      <c r="Q34" s="377">
        <v>1041</v>
      </c>
      <c r="R34" s="395">
        <v>45714</v>
      </c>
      <c r="S34" s="377">
        <v>0</v>
      </c>
      <c r="T34" s="395">
        <v>45742</v>
      </c>
      <c r="U34" s="377">
        <v>0</v>
      </c>
      <c r="V34" s="395">
        <v>45773</v>
      </c>
      <c r="W34" s="377">
        <v>257</v>
      </c>
      <c r="X34" s="395">
        <v>45803</v>
      </c>
      <c r="Y34" s="377">
        <v>0</v>
      </c>
    </row>
    <row r="35" spans="1:25" ht="15" customHeight="1">
      <c r="A35" s="396">
        <v>27</v>
      </c>
      <c r="B35" s="395">
        <v>45470</v>
      </c>
      <c r="C35" s="377">
        <v>72</v>
      </c>
      <c r="D35" s="395">
        <v>45500</v>
      </c>
      <c r="E35" s="377">
        <v>0</v>
      </c>
      <c r="F35" s="395">
        <v>45531</v>
      </c>
      <c r="G35" s="377">
        <v>0</v>
      </c>
      <c r="H35" s="395">
        <v>45562</v>
      </c>
      <c r="I35" s="377">
        <v>0</v>
      </c>
      <c r="J35" s="395">
        <v>45592</v>
      </c>
      <c r="K35" s="377">
        <v>0</v>
      </c>
      <c r="L35" s="395">
        <v>45623</v>
      </c>
      <c r="M35" s="377">
        <v>77</v>
      </c>
      <c r="N35" s="395">
        <v>45653</v>
      </c>
      <c r="O35" s="377">
        <v>343</v>
      </c>
      <c r="P35" s="395">
        <v>45684</v>
      </c>
      <c r="Q35" s="377">
        <v>150</v>
      </c>
      <c r="R35" s="395">
        <v>45715</v>
      </c>
      <c r="S35" s="377">
        <v>0</v>
      </c>
      <c r="T35" s="395">
        <v>45743</v>
      </c>
      <c r="U35" s="377">
        <v>161</v>
      </c>
      <c r="V35" s="395">
        <v>45774</v>
      </c>
      <c r="W35" s="377">
        <v>257</v>
      </c>
      <c r="X35" s="395">
        <v>45804</v>
      </c>
      <c r="Y35" s="377">
        <v>0</v>
      </c>
    </row>
    <row r="36" spans="1:25" ht="15" customHeight="1">
      <c r="A36" s="396">
        <v>28</v>
      </c>
      <c r="B36" s="395">
        <v>45471</v>
      </c>
      <c r="C36" s="377">
        <v>0</v>
      </c>
      <c r="D36" s="395">
        <v>45501</v>
      </c>
      <c r="E36" s="377">
        <v>0</v>
      </c>
      <c r="F36" s="395">
        <v>45532</v>
      </c>
      <c r="G36" s="377">
        <v>0</v>
      </c>
      <c r="H36" s="395">
        <v>45563</v>
      </c>
      <c r="I36" s="377">
        <v>0</v>
      </c>
      <c r="J36" s="395">
        <v>45593</v>
      </c>
      <c r="K36" s="377">
        <v>275</v>
      </c>
      <c r="L36" s="395">
        <v>45624</v>
      </c>
      <c r="M36" s="377">
        <v>0</v>
      </c>
      <c r="N36" s="395">
        <v>45654</v>
      </c>
      <c r="O36" s="377">
        <v>343</v>
      </c>
      <c r="P36" s="395">
        <v>45685</v>
      </c>
      <c r="Q36" s="377">
        <v>0</v>
      </c>
      <c r="R36" s="395">
        <v>45716</v>
      </c>
      <c r="S36" s="377">
        <v>0</v>
      </c>
      <c r="T36" s="395">
        <v>45744</v>
      </c>
      <c r="U36" s="377">
        <v>0</v>
      </c>
      <c r="V36" s="395">
        <v>45775</v>
      </c>
      <c r="W36" s="377">
        <v>83</v>
      </c>
      <c r="X36" s="395">
        <v>45805</v>
      </c>
      <c r="Y36" s="377">
        <v>0</v>
      </c>
    </row>
    <row r="37" spans="1:25" ht="15" customHeight="1">
      <c r="A37" s="396">
        <v>29</v>
      </c>
      <c r="B37" s="395">
        <v>45472</v>
      </c>
      <c r="C37" s="377">
        <v>0</v>
      </c>
      <c r="D37" s="395">
        <v>45502</v>
      </c>
      <c r="E37" s="377">
        <v>0</v>
      </c>
      <c r="F37" s="395">
        <v>45533</v>
      </c>
      <c r="G37" s="377">
        <v>0</v>
      </c>
      <c r="H37" s="395">
        <v>45564</v>
      </c>
      <c r="I37" s="377">
        <v>0</v>
      </c>
      <c r="J37" s="395">
        <v>45594</v>
      </c>
      <c r="K37" s="377">
        <v>304</v>
      </c>
      <c r="L37" s="395">
        <v>45625</v>
      </c>
      <c r="M37" s="377">
        <v>0</v>
      </c>
      <c r="N37" s="395">
        <v>45655</v>
      </c>
      <c r="O37" s="377">
        <v>343</v>
      </c>
      <c r="P37" s="395">
        <v>45686</v>
      </c>
      <c r="Q37" s="377">
        <v>0</v>
      </c>
      <c r="R37" s="395"/>
      <c r="S37" s="356"/>
      <c r="T37" s="395">
        <v>45745</v>
      </c>
      <c r="U37" s="377">
        <v>0</v>
      </c>
      <c r="V37" s="395">
        <v>45776</v>
      </c>
      <c r="W37" s="377">
        <v>0</v>
      </c>
      <c r="X37" s="395">
        <v>45806</v>
      </c>
      <c r="Y37" s="377">
        <v>0</v>
      </c>
    </row>
    <row r="38" spans="1:25" ht="15" customHeight="1">
      <c r="A38" s="396">
        <v>30</v>
      </c>
      <c r="B38" s="395">
        <v>45473</v>
      </c>
      <c r="C38" s="377">
        <v>0</v>
      </c>
      <c r="D38" s="395">
        <v>45503</v>
      </c>
      <c r="E38" s="377">
        <v>74</v>
      </c>
      <c r="F38" s="395">
        <v>45534</v>
      </c>
      <c r="G38" s="377">
        <v>348</v>
      </c>
      <c r="H38" s="395">
        <v>45565</v>
      </c>
      <c r="I38" s="377">
        <v>0</v>
      </c>
      <c r="J38" s="395">
        <v>45595</v>
      </c>
      <c r="K38" s="377">
        <v>0</v>
      </c>
      <c r="L38" s="395">
        <v>45626</v>
      </c>
      <c r="M38" s="377">
        <v>0</v>
      </c>
      <c r="N38" s="395">
        <v>45656</v>
      </c>
      <c r="O38" s="377">
        <v>246</v>
      </c>
      <c r="P38" s="395">
        <v>45687</v>
      </c>
      <c r="Q38" s="377">
        <v>0</v>
      </c>
      <c r="R38" s="395"/>
      <c r="S38" s="356"/>
      <c r="T38" s="395">
        <v>45746</v>
      </c>
      <c r="U38" s="377">
        <v>0</v>
      </c>
      <c r="V38" s="395">
        <v>45777</v>
      </c>
      <c r="W38" s="377">
        <v>0</v>
      </c>
      <c r="X38" s="395">
        <v>45807</v>
      </c>
      <c r="Y38" s="377">
        <v>0</v>
      </c>
    </row>
    <row r="39" spans="1:25" ht="15" customHeight="1">
      <c r="A39" s="396">
        <v>31</v>
      </c>
      <c r="B39" s="395"/>
      <c r="C39" s="356"/>
      <c r="D39" s="395">
        <v>45504</v>
      </c>
      <c r="E39" s="377">
        <v>0</v>
      </c>
      <c r="F39" s="395">
        <v>45535</v>
      </c>
      <c r="G39" s="377">
        <v>348</v>
      </c>
      <c r="H39" s="395"/>
      <c r="I39" s="356"/>
      <c r="J39" s="395">
        <v>45596</v>
      </c>
      <c r="K39" s="377">
        <v>0</v>
      </c>
      <c r="L39" s="395"/>
      <c r="M39" s="356"/>
      <c r="N39" s="395">
        <v>45657</v>
      </c>
      <c r="O39" s="377">
        <v>0</v>
      </c>
      <c r="P39" s="395">
        <v>45688</v>
      </c>
      <c r="Q39" s="377">
        <v>0</v>
      </c>
      <c r="R39" s="395"/>
      <c r="S39" s="356"/>
      <c r="T39" s="395">
        <v>45747</v>
      </c>
      <c r="U39" s="377">
        <v>0</v>
      </c>
      <c r="V39" s="395"/>
      <c r="W39" s="356"/>
      <c r="X39" s="395">
        <v>45808</v>
      </c>
      <c r="Y39" s="377">
        <v>0</v>
      </c>
    </row>
    <row r="40" spans="1:25" ht="15" customHeight="1">
      <c r="A40" s="369"/>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row>
    <row r="41" spans="1:25" ht="15" customHeight="1"/>
    <row r="42" spans="1:25" ht="15" customHeight="1">
      <c r="A42" s="369" t="s">
        <v>88</v>
      </c>
      <c r="C42" s="394">
        <f>SUM(C9:C39)</f>
        <v>2171</v>
      </c>
      <c r="E42" s="394">
        <f>SUM(E9:E39)</f>
        <v>3168</v>
      </c>
      <c r="G42" s="394">
        <f>SUM(G9:G39)</f>
        <v>2983</v>
      </c>
      <c r="I42" s="394">
        <f>SUM(I9:I39)</f>
        <v>4314</v>
      </c>
      <c r="K42" s="394">
        <f>SUM(K9:K39)</f>
        <v>3016</v>
      </c>
      <c r="M42" s="394">
        <f>SUM(M9:M39)</f>
        <v>1030</v>
      </c>
      <c r="O42" s="394">
        <f>SUM(O9:O39)</f>
        <v>27720</v>
      </c>
      <c r="Q42" s="394">
        <f>SUM(Q9:Q39)</f>
        <v>4908</v>
      </c>
      <c r="S42" s="394">
        <f>SUM(S9:S39)</f>
        <v>2880</v>
      </c>
      <c r="U42" s="394">
        <f>SUM(U9:U39)</f>
        <v>4427</v>
      </c>
      <c r="W42" s="394">
        <f>SUM(W9:W39)</f>
        <v>3154</v>
      </c>
      <c r="Y42" s="394">
        <f>SUM(Y9:Y39)</f>
        <v>4406</v>
      </c>
    </row>
    <row r="43" spans="1:25" ht="15" customHeight="1">
      <c r="C43" s="360"/>
      <c r="E43" s="360"/>
      <c r="G43" s="360"/>
      <c r="I43" s="360"/>
      <c r="K43" s="360"/>
      <c r="M43" s="360"/>
      <c r="O43" s="360"/>
      <c r="Q43" s="360"/>
      <c r="S43" s="360"/>
      <c r="U43" s="360"/>
      <c r="W43" s="360"/>
      <c r="Y43" s="360"/>
    </row>
    <row r="44" spans="1:25" ht="15" customHeight="1"/>
    <row r="45" spans="1:25" ht="15" customHeight="1">
      <c r="W45" s="356" t="s">
        <v>645</v>
      </c>
      <c r="Y45" s="377">
        <f>Y42+W42+U42+S42+Q42+O42+M42+K42+I42+G42+E42+C42</f>
        <v>64177</v>
      </c>
    </row>
    <row r="46" spans="1:25" ht="15" customHeight="1"/>
    <row r="47" spans="1:25" ht="15" customHeight="1" thickBot="1">
      <c r="A47" s="350" t="s">
        <v>53</v>
      </c>
      <c r="B47" s="350" t="s">
        <v>54</v>
      </c>
      <c r="W47" s="356" t="s">
        <v>644</v>
      </c>
      <c r="Y47" s="393">
        <f>Y45/365</f>
        <v>175.82739726027398</v>
      </c>
    </row>
    <row r="48" spans="1:25" ht="13" thickTop="1">
      <c r="Y48" s="351"/>
    </row>
  </sheetData>
  <mergeCells count="4">
    <mergeCell ref="A2:D2"/>
    <mergeCell ref="A1:D1"/>
    <mergeCell ref="A4:D4"/>
    <mergeCell ref="A3: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A5AD-6EE6-4BA8-B054-F0E83C76527F}">
  <dimension ref="A1:N67"/>
  <sheetViews>
    <sheetView showRuler="0" topLeftCell="A36" workbookViewId="0">
      <selection activeCell="D7" sqref="D7:D10"/>
    </sheetView>
  </sheetViews>
  <sheetFormatPr defaultColWidth="13.7265625" defaultRowHeight="12.5"/>
  <cols>
    <col min="1" max="1" width="44" style="349" customWidth="1"/>
    <col min="2" max="2" width="23.1796875" style="349" customWidth="1"/>
    <col min="3" max="3" width="21.1796875" style="349" customWidth="1"/>
    <col min="4" max="4" width="23" style="349" customWidth="1"/>
    <col min="5" max="5" width="13.54296875" style="349" customWidth="1"/>
    <col min="6" max="6" width="13" style="349" customWidth="1"/>
    <col min="7" max="7" width="13.7265625" style="349" customWidth="1"/>
    <col min="8" max="8" width="16.81640625" style="349" customWidth="1"/>
    <col min="9" max="9" width="12.54296875" style="349" customWidth="1"/>
    <col min="10" max="10" width="13.81640625" style="349" customWidth="1"/>
    <col min="11" max="11" width="5.7265625" style="349" customWidth="1"/>
    <col min="12" max="12" width="10.1796875" style="349" customWidth="1"/>
    <col min="13" max="13" width="14.453125" style="349" customWidth="1"/>
    <col min="14" max="16384" width="13.7265625" style="349"/>
  </cols>
  <sheetData>
    <row r="1" spans="1:14" ht="15" customHeight="1">
      <c r="A1" s="764" t="s">
        <v>51</v>
      </c>
      <c r="B1" s="761"/>
      <c r="C1" s="761"/>
      <c r="D1" s="761"/>
    </row>
    <row r="2" spans="1:14" ht="15" customHeight="1">
      <c r="A2" s="764" t="s">
        <v>635</v>
      </c>
      <c r="B2" s="761"/>
      <c r="C2" s="761"/>
      <c r="D2" s="761"/>
    </row>
    <row r="3" spans="1:14" ht="15" customHeight="1">
      <c r="A3" s="764" t="s">
        <v>683</v>
      </c>
      <c r="B3" s="761"/>
      <c r="C3" s="761"/>
      <c r="D3" s="761"/>
    </row>
    <row r="4" spans="1:14" ht="15" customHeight="1">
      <c r="A4" s="764" t="s">
        <v>549</v>
      </c>
      <c r="B4" s="761"/>
      <c r="C4" s="761"/>
      <c r="D4" s="761"/>
    </row>
    <row r="5" spans="1:14" ht="15" customHeight="1"/>
    <row r="6" spans="1:14" ht="15" customHeight="1">
      <c r="A6" s="356" t="s">
        <v>682</v>
      </c>
      <c r="B6" s="356" t="s">
        <v>681</v>
      </c>
      <c r="C6" s="356" t="s">
        <v>680</v>
      </c>
      <c r="D6" s="356" t="s">
        <v>679</v>
      </c>
    </row>
    <row r="7" spans="1:14" ht="15" customHeight="1">
      <c r="A7" s="356" t="s">
        <v>678</v>
      </c>
      <c r="B7" s="401">
        <f>M27</f>
        <v>47.96</v>
      </c>
      <c r="C7" s="404">
        <f>C27/365</f>
        <v>7758.6649041095889</v>
      </c>
      <c r="D7" s="404">
        <f>B7*C7</f>
        <v>372105.56880109588</v>
      </c>
    </row>
    <row r="8" spans="1:14" ht="15" customHeight="1">
      <c r="A8" s="356" t="s">
        <v>637</v>
      </c>
      <c r="B8" s="401">
        <f>M46</f>
        <v>34.869999999999997</v>
      </c>
      <c r="C8" s="404">
        <f>C46/365</f>
        <v>36868.382410958904</v>
      </c>
      <c r="D8" s="404">
        <f>B8*C8</f>
        <v>1285600.4946701368</v>
      </c>
    </row>
    <row r="9" spans="1:14" ht="15" customHeight="1">
      <c r="A9" s="356" t="s">
        <v>675</v>
      </c>
      <c r="B9" s="401">
        <f>+M64</f>
        <v>40.130000000000003</v>
      </c>
      <c r="C9" s="404">
        <f>C64/365</f>
        <v>27860.667890410958</v>
      </c>
      <c r="D9" s="404">
        <f>B9*C9</f>
        <v>1118048.6024421919</v>
      </c>
    </row>
    <row r="10" spans="1:14" ht="15" customHeight="1"/>
    <row r="11" spans="1:14" ht="15" customHeight="1"/>
    <row r="12" spans="1:14" ht="15" customHeight="1">
      <c r="A12" s="403" t="s">
        <v>678</v>
      </c>
      <c r="B12" s="380"/>
      <c r="C12" s="356"/>
      <c r="D12" s="356"/>
      <c r="E12" s="356"/>
      <c r="F12" s="356"/>
      <c r="G12" s="356"/>
      <c r="H12" s="356"/>
      <c r="I12" s="356"/>
      <c r="J12" s="356"/>
      <c r="K12" s="356"/>
      <c r="L12" s="356"/>
      <c r="M12" s="356"/>
      <c r="N12" s="356"/>
    </row>
    <row r="13" spans="1:14" ht="15" customHeight="1">
      <c r="A13" s="360" t="s">
        <v>674</v>
      </c>
      <c r="B13" s="356" t="s">
        <v>673</v>
      </c>
      <c r="C13" s="356" t="s">
        <v>93</v>
      </c>
      <c r="D13" s="356" t="s">
        <v>672</v>
      </c>
      <c r="E13" s="356" t="s">
        <v>671</v>
      </c>
      <c r="F13" s="356" t="s">
        <v>677</v>
      </c>
      <c r="G13" s="356" t="s">
        <v>669</v>
      </c>
      <c r="H13" s="356" t="s">
        <v>668</v>
      </c>
      <c r="I13" s="356" t="s">
        <v>667</v>
      </c>
      <c r="J13" s="356" t="s">
        <v>666</v>
      </c>
      <c r="K13" s="356" t="s">
        <v>665</v>
      </c>
      <c r="L13" s="356" t="s">
        <v>664</v>
      </c>
      <c r="M13" s="356" t="s">
        <v>663</v>
      </c>
      <c r="N13" s="356"/>
    </row>
    <row r="14" spans="1:14" ht="15" customHeight="1">
      <c r="A14" s="356" t="s">
        <v>662</v>
      </c>
      <c r="B14" s="356" t="s">
        <v>661</v>
      </c>
      <c r="C14" s="356" t="s">
        <v>660</v>
      </c>
      <c r="D14" s="356" t="s">
        <v>659</v>
      </c>
      <c r="E14" s="356" t="s">
        <v>658</v>
      </c>
      <c r="F14" s="356" t="s">
        <v>657</v>
      </c>
      <c r="G14" s="356" t="s">
        <v>656</v>
      </c>
      <c r="H14" s="356" t="s">
        <v>655</v>
      </c>
      <c r="I14" s="356" t="s">
        <v>654</v>
      </c>
      <c r="J14" s="356" t="s">
        <v>653</v>
      </c>
      <c r="K14" s="356" t="s">
        <v>652</v>
      </c>
      <c r="L14" s="356" t="s">
        <v>651</v>
      </c>
      <c r="M14" s="356" t="s">
        <v>650</v>
      </c>
      <c r="N14" s="356"/>
    </row>
    <row r="15" spans="1:14" ht="15" customHeight="1">
      <c r="A15" s="356" t="s">
        <v>676</v>
      </c>
      <c r="B15" s="356" t="s">
        <v>131</v>
      </c>
      <c r="C15" s="404">
        <v>53915.92</v>
      </c>
      <c r="D15" s="395">
        <v>45383</v>
      </c>
      <c r="E15" s="395">
        <v>45412</v>
      </c>
      <c r="F15" s="395">
        <v>45432</v>
      </c>
      <c r="G15" s="395">
        <v>45432</v>
      </c>
      <c r="H15" s="402">
        <v>1.9040000000000001E-2</v>
      </c>
      <c r="I15" s="401">
        <v>15</v>
      </c>
      <c r="J15" s="401">
        <v>20</v>
      </c>
      <c r="K15" s="401">
        <v>12.73</v>
      </c>
      <c r="L15" s="400">
        <v>47.73</v>
      </c>
      <c r="M15" s="401">
        <v>0.91</v>
      </c>
      <c r="N15" s="356"/>
    </row>
    <row r="16" spans="1:14" ht="15" customHeight="1">
      <c r="A16" s="356" t="s">
        <v>676</v>
      </c>
      <c r="B16" s="356" t="s">
        <v>131</v>
      </c>
      <c r="C16" s="355">
        <v>52257.38</v>
      </c>
      <c r="D16" s="395">
        <v>45413</v>
      </c>
      <c r="E16" s="395">
        <v>45443</v>
      </c>
      <c r="F16" s="395">
        <v>45463</v>
      </c>
      <c r="G16" s="395">
        <v>45463</v>
      </c>
      <c r="H16" s="402">
        <v>1.8450000000000001E-2</v>
      </c>
      <c r="I16" s="401">
        <v>15.5</v>
      </c>
      <c r="J16" s="401">
        <v>20</v>
      </c>
      <c r="K16" s="401">
        <v>12.73</v>
      </c>
      <c r="L16" s="400">
        <v>48.23</v>
      </c>
      <c r="M16" s="401">
        <v>0.89</v>
      </c>
      <c r="N16" s="356"/>
    </row>
    <row r="17" spans="1:14" ht="15" customHeight="1">
      <c r="A17" s="356" t="s">
        <v>676</v>
      </c>
      <c r="B17" s="356" t="s">
        <v>131</v>
      </c>
      <c r="C17" s="355">
        <v>525117.92000000004</v>
      </c>
      <c r="D17" s="395">
        <v>45444</v>
      </c>
      <c r="E17" s="395">
        <v>45473</v>
      </c>
      <c r="F17" s="395">
        <v>45493</v>
      </c>
      <c r="G17" s="395">
        <v>45493</v>
      </c>
      <c r="H17" s="402">
        <v>0.18543000000000001</v>
      </c>
      <c r="I17" s="401">
        <v>15</v>
      </c>
      <c r="J17" s="401">
        <v>20</v>
      </c>
      <c r="K17" s="401">
        <v>12.73</v>
      </c>
      <c r="L17" s="400">
        <v>47.73</v>
      </c>
      <c r="M17" s="401">
        <v>8.85</v>
      </c>
      <c r="N17" s="356"/>
    </row>
    <row r="18" spans="1:14" ht="15" customHeight="1">
      <c r="A18" s="356" t="s">
        <v>676</v>
      </c>
      <c r="B18" s="356" t="s">
        <v>131</v>
      </c>
      <c r="C18" s="355">
        <v>60465.33</v>
      </c>
      <c r="D18" s="395">
        <v>45474</v>
      </c>
      <c r="E18" s="395">
        <v>45504</v>
      </c>
      <c r="F18" s="395">
        <v>45524</v>
      </c>
      <c r="G18" s="395">
        <v>45524</v>
      </c>
      <c r="H18" s="402">
        <v>2.1350000000000001E-2</v>
      </c>
      <c r="I18" s="401">
        <v>15.5</v>
      </c>
      <c r="J18" s="401">
        <v>20</v>
      </c>
      <c r="K18" s="401">
        <v>12.73</v>
      </c>
      <c r="L18" s="400">
        <v>48.23</v>
      </c>
      <c r="M18" s="401">
        <v>1.03</v>
      </c>
      <c r="N18" s="356"/>
    </row>
    <row r="19" spans="1:14" ht="15" customHeight="1">
      <c r="A19" s="356" t="s">
        <v>676</v>
      </c>
      <c r="B19" s="356" t="s">
        <v>131</v>
      </c>
      <c r="C19" s="355">
        <v>68400.17</v>
      </c>
      <c r="D19" s="395">
        <v>45505</v>
      </c>
      <c r="E19" s="395">
        <v>45535</v>
      </c>
      <c r="F19" s="395">
        <v>45555</v>
      </c>
      <c r="G19" s="395">
        <v>45555</v>
      </c>
      <c r="H19" s="402">
        <v>2.4150000000000001E-2</v>
      </c>
      <c r="I19" s="401">
        <v>15.5</v>
      </c>
      <c r="J19" s="401">
        <v>20</v>
      </c>
      <c r="K19" s="401">
        <v>12.73</v>
      </c>
      <c r="L19" s="400">
        <v>48.23</v>
      </c>
      <c r="M19" s="401">
        <v>1.1599999999999999</v>
      </c>
      <c r="N19" s="356"/>
    </row>
    <row r="20" spans="1:14" ht="15" customHeight="1">
      <c r="A20" s="356" t="s">
        <v>676</v>
      </c>
      <c r="B20" s="356" t="s">
        <v>131</v>
      </c>
      <c r="C20" s="355">
        <v>640144.18000000005</v>
      </c>
      <c r="D20" s="395">
        <v>45536</v>
      </c>
      <c r="E20" s="395">
        <v>45565</v>
      </c>
      <c r="F20" s="395">
        <v>45585</v>
      </c>
      <c r="G20" s="395">
        <v>45585</v>
      </c>
      <c r="H20" s="402">
        <v>0.22605</v>
      </c>
      <c r="I20" s="401">
        <v>15</v>
      </c>
      <c r="J20" s="401">
        <v>20</v>
      </c>
      <c r="K20" s="401">
        <v>12.73</v>
      </c>
      <c r="L20" s="400">
        <v>47.73</v>
      </c>
      <c r="M20" s="401">
        <v>10.79</v>
      </c>
      <c r="N20" s="356"/>
    </row>
    <row r="21" spans="1:14" ht="15" customHeight="1">
      <c r="A21" s="356" t="s">
        <v>676</v>
      </c>
      <c r="B21" s="356" t="s">
        <v>131</v>
      </c>
      <c r="C21" s="355">
        <v>57166.91</v>
      </c>
      <c r="D21" s="395">
        <v>45566</v>
      </c>
      <c r="E21" s="395">
        <v>45596</v>
      </c>
      <c r="F21" s="395">
        <v>45616</v>
      </c>
      <c r="G21" s="395">
        <v>45616</v>
      </c>
      <c r="H21" s="402">
        <v>2.019E-2</v>
      </c>
      <c r="I21" s="401">
        <v>15.5</v>
      </c>
      <c r="J21" s="401">
        <v>20</v>
      </c>
      <c r="K21" s="401">
        <v>12.73</v>
      </c>
      <c r="L21" s="400">
        <v>48.23</v>
      </c>
      <c r="M21" s="401">
        <v>0.97</v>
      </c>
      <c r="N21" s="356"/>
    </row>
    <row r="22" spans="1:14" ht="15" customHeight="1">
      <c r="A22" s="356" t="s">
        <v>676</v>
      </c>
      <c r="B22" s="356" t="s">
        <v>131</v>
      </c>
      <c r="C22" s="355">
        <v>47957.96</v>
      </c>
      <c r="D22" s="395">
        <v>45597</v>
      </c>
      <c r="E22" s="395">
        <v>45626</v>
      </c>
      <c r="F22" s="395">
        <v>45646</v>
      </c>
      <c r="G22" s="395">
        <v>45646</v>
      </c>
      <c r="H22" s="402">
        <v>1.6930000000000001E-2</v>
      </c>
      <c r="I22" s="401">
        <v>15</v>
      </c>
      <c r="J22" s="401">
        <v>20</v>
      </c>
      <c r="K22" s="401">
        <v>12.73</v>
      </c>
      <c r="L22" s="400">
        <v>47.73</v>
      </c>
      <c r="M22" s="401">
        <v>0.81</v>
      </c>
      <c r="N22" s="356"/>
    </row>
    <row r="23" spans="1:14" ht="15" customHeight="1">
      <c r="A23" s="356" t="s">
        <v>676</v>
      </c>
      <c r="B23" s="356" t="s">
        <v>131</v>
      </c>
      <c r="C23" s="355">
        <v>527552.24</v>
      </c>
      <c r="D23" s="395">
        <v>45627</v>
      </c>
      <c r="E23" s="395">
        <v>45657</v>
      </c>
      <c r="F23" s="395">
        <v>45677</v>
      </c>
      <c r="G23" s="395">
        <v>45677</v>
      </c>
      <c r="H23" s="402">
        <v>0.18629000000000001</v>
      </c>
      <c r="I23" s="401">
        <v>15.5</v>
      </c>
      <c r="J23" s="401">
        <v>20</v>
      </c>
      <c r="K23" s="401">
        <v>12.73</v>
      </c>
      <c r="L23" s="400">
        <v>48.23</v>
      </c>
      <c r="M23" s="401">
        <v>8.98</v>
      </c>
      <c r="N23" s="356"/>
    </row>
    <row r="24" spans="1:14" ht="15" customHeight="1">
      <c r="A24" s="356" t="s">
        <v>676</v>
      </c>
      <c r="B24" s="356" t="s">
        <v>131</v>
      </c>
      <c r="C24" s="355">
        <v>72816.27</v>
      </c>
      <c r="D24" s="395">
        <v>45658</v>
      </c>
      <c r="E24" s="395">
        <v>45688</v>
      </c>
      <c r="F24" s="395">
        <v>45708</v>
      </c>
      <c r="G24" s="395">
        <v>45708</v>
      </c>
      <c r="H24" s="402">
        <v>2.571E-2</v>
      </c>
      <c r="I24" s="401">
        <v>15.5</v>
      </c>
      <c r="J24" s="401">
        <v>20</v>
      </c>
      <c r="K24" s="401">
        <v>12.73</v>
      </c>
      <c r="L24" s="400">
        <v>48.23</v>
      </c>
      <c r="M24" s="401">
        <v>1.24</v>
      </c>
      <c r="N24" s="356"/>
    </row>
    <row r="25" spans="1:14" ht="15" customHeight="1">
      <c r="A25" s="356" t="s">
        <v>676</v>
      </c>
      <c r="B25" s="356" t="s">
        <v>131</v>
      </c>
      <c r="C25" s="355">
        <v>81727.45</v>
      </c>
      <c r="D25" s="395">
        <v>45689</v>
      </c>
      <c r="E25" s="395">
        <v>45716</v>
      </c>
      <c r="F25" s="395">
        <v>45736</v>
      </c>
      <c r="G25" s="395">
        <v>45736</v>
      </c>
      <c r="H25" s="402">
        <v>2.886E-2</v>
      </c>
      <c r="I25" s="401">
        <v>14</v>
      </c>
      <c r="J25" s="401">
        <v>20</v>
      </c>
      <c r="K25" s="401">
        <v>12.73</v>
      </c>
      <c r="L25" s="400">
        <v>46.73</v>
      </c>
      <c r="M25" s="401">
        <v>1.35</v>
      </c>
      <c r="N25" s="356"/>
    </row>
    <row r="26" spans="1:14" ht="15" customHeight="1">
      <c r="A26" s="356" t="s">
        <v>676</v>
      </c>
      <c r="B26" s="356" t="s">
        <v>131</v>
      </c>
      <c r="C26" s="354">
        <v>644390.96</v>
      </c>
      <c r="D26" s="395">
        <v>45717</v>
      </c>
      <c r="E26" s="395">
        <v>45747</v>
      </c>
      <c r="F26" s="395">
        <v>45767</v>
      </c>
      <c r="G26" s="395">
        <v>45767</v>
      </c>
      <c r="H26" s="402">
        <v>0.22755</v>
      </c>
      <c r="I26" s="401">
        <v>15.5</v>
      </c>
      <c r="J26" s="401">
        <v>20</v>
      </c>
      <c r="K26" s="401">
        <v>12.73</v>
      </c>
      <c r="L26" s="400">
        <v>48.23</v>
      </c>
      <c r="M26" s="405">
        <v>10.97</v>
      </c>
      <c r="N26" s="356"/>
    </row>
    <row r="27" spans="1:14" ht="15" customHeight="1" thickBot="1">
      <c r="A27" s="356"/>
      <c r="B27" s="356"/>
      <c r="C27" s="398">
        <v>2831912.69</v>
      </c>
      <c r="D27" s="395"/>
      <c r="E27" s="395"/>
      <c r="F27" s="395"/>
      <c r="G27" s="395"/>
      <c r="H27" s="356"/>
      <c r="I27" s="356"/>
      <c r="J27" s="356"/>
      <c r="K27" s="356"/>
      <c r="L27" s="356"/>
      <c r="M27" s="397">
        <v>47.96</v>
      </c>
      <c r="N27" s="356"/>
    </row>
    <row r="28" spans="1:14" ht="15" customHeight="1" thickTop="1">
      <c r="A28" s="356"/>
      <c r="B28" s="356"/>
      <c r="C28" s="351"/>
      <c r="D28" s="395"/>
      <c r="E28" s="395"/>
      <c r="F28" s="395"/>
      <c r="G28" s="395"/>
      <c r="H28" s="356"/>
      <c r="I28" s="356"/>
      <c r="J28" s="356"/>
      <c r="K28" s="356"/>
      <c r="L28" s="356"/>
      <c r="M28" s="351"/>
      <c r="N28" s="356"/>
    </row>
    <row r="29" spans="1:14" ht="15" customHeight="1">
      <c r="A29" s="356"/>
      <c r="B29" s="356"/>
      <c r="C29" s="356"/>
      <c r="D29" s="395"/>
      <c r="E29" s="395"/>
      <c r="F29" s="395"/>
      <c r="G29" s="395"/>
      <c r="H29" s="356"/>
      <c r="I29" s="356"/>
      <c r="J29" s="356"/>
      <c r="K29" s="356"/>
      <c r="L29" s="356"/>
      <c r="M29" s="356"/>
      <c r="N29" s="356"/>
    </row>
    <row r="30" spans="1:14" ht="15" customHeight="1">
      <c r="A30" s="356"/>
      <c r="B30" s="356"/>
      <c r="C30" s="356"/>
      <c r="D30" s="395"/>
      <c r="E30" s="395"/>
      <c r="F30" s="395"/>
      <c r="G30" s="395"/>
      <c r="H30" s="356"/>
      <c r="I30" s="356"/>
      <c r="J30" s="356"/>
      <c r="K30" s="356"/>
      <c r="L30" s="356"/>
      <c r="M30" s="356"/>
      <c r="N30" s="356"/>
    </row>
    <row r="31" spans="1:14" ht="15" customHeight="1">
      <c r="A31" s="356" t="s">
        <v>637</v>
      </c>
      <c r="B31" s="356"/>
      <c r="C31" s="356"/>
      <c r="D31" s="395"/>
      <c r="E31" s="395"/>
      <c r="F31" s="395"/>
      <c r="G31" s="395"/>
      <c r="H31" s="356"/>
      <c r="I31" s="356"/>
      <c r="J31" s="356"/>
      <c r="K31" s="356"/>
      <c r="L31" s="356"/>
      <c r="M31" s="356"/>
      <c r="N31" s="356"/>
    </row>
    <row r="32" spans="1:14" ht="15" customHeight="1">
      <c r="A32" s="356" t="s">
        <v>674</v>
      </c>
      <c r="B32" s="356" t="s">
        <v>673</v>
      </c>
      <c r="C32" s="356" t="s">
        <v>93</v>
      </c>
      <c r="D32" s="395" t="s">
        <v>672</v>
      </c>
      <c r="E32" s="395" t="s">
        <v>671</v>
      </c>
      <c r="F32" s="395" t="s">
        <v>670</v>
      </c>
      <c r="G32" s="395" t="s">
        <v>669</v>
      </c>
      <c r="H32" s="356" t="s">
        <v>668</v>
      </c>
      <c r="I32" s="356" t="s">
        <v>667</v>
      </c>
      <c r="J32" s="356" t="s">
        <v>666</v>
      </c>
      <c r="K32" s="356" t="s">
        <v>665</v>
      </c>
      <c r="L32" s="356" t="s">
        <v>664</v>
      </c>
      <c r="M32" s="356" t="s">
        <v>663</v>
      </c>
      <c r="N32" s="356"/>
    </row>
    <row r="33" spans="1:14" ht="15" customHeight="1">
      <c r="A33" s="356" t="s">
        <v>662</v>
      </c>
      <c r="B33" s="356" t="s">
        <v>661</v>
      </c>
      <c r="C33" s="356" t="s">
        <v>660</v>
      </c>
      <c r="D33" s="395" t="s">
        <v>659</v>
      </c>
      <c r="E33" s="395" t="s">
        <v>658</v>
      </c>
      <c r="F33" s="395" t="s">
        <v>657</v>
      </c>
      <c r="G33" s="395" t="s">
        <v>656</v>
      </c>
      <c r="H33" s="356" t="s">
        <v>655</v>
      </c>
      <c r="I33" s="356" t="s">
        <v>654</v>
      </c>
      <c r="J33" s="356" t="s">
        <v>653</v>
      </c>
      <c r="K33" s="356" t="s">
        <v>652</v>
      </c>
      <c r="L33" s="356" t="s">
        <v>651</v>
      </c>
      <c r="M33" s="356" t="s">
        <v>650</v>
      </c>
      <c r="N33" s="356"/>
    </row>
    <row r="34" spans="1:14" ht="15" customHeight="1">
      <c r="A34" s="356" t="s">
        <v>649</v>
      </c>
      <c r="B34" s="356" t="s">
        <v>648</v>
      </c>
      <c r="C34" s="404">
        <v>950512.86</v>
      </c>
      <c r="D34" s="395">
        <v>45383</v>
      </c>
      <c r="E34" s="395">
        <v>45412</v>
      </c>
      <c r="F34" s="395">
        <v>45432</v>
      </c>
      <c r="G34" s="395">
        <v>45432</v>
      </c>
      <c r="H34" s="402">
        <v>7.0629999999999998E-2</v>
      </c>
      <c r="I34" s="401">
        <v>15</v>
      </c>
      <c r="J34" s="401">
        <v>20</v>
      </c>
      <c r="K34" s="401">
        <v>0</v>
      </c>
      <c r="L34" s="366">
        <v>35</v>
      </c>
      <c r="M34" s="401">
        <v>2.4700000000000002</v>
      </c>
      <c r="N34" s="356"/>
    </row>
    <row r="35" spans="1:14" ht="15" customHeight="1">
      <c r="A35" s="356" t="s">
        <v>649</v>
      </c>
      <c r="B35" s="356" t="s">
        <v>648</v>
      </c>
      <c r="C35" s="355">
        <v>922942.98</v>
      </c>
      <c r="D35" s="395">
        <v>45413</v>
      </c>
      <c r="E35" s="395">
        <v>45443</v>
      </c>
      <c r="F35" s="395">
        <v>45463</v>
      </c>
      <c r="G35" s="395">
        <v>45463</v>
      </c>
      <c r="H35" s="402">
        <v>6.8580000000000002E-2</v>
      </c>
      <c r="I35" s="401">
        <v>15.5</v>
      </c>
      <c r="J35" s="401">
        <v>20</v>
      </c>
      <c r="K35" s="401">
        <v>0</v>
      </c>
      <c r="L35" s="400">
        <v>35.5</v>
      </c>
      <c r="M35" s="401">
        <v>2.4300000000000002</v>
      </c>
      <c r="N35" s="356"/>
    </row>
    <row r="36" spans="1:14" ht="15" customHeight="1">
      <c r="A36" s="356" t="s">
        <v>649</v>
      </c>
      <c r="B36" s="356" t="s">
        <v>648</v>
      </c>
      <c r="C36" s="355">
        <v>970193.22</v>
      </c>
      <c r="D36" s="395">
        <v>45444</v>
      </c>
      <c r="E36" s="395">
        <v>45473</v>
      </c>
      <c r="F36" s="395">
        <v>45492</v>
      </c>
      <c r="G36" s="395">
        <v>45492</v>
      </c>
      <c r="H36" s="402">
        <v>7.2099999999999997E-2</v>
      </c>
      <c r="I36" s="401">
        <v>15</v>
      </c>
      <c r="J36" s="401">
        <v>19</v>
      </c>
      <c r="K36" s="401">
        <v>0</v>
      </c>
      <c r="L36" s="366">
        <v>34</v>
      </c>
      <c r="M36" s="401">
        <v>2.4500000000000002</v>
      </c>
      <c r="N36" s="356"/>
    </row>
    <row r="37" spans="1:14" ht="15" customHeight="1">
      <c r="A37" s="356" t="s">
        <v>649</v>
      </c>
      <c r="B37" s="356" t="s">
        <v>648</v>
      </c>
      <c r="C37" s="355">
        <v>1102229.81</v>
      </c>
      <c r="D37" s="395">
        <v>45474</v>
      </c>
      <c r="E37" s="395">
        <v>45504</v>
      </c>
      <c r="F37" s="395">
        <v>45524</v>
      </c>
      <c r="G37" s="395">
        <v>45524</v>
      </c>
      <c r="H37" s="402">
        <v>8.1909999999999997E-2</v>
      </c>
      <c r="I37" s="401">
        <v>15.5</v>
      </c>
      <c r="J37" s="401">
        <v>20</v>
      </c>
      <c r="K37" s="401">
        <v>0</v>
      </c>
      <c r="L37" s="400">
        <v>35.5</v>
      </c>
      <c r="M37" s="401">
        <v>2.91</v>
      </c>
      <c r="N37" s="356"/>
    </row>
    <row r="38" spans="1:14" ht="15" customHeight="1">
      <c r="A38" s="356" t="s">
        <v>649</v>
      </c>
      <c r="B38" s="356" t="s">
        <v>648</v>
      </c>
      <c r="C38" s="355">
        <v>1136889.26</v>
      </c>
      <c r="D38" s="395">
        <v>45505</v>
      </c>
      <c r="E38" s="395">
        <v>45535</v>
      </c>
      <c r="F38" s="395">
        <v>45555</v>
      </c>
      <c r="G38" s="395">
        <v>45555</v>
      </c>
      <c r="H38" s="402">
        <v>8.448E-2</v>
      </c>
      <c r="I38" s="401">
        <v>15.5</v>
      </c>
      <c r="J38" s="401">
        <v>20</v>
      </c>
      <c r="K38" s="401">
        <v>0</v>
      </c>
      <c r="L38" s="400">
        <v>35.5</v>
      </c>
      <c r="M38" s="401">
        <v>3</v>
      </c>
      <c r="N38" s="356"/>
    </row>
    <row r="39" spans="1:14" ht="15" customHeight="1">
      <c r="A39" s="356" t="s">
        <v>649</v>
      </c>
      <c r="B39" s="356" t="s">
        <v>648</v>
      </c>
      <c r="C39" s="355">
        <v>1044372.48</v>
      </c>
      <c r="D39" s="395">
        <v>45536</v>
      </c>
      <c r="E39" s="395">
        <v>45565</v>
      </c>
      <c r="F39" s="395">
        <v>45583</v>
      </c>
      <c r="G39" s="395">
        <v>45583</v>
      </c>
      <c r="H39" s="402">
        <v>7.7609999999999998E-2</v>
      </c>
      <c r="I39" s="401">
        <v>15</v>
      </c>
      <c r="J39" s="401">
        <v>18</v>
      </c>
      <c r="K39" s="401">
        <v>0</v>
      </c>
      <c r="L39" s="366">
        <v>33</v>
      </c>
      <c r="M39" s="401">
        <v>2.56</v>
      </c>
      <c r="N39" s="356"/>
    </row>
    <row r="40" spans="1:14" ht="15" customHeight="1">
      <c r="A40" s="356" t="s">
        <v>649</v>
      </c>
      <c r="B40" s="356" t="s">
        <v>648</v>
      </c>
      <c r="C40" s="400">
        <v>909721.77</v>
      </c>
      <c r="D40" s="395">
        <v>45566</v>
      </c>
      <c r="E40" s="395">
        <v>45596</v>
      </c>
      <c r="F40" s="395">
        <v>45616</v>
      </c>
      <c r="G40" s="395">
        <v>45616</v>
      </c>
      <c r="H40" s="402">
        <v>6.7599999999999993E-2</v>
      </c>
      <c r="I40" s="401">
        <v>15.5</v>
      </c>
      <c r="J40" s="401">
        <v>20</v>
      </c>
      <c r="K40" s="401">
        <v>0</v>
      </c>
      <c r="L40" s="400">
        <v>35.5</v>
      </c>
      <c r="M40" s="400">
        <v>2.4</v>
      </c>
      <c r="N40" s="356"/>
    </row>
    <row r="41" spans="1:14" ht="15" customHeight="1">
      <c r="A41" s="356" t="s">
        <v>649</v>
      </c>
      <c r="B41" s="356" t="s">
        <v>648</v>
      </c>
      <c r="C41" s="400">
        <v>880152.31</v>
      </c>
      <c r="D41" s="395">
        <v>45597</v>
      </c>
      <c r="E41" s="395">
        <v>45626</v>
      </c>
      <c r="F41" s="395">
        <v>45646</v>
      </c>
      <c r="G41" s="395">
        <v>45646</v>
      </c>
      <c r="H41" s="402">
        <v>6.54E-2</v>
      </c>
      <c r="I41" s="401">
        <v>15</v>
      </c>
      <c r="J41" s="401">
        <v>20</v>
      </c>
      <c r="K41" s="401">
        <v>0</v>
      </c>
      <c r="L41" s="366">
        <v>35</v>
      </c>
      <c r="M41" s="400">
        <v>2.29</v>
      </c>
      <c r="N41" s="356"/>
    </row>
    <row r="42" spans="1:14" ht="15" customHeight="1">
      <c r="A42" s="365" t="s">
        <v>649</v>
      </c>
      <c r="B42" s="356" t="s">
        <v>648</v>
      </c>
      <c r="C42" s="400">
        <v>1243651.73</v>
      </c>
      <c r="D42" s="395">
        <v>45627</v>
      </c>
      <c r="E42" s="395">
        <v>45657</v>
      </c>
      <c r="F42" s="395">
        <v>45678</v>
      </c>
      <c r="G42" s="395">
        <v>45678</v>
      </c>
      <c r="H42" s="402">
        <v>9.2420000000000002E-2</v>
      </c>
      <c r="I42" s="401">
        <v>15.5</v>
      </c>
      <c r="J42" s="401">
        <v>21</v>
      </c>
      <c r="K42" s="401">
        <v>0</v>
      </c>
      <c r="L42" s="400">
        <v>36.5</v>
      </c>
      <c r="M42" s="400">
        <v>3.37</v>
      </c>
      <c r="N42" s="356"/>
    </row>
    <row r="43" spans="1:14" ht="15" customHeight="1">
      <c r="A43" s="403" t="s">
        <v>649</v>
      </c>
      <c r="B43" s="380" t="s">
        <v>648</v>
      </c>
      <c r="C43" s="400">
        <v>1548338.53</v>
      </c>
      <c r="D43" s="395">
        <v>45658</v>
      </c>
      <c r="E43" s="395">
        <v>45688</v>
      </c>
      <c r="F43" s="395">
        <v>45708</v>
      </c>
      <c r="G43" s="395">
        <v>45708</v>
      </c>
      <c r="H43" s="402">
        <v>0.11506</v>
      </c>
      <c r="I43" s="401">
        <v>15.5</v>
      </c>
      <c r="J43" s="401">
        <v>20</v>
      </c>
      <c r="K43" s="401">
        <v>0</v>
      </c>
      <c r="L43" s="400">
        <v>35.5</v>
      </c>
      <c r="M43" s="400">
        <v>4.08</v>
      </c>
      <c r="N43" s="356"/>
    </row>
    <row r="44" spans="1:14" ht="15" customHeight="1">
      <c r="A44" s="360" t="s">
        <v>649</v>
      </c>
      <c r="B44" s="356" t="s">
        <v>648</v>
      </c>
      <c r="C44" s="400">
        <v>1479093.77</v>
      </c>
      <c r="D44" s="395">
        <v>45689</v>
      </c>
      <c r="E44" s="395">
        <v>45716</v>
      </c>
      <c r="F44" s="395">
        <v>45736</v>
      </c>
      <c r="G44" s="395">
        <v>45736</v>
      </c>
      <c r="H44" s="402">
        <v>0.10990999999999999</v>
      </c>
      <c r="I44" s="401">
        <v>14</v>
      </c>
      <c r="J44" s="401">
        <v>20</v>
      </c>
      <c r="K44" s="401">
        <v>0</v>
      </c>
      <c r="L44" s="366">
        <v>34</v>
      </c>
      <c r="M44" s="400">
        <v>3.74</v>
      </c>
      <c r="N44" s="356"/>
    </row>
    <row r="45" spans="1:14" ht="15" customHeight="1">
      <c r="A45" s="356" t="s">
        <v>649</v>
      </c>
      <c r="B45" s="356" t="s">
        <v>648</v>
      </c>
      <c r="C45" s="399">
        <v>1268860.8600000001</v>
      </c>
      <c r="D45" s="395">
        <v>45717</v>
      </c>
      <c r="E45" s="395">
        <v>45747</v>
      </c>
      <c r="F45" s="395">
        <v>45765</v>
      </c>
      <c r="G45" s="395">
        <v>45765</v>
      </c>
      <c r="H45" s="402">
        <v>9.4289999999999999E-2</v>
      </c>
      <c r="I45" s="401">
        <v>15.5</v>
      </c>
      <c r="J45" s="401">
        <v>18</v>
      </c>
      <c r="K45" s="401">
        <v>0</v>
      </c>
      <c r="L45" s="400">
        <v>33.5</v>
      </c>
      <c r="M45" s="399">
        <v>3.16</v>
      </c>
      <c r="N45" s="356"/>
    </row>
    <row r="46" spans="1:14" ht="15" customHeight="1" thickBot="1">
      <c r="A46" s="356"/>
      <c r="B46" s="356"/>
      <c r="C46" s="398">
        <v>13456959.58</v>
      </c>
      <c r="D46" s="395"/>
      <c r="E46" s="395"/>
      <c r="F46" s="395"/>
      <c r="G46" s="395"/>
      <c r="H46" s="356"/>
      <c r="I46" s="356"/>
      <c r="J46" s="356"/>
      <c r="K46" s="356"/>
      <c r="L46" s="356"/>
      <c r="M46" s="397">
        <v>34.869999999999997</v>
      </c>
      <c r="N46" s="356"/>
    </row>
    <row r="47" spans="1:14" ht="15" customHeight="1" thickTop="1">
      <c r="A47" s="356"/>
      <c r="B47" s="356"/>
      <c r="C47" s="351"/>
      <c r="D47" s="395"/>
      <c r="E47" s="395"/>
      <c r="F47" s="395"/>
      <c r="G47" s="395"/>
      <c r="H47" s="356"/>
      <c r="I47" s="356"/>
      <c r="J47" s="356"/>
      <c r="K47" s="356"/>
      <c r="L47" s="356"/>
      <c r="M47" s="351"/>
      <c r="N47" s="356"/>
    </row>
    <row r="48" spans="1:14" ht="15" customHeight="1">
      <c r="A48" s="356"/>
      <c r="B48" s="356"/>
      <c r="C48" s="356"/>
      <c r="D48" s="395"/>
      <c r="E48" s="395"/>
      <c r="F48" s="395"/>
      <c r="G48" s="395"/>
      <c r="H48" s="356"/>
      <c r="I48" s="356"/>
      <c r="J48" s="356"/>
      <c r="K48" s="356"/>
      <c r="L48" s="356"/>
      <c r="M48" s="356"/>
      <c r="N48" s="356"/>
    </row>
    <row r="49" spans="1:14" ht="15" customHeight="1">
      <c r="A49" s="356" t="s">
        <v>675</v>
      </c>
      <c r="B49" s="356"/>
      <c r="C49" s="356"/>
      <c r="D49" s="395"/>
      <c r="E49" s="395"/>
      <c r="F49" s="395"/>
      <c r="G49" s="395"/>
      <c r="H49" s="356"/>
      <c r="I49" s="356"/>
      <c r="J49" s="356"/>
      <c r="K49" s="356"/>
      <c r="L49" s="356"/>
      <c r="M49" s="356"/>
      <c r="N49" s="356"/>
    </row>
    <row r="50" spans="1:14" ht="15" customHeight="1">
      <c r="A50" s="356" t="s">
        <v>674</v>
      </c>
      <c r="B50" s="356" t="s">
        <v>673</v>
      </c>
      <c r="C50" s="356" t="s">
        <v>93</v>
      </c>
      <c r="D50" s="395" t="s">
        <v>672</v>
      </c>
      <c r="E50" s="395" t="s">
        <v>671</v>
      </c>
      <c r="F50" s="395" t="s">
        <v>670</v>
      </c>
      <c r="G50" s="395" t="s">
        <v>669</v>
      </c>
      <c r="H50" s="356" t="s">
        <v>668</v>
      </c>
      <c r="I50" s="356" t="s">
        <v>667</v>
      </c>
      <c r="J50" s="356" t="s">
        <v>666</v>
      </c>
      <c r="K50" s="356" t="s">
        <v>665</v>
      </c>
      <c r="L50" s="356" t="s">
        <v>664</v>
      </c>
      <c r="M50" s="356" t="s">
        <v>663</v>
      </c>
      <c r="N50" s="356"/>
    </row>
    <row r="51" spans="1:14" ht="15" customHeight="1">
      <c r="A51" s="356" t="s">
        <v>662</v>
      </c>
      <c r="B51" s="356" t="s">
        <v>661</v>
      </c>
      <c r="C51" s="356" t="s">
        <v>660</v>
      </c>
      <c r="D51" s="395" t="s">
        <v>659</v>
      </c>
      <c r="E51" s="395" t="s">
        <v>658</v>
      </c>
      <c r="F51" s="395" t="s">
        <v>657</v>
      </c>
      <c r="G51" s="395" t="s">
        <v>656</v>
      </c>
      <c r="H51" s="356" t="s">
        <v>655</v>
      </c>
      <c r="I51" s="356" t="s">
        <v>654</v>
      </c>
      <c r="J51" s="356" t="s">
        <v>653</v>
      </c>
      <c r="K51" s="356" t="s">
        <v>652</v>
      </c>
      <c r="L51" s="356" t="s">
        <v>651</v>
      </c>
      <c r="M51" s="356" t="s">
        <v>650</v>
      </c>
      <c r="N51" s="356"/>
    </row>
    <row r="52" spans="1:14" ht="15" customHeight="1">
      <c r="A52" s="356" t="s">
        <v>649</v>
      </c>
      <c r="B52" s="356" t="s">
        <v>648</v>
      </c>
      <c r="C52" s="404">
        <v>786419.88</v>
      </c>
      <c r="D52" s="395">
        <v>45383</v>
      </c>
      <c r="E52" s="395">
        <v>45412</v>
      </c>
      <c r="F52" s="395">
        <v>45436</v>
      </c>
      <c r="G52" s="395">
        <v>45436</v>
      </c>
      <c r="H52" s="402">
        <v>7.7329999999999996E-2</v>
      </c>
      <c r="I52" s="401">
        <v>15</v>
      </c>
      <c r="J52" s="401">
        <v>24</v>
      </c>
      <c r="K52" s="401">
        <v>0</v>
      </c>
      <c r="L52" s="366">
        <v>39</v>
      </c>
      <c r="M52" s="401">
        <v>3.02</v>
      </c>
      <c r="N52" s="356"/>
    </row>
    <row r="53" spans="1:14" ht="15" customHeight="1">
      <c r="A53" s="356" t="s">
        <v>649</v>
      </c>
      <c r="B53" s="356" t="s">
        <v>648</v>
      </c>
      <c r="C53" s="355">
        <v>998967.28</v>
      </c>
      <c r="D53" s="395">
        <v>45413</v>
      </c>
      <c r="E53" s="395">
        <v>45443</v>
      </c>
      <c r="F53" s="395">
        <v>45468</v>
      </c>
      <c r="G53" s="395">
        <v>45468</v>
      </c>
      <c r="H53" s="402">
        <v>9.8239999999999994E-2</v>
      </c>
      <c r="I53" s="401">
        <v>15.5</v>
      </c>
      <c r="J53" s="401">
        <v>25</v>
      </c>
      <c r="K53" s="401">
        <v>0</v>
      </c>
      <c r="L53" s="400">
        <v>40.5</v>
      </c>
      <c r="M53" s="401">
        <v>3.98</v>
      </c>
      <c r="N53" s="356"/>
    </row>
    <row r="54" spans="1:14" ht="15" customHeight="1">
      <c r="A54" s="356" t="s">
        <v>649</v>
      </c>
      <c r="B54" s="356" t="s">
        <v>648</v>
      </c>
      <c r="C54" s="355">
        <v>682146.9</v>
      </c>
      <c r="D54" s="395">
        <v>45444</v>
      </c>
      <c r="E54" s="395">
        <v>45473</v>
      </c>
      <c r="F54" s="395">
        <v>45498</v>
      </c>
      <c r="G54" s="395">
        <v>45498</v>
      </c>
      <c r="H54" s="402">
        <v>6.7080000000000001E-2</v>
      </c>
      <c r="I54" s="401">
        <v>15</v>
      </c>
      <c r="J54" s="401">
        <v>25</v>
      </c>
      <c r="K54" s="401">
        <v>0</v>
      </c>
      <c r="L54" s="366">
        <v>40</v>
      </c>
      <c r="M54" s="401">
        <v>2.68</v>
      </c>
      <c r="N54" s="356"/>
    </row>
    <row r="55" spans="1:14" ht="15" customHeight="1">
      <c r="A55" s="356" t="s">
        <v>649</v>
      </c>
      <c r="B55" s="356" t="s">
        <v>648</v>
      </c>
      <c r="C55" s="355">
        <v>479197.26</v>
      </c>
      <c r="D55" s="395">
        <v>45474</v>
      </c>
      <c r="E55" s="395">
        <v>45504</v>
      </c>
      <c r="F55" s="395">
        <v>45527</v>
      </c>
      <c r="G55" s="395">
        <v>45527</v>
      </c>
      <c r="H55" s="402">
        <v>4.7120000000000002E-2</v>
      </c>
      <c r="I55" s="401">
        <v>15.5</v>
      </c>
      <c r="J55" s="401">
        <v>23</v>
      </c>
      <c r="K55" s="401">
        <v>0</v>
      </c>
      <c r="L55" s="400">
        <v>38.5</v>
      </c>
      <c r="M55" s="401">
        <v>1.81</v>
      </c>
      <c r="N55" s="356"/>
    </row>
    <row r="56" spans="1:14" ht="15" customHeight="1">
      <c r="A56" s="356" t="s">
        <v>649</v>
      </c>
      <c r="B56" s="356" t="s">
        <v>648</v>
      </c>
      <c r="C56" s="355">
        <v>1079427.8</v>
      </c>
      <c r="D56" s="395">
        <v>45505</v>
      </c>
      <c r="E56" s="395">
        <v>45535</v>
      </c>
      <c r="F56" s="395">
        <v>45560</v>
      </c>
      <c r="G56" s="395">
        <v>45560</v>
      </c>
      <c r="H56" s="402">
        <v>0.10614999999999999</v>
      </c>
      <c r="I56" s="401">
        <v>15.5</v>
      </c>
      <c r="J56" s="401">
        <v>25</v>
      </c>
      <c r="K56" s="401">
        <v>0</v>
      </c>
      <c r="L56" s="400">
        <v>40.5</v>
      </c>
      <c r="M56" s="401">
        <v>4.3</v>
      </c>
      <c r="N56" s="356"/>
    </row>
    <row r="57" spans="1:14" ht="15" customHeight="1">
      <c r="A57" s="356" t="s">
        <v>649</v>
      </c>
      <c r="B57" s="356" t="s">
        <v>648</v>
      </c>
      <c r="C57" s="355">
        <v>750717.2</v>
      </c>
      <c r="D57" s="395">
        <v>45536</v>
      </c>
      <c r="E57" s="395">
        <v>45565</v>
      </c>
      <c r="F57" s="395">
        <v>45590</v>
      </c>
      <c r="G57" s="395">
        <v>45590</v>
      </c>
      <c r="H57" s="402">
        <v>7.3819999999999997E-2</v>
      </c>
      <c r="I57" s="401">
        <v>15</v>
      </c>
      <c r="J57" s="401">
        <v>25</v>
      </c>
      <c r="K57" s="401">
        <v>0</v>
      </c>
      <c r="L57" s="366">
        <v>40</v>
      </c>
      <c r="M57" s="401">
        <v>2.95</v>
      </c>
      <c r="N57" s="356"/>
    </row>
    <row r="58" spans="1:14" ht="15" customHeight="1">
      <c r="A58" s="356" t="s">
        <v>649</v>
      </c>
      <c r="B58" s="356" t="s">
        <v>648</v>
      </c>
      <c r="C58" s="355">
        <v>525978.43999999994</v>
      </c>
      <c r="D58" s="395">
        <v>45566</v>
      </c>
      <c r="E58" s="395">
        <v>45596</v>
      </c>
      <c r="F58" s="395">
        <v>45621</v>
      </c>
      <c r="G58" s="395">
        <v>45621</v>
      </c>
      <c r="H58" s="402">
        <v>5.1720000000000002E-2</v>
      </c>
      <c r="I58" s="401">
        <v>15.5</v>
      </c>
      <c r="J58" s="401">
        <v>25</v>
      </c>
      <c r="K58" s="401">
        <v>0</v>
      </c>
      <c r="L58" s="400">
        <v>40.5</v>
      </c>
      <c r="M58" s="401">
        <v>2.09</v>
      </c>
      <c r="N58" s="356"/>
    </row>
    <row r="59" spans="1:14" ht="15" customHeight="1">
      <c r="A59" s="356" t="s">
        <v>649</v>
      </c>
      <c r="B59" s="356" t="s">
        <v>648</v>
      </c>
      <c r="C59" s="400">
        <v>883404.4</v>
      </c>
      <c r="D59" s="395">
        <v>45597</v>
      </c>
      <c r="E59" s="395">
        <v>45626</v>
      </c>
      <c r="F59" s="395">
        <v>45650</v>
      </c>
      <c r="G59" s="395">
        <v>45650</v>
      </c>
      <c r="H59" s="402">
        <v>8.6870000000000003E-2</v>
      </c>
      <c r="I59" s="401">
        <v>15</v>
      </c>
      <c r="J59" s="401">
        <v>24</v>
      </c>
      <c r="K59" s="401">
        <v>0</v>
      </c>
      <c r="L59" s="366">
        <v>39</v>
      </c>
      <c r="M59" s="400">
        <v>3.39</v>
      </c>
      <c r="N59" s="356"/>
    </row>
    <row r="60" spans="1:14" ht="15" customHeight="1">
      <c r="A60" s="365" t="s">
        <v>649</v>
      </c>
      <c r="B60" s="356" t="s">
        <v>648</v>
      </c>
      <c r="C60" s="400">
        <v>966221.7</v>
      </c>
      <c r="D60" s="395">
        <v>45627</v>
      </c>
      <c r="E60" s="395">
        <v>45657</v>
      </c>
      <c r="F60" s="395">
        <v>45684</v>
      </c>
      <c r="G60" s="395">
        <v>45684</v>
      </c>
      <c r="H60" s="402">
        <v>9.5019999999999993E-2</v>
      </c>
      <c r="I60" s="401">
        <v>15.5</v>
      </c>
      <c r="J60" s="401">
        <v>27</v>
      </c>
      <c r="K60" s="401">
        <v>0</v>
      </c>
      <c r="L60" s="400">
        <v>42.5</v>
      </c>
      <c r="M60" s="400">
        <v>4.04</v>
      </c>
      <c r="N60" s="356"/>
    </row>
    <row r="61" spans="1:14" ht="15" customHeight="1">
      <c r="A61" s="403" t="s">
        <v>649</v>
      </c>
      <c r="B61" s="380" t="s">
        <v>648</v>
      </c>
      <c r="C61" s="400">
        <v>1051105.98</v>
      </c>
      <c r="D61" s="395">
        <v>45658</v>
      </c>
      <c r="E61" s="395">
        <v>45688</v>
      </c>
      <c r="F61" s="395">
        <v>45713</v>
      </c>
      <c r="G61" s="395">
        <v>45713</v>
      </c>
      <c r="H61" s="402">
        <v>0.10335999999999999</v>
      </c>
      <c r="I61" s="401">
        <v>15.5</v>
      </c>
      <c r="J61" s="401">
        <v>25</v>
      </c>
      <c r="K61" s="401">
        <v>0</v>
      </c>
      <c r="L61" s="400">
        <v>40.5</v>
      </c>
      <c r="M61" s="400">
        <v>4.1900000000000004</v>
      </c>
      <c r="N61" s="356"/>
    </row>
    <row r="62" spans="1:14" ht="15" customHeight="1">
      <c r="A62" s="360" t="s">
        <v>649</v>
      </c>
      <c r="B62" s="356" t="s">
        <v>648</v>
      </c>
      <c r="C62" s="400">
        <v>988754.3</v>
      </c>
      <c r="D62" s="395">
        <v>45689</v>
      </c>
      <c r="E62" s="395">
        <v>45716</v>
      </c>
      <c r="F62" s="395">
        <v>45741</v>
      </c>
      <c r="G62" s="395">
        <v>45741</v>
      </c>
      <c r="H62" s="402">
        <v>9.7229999999999997E-2</v>
      </c>
      <c r="I62" s="401">
        <v>14</v>
      </c>
      <c r="J62" s="401">
        <v>25</v>
      </c>
      <c r="K62" s="401">
        <v>0</v>
      </c>
      <c r="L62" s="366">
        <v>39</v>
      </c>
      <c r="M62" s="400">
        <v>3.79</v>
      </c>
      <c r="N62" s="356"/>
    </row>
    <row r="63" spans="1:14" ht="15" customHeight="1">
      <c r="A63" s="356" t="s">
        <v>649</v>
      </c>
      <c r="B63" s="356" t="s">
        <v>648</v>
      </c>
      <c r="C63" s="399">
        <v>976802.64</v>
      </c>
      <c r="D63" s="395">
        <v>45717</v>
      </c>
      <c r="E63" s="395">
        <v>45747</v>
      </c>
      <c r="F63" s="395">
        <v>45772</v>
      </c>
      <c r="G63" s="395">
        <v>45772</v>
      </c>
      <c r="H63" s="402">
        <v>9.6060000000000006E-2</v>
      </c>
      <c r="I63" s="401">
        <v>15.5</v>
      </c>
      <c r="J63" s="401">
        <v>25</v>
      </c>
      <c r="K63" s="401">
        <v>0</v>
      </c>
      <c r="L63" s="400">
        <v>40.5</v>
      </c>
      <c r="M63" s="399">
        <v>3.89</v>
      </c>
      <c r="N63" s="356"/>
    </row>
    <row r="64" spans="1:14" ht="15" customHeight="1" thickBot="1">
      <c r="A64" s="356"/>
      <c r="B64" s="356"/>
      <c r="C64" s="398">
        <v>10169143.779999999</v>
      </c>
      <c r="D64" s="395"/>
      <c r="E64" s="395"/>
      <c r="F64" s="395"/>
      <c r="G64" s="395"/>
      <c r="H64" s="356"/>
      <c r="I64" s="356"/>
      <c r="J64" s="356"/>
      <c r="K64" s="356"/>
      <c r="L64" s="356"/>
      <c r="M64" s="397">
        <v>40.130000000000003</v>
      </c>
      <c r="N64" s="356"/>
    </row>
    <row r="65" spans="1:14" ht="15" customHeight="1" thickTop="1">
      <c r="A65" s="356"/>
      <c r="B65" s="356"/>
      <c r="C65" s="351"/>
      <c r="D65" s="395"/>
      <c r="E65" s="395"/>
      <c r="F65" s="395"/>
      <c r="G65" s="395"/>
      <c r="H65" s="356"/>
      <c r="I65" s="356"/>
      <c r="J65" s="356"/>
      <c r="K65" s="356"/>
      <c r="L65" s="356"/>
      <c r="M65" s="351"/>
      <c r="N65" s="356"/>
    </row>
    <row r="66" spans="1:14" ht="15" customHeight="1"/>
    <row r="67" spans="1:14" ht="15" customHeight="1">
      <c r="A67" s="350" t="s">
        <v>53</v>
      </c>
      <c r="B67" s="350" t="s">
        <v>54</v>
      </c>
    </row>
  </sheetData>
  <mergeCells count="4">
    <mergeCell ref="A2:D2"/>
    <mergeCell ref="A1:D1"/>
    <mergeCell ref="A4:D4"/>
    <mergeCell ref="A3: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880E-EF5E-41DF-8443-8E83F4AD5B11}">
  <dimension ref="A1:C15"/>
  <sheetViews>
    <sheetView showRuler="0" workbookViewId="0">
      <selection sqref="A1:D1"/>
    </sheetView>
  </sheetViews>
  <sheetFormatPr defaultColWidth="13.7265625" defaultRowHeight="12.5"/>
  <cols>
    <col min="1" max="1" width="35.7265625" style="349" customWidth="1"/>
    <col min="2" max="2" width="38.7265625" style="349" customWidth="1"/>
    <col min="3" max="16384" width="13.7265625" style="349"/>
  </cols>
  <sheetData>
    <row r="1" spans="1:3" ht="15" customHeight="1">
      <c r="A1" s="764" t="s">
        <v>51</v>
      </c>
      <c r="B1" s="761"/>
      <c r="C1" s="761"/>
    </row>
    <row r="2" spans="1:3" ht="15" customHeight="1">
      <c r="A2" s="764" t="s">
        <v>635</v>
      </c>
      <c r="B2" s="761"/>
      <c r="C2" s="761"/>
    </row>
    <row r="3" spans="1:3" ht="15" customHeight="1">
      <c r="A3" s="764" t="s">
        <v>685</v>
      </c>
      <c r="B3" s="761"/>
      <c r="C3" s="761"/>
    </row>
    <row r="4" spans="1:3" ht="15" customHeight="1">
      <c r="A4" s="764" t="s">
        <v>549</v>
      </c>
      <c r="B4" s="761"/>
      <c r="C4" s="761"/>
    </row>
    <row r="5" spans="1:3" ht="15" customHeight="1"/>
    <row r="6" spans="1:3" ht="15" customHeight="1">
      <c r="B6" s="356" t="s">
        <v>684</v>
      </c>
    </row>
    <row r="7" spans="1:3" ht="27.65" customHeight="1">
      <c r="A7" s="356" t="s">
        <v>37</v>
      </c>
      <c r="B7" s="379">
        <v>1969413</v>
      </c>
    </row>
    <row r="8" spans="1:3" ht="27.65" customHeight="1">
      <c r="A8" s="356" t="s">
        <v>38</v>
      </c>
      <c r="B8" s="377">
        <v>20781838</v>
      </c>
    </row>
    <row r="9" spans="1:3" ht="27.65" customHeight="1">
      <c r="A9" s="356" t="s">
        <v>39</v>
      </c>
      <c r="B9" s="375">
        <v>7140754</v>
      </c>
    </row>
    <row r="10" spans="1:3" ht="15" customHeight="1" thickBot="1">
      <c r="A10" s="353" t="s">
        <v>88</v>
      </c>
      <c r="B10" s="393">
        <f>SUM(B7:B9)</f>
        <v>29892005</v>
      </c>
    </row>
    <row r="11" spans="1:3" ht="15" customHeight="1" thickTop="1">
      <c r="B11" s="351"/>
    </row>
    <row r="12" spans="1:3" ht="15" customHeight="1"/>
    <row r="13" spans="1:3" ht="15" customHeight="1"/>
    <row r="14" spans="1:3" ht="15" customHeight="1">
      <c r="A14" s="350" t="s">
        <v>53</v>
      </c>
      <c r="B14" s="350" t="s">
        <v>54</v>
      </c>
    </row>
    <row r="15" spans="1:3" ht="15" customHeight="1"/>
  </sheetData>
  <mergeCells count="4">
    <mergeCell ref="A2:C2"/>
    <mergeCell ref="A1:C1"/>
    <mergeCell ref="A4:C4"/>
    <mergeCell ref="A3: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160E-C039-4588-81B3-6DB8238393A4}">
  <dimension ref="A1:H25"/>
  <sheetViews>
    <sheetView showRuler="0" workbookViewId="0">
      <selection sqref="A1:D1"/>
    </sheetView>
  </sheetViews>
  <sheetFormatPr defaultColWidth="13.7265625" defaultRowHeight="12.5"/>
  <cols>
    <col min="1" max="1" width="28.81640625" style="349" customWidth="1"/>
    <col min="2" max="2" width="31.1796875" style="349" customWidth="1"/>
    <col min="3" max="3" width="13.26953125" style="349" customWidth="1"/>
    <col min="4" max="5" width="11.81640625" style="349" customWidth="1"/>
    <col min="6" max="6" width="10.54296875" style="349" customWidth="1"/>
    <col min="7" max="7" width="12.26953125" style="349" customWidth="1"/>
    <col min="8" max="16384" width="13.7265625" style="349"/>
  </cols>
  <sheetData>
    <row r="1" spans="1:4" ht="15" customHeight="1">
      <c r="A1" s="764" t="s">
        <v>51</v>
      </c>
      <c r="B1" s="761"/>
      <c r="C1" s="761"/>
      <c r="D1" s="761"/>
    </row>
    <row r="2" spans="1:4" ht="15" customHeight="1">
      <c r="A2" s="764" t="s">
        <v>635</v>
      </c>
      <c r="B2" s="761"/>
      <c r="C2" s="761"/>
      <c r="D2" s="761"/>
    </row>
    <row r="3" spans="1:4" ht="15" customHeight="1">
      <c r="A3" s="764" t="s">
        <v>689</v>
      </c>
      <c r="B3" s="761"/>
      <c r="C3" s="761"/>
      <c r="D3" s="761"/>
    </row>
    <row r="4" spans="1:4" ht="15" customHeight="1">
      <c r="A4" s="764" t="s">
        <v>549</v>
      </c>
      <c r="B4" s="761"/>
      <c r="C4" s="761"/>
      <c r="D4" s="761"/>
    </row>
    <row r="5" spans="1:4" ht="15" customHeight="1"/>
    <row r="6" spans="1:4" ht="15" customHeight="1">
      <c r="B6" s="403" t="s">
        <v>688</v>
      </c>
      <c r="C6" s="380"/>
    </row>
    <row r="7" spans="1:4" ht="15" customHeight="1">
      <c r="A7" s="357">
        <v>9240000</v>
      </c>
      <c r="B7" s="411">
        <v>764321.57</v>
      </c>
    </row>
    <row r="8" spans="1:4" ht="15" customHeight="1">
      <c r="A8" s="357">
        <v>9250000</v>
      </c>
      <c r="B8" s="377">
        <v>1803462.72</v>
      </c>
    </row>
    <row r="9" spans="1:4" ht="15" customHeight="1">
      <c r="A9" s="357">
        <v>9250006</v>
      </c>
      <c r="B9" s="377">
        <v>28015.77</v>
      </c>
    </row>
    <row r="10" spans="1:4" ht="15" customHeight="1">
      <c r="A10" s="357">
        <v>9280006</v>
      </c>
      <c r="B10" s="375">
        <v>0</v>
      </c>
    </row>
    <row r="11" spans="1:4" ht="15" customHeight="1" thickBot="1">
      <c r="A11" s="356" t="s">
        <v>88</v>
      </c>
      <c r="B11" s="393">
        <f>SUM(B7:B10)</f>
        <v>2595800.06</v>
      </c>
    </row>
    <row r="12" spans="1:4" ht="15" customHeight="1" thickTop="1">
      <c r="B12" s="351"/>
    </row>
    <row r="13" spans="1:4" ht="15" customHeight="1"/>
    <row r="14" spans="1:4" ht="15" customHeight="1"/>
    <row r="15" spans="1:4" ht="16.75" customHeight="1">
      <c r="A15" s="390" t="s">
        <v>226</v>
      </c>
      <c r="B15" s="390" t="s">
        <v>227</v>
      </c>
      <c r="C15" s="380"/>
    </row>
    <row r="16" spans="1:4" ht="15" customHeight="1">
      <c r="A16" s="384"/>
      <c r="B16" s="384"/>
    </row>
    <row r="17" spans="1:8" ht="39.25" customHeight="1">
      <c r="A17" s="408" t="s">
        <v>230</v>
      </c>
      <c r="B17" s="408" t="s">
        <v>231</v>
      </c>
      <c r="C17" s="410"/>
    </row>
    <row r="18" spans="1:8" ht="16.75" customHeight="1">
      <c r="A18" s="408" t="s">
        <v>687</v>
      </c>
      <c r="B18" s="409">
        <v>1650001</v>
      </c>
      <c r="C18" s="409">
        <v>1650021</v>
      </c>
      <c r="D18" s="409">
        <v>9240000</v>
      </c>
      <c r="E18" s="409">
        <v>9250000</v>
      </c>
      <c r="F18" s="409">
        <v>9250006</v>
      </c>
      <c r="G18" s="408" t="s">
        <v>244</v>
      </c>
      <c r="H18" s="380"/>
    </row>
    <row r="19" spans="1:8" ht="39.25" customHeight="1">
      <c r="A19" s="390" t="s">
        <v>686</v>
      </c>
      <c r="B19" s="407">
        <v>-1228364.56</v>
      </c>
      <c r="C19" s="407">
        <v>-1367435.5</v>
      </c>
      <c r="D19" s="407">
        <v>764321.57</v>
      </c>
      <c r="E19" s="407">
        <v>1803462.72</v>
      </c>
      <c r="F19" s="407">
        <v>28015.77</v>
      </c>
      <c r="G19" s="407">
        <v>0</v>
      </c>
      <c r="H19" s="380"/>
    </row>
    <row r="20" spans="1:8" ht="16.75" customHeight="1">
      <c r="A20" s="390" t="s">
        <v>244</v>
      </c>
      <c r="B20" s="407">
        <v>-1228364.56</v>
      </c>
      <c r="C20" s="407">
        <v>-1367435.5</v>
      </c>
      <c r="D20" s="407">
        <v>764321.57</v>
      </c>
      <c r="E20" s="407">
        <v>1803462.72</v>
      </c>
      <c r="F20" s="407">
        <v>28015.77</v>
      </c>
      <c r="G20" s="407">
        <v>0</v>
      </c>
      <c r="H20" s="380"/>
    </row>
    <row r="21" spans="1:8" ht="15" customHeight="1">
      <c r="A21" s="406"/>
      <c r="B21" s="360"/>
      <c r="C21" s="360"/>
      <c r="D21" s="360"/>
      <c r="E21" s="360"/>
      <c r="F21" s="360"/>
      <c r="G21" s="360"/>
    </row>
    <row r="22" spans="1:8" ht="15" customHeight="1"/>
    <row r="23" spans="1:8" ht="15" customHeight="1"/>
    <row r="24" spans="1:8" ht="15" customHeight="1"/>
    <row r="25" spans="1:8" ht="15" customHeight="1">
      <c r="A25" s="350" t="s">
        <v>53</v>
      </c>
      <c r="B25" s="350" t="s">
        <v>54</v>
      </c>
    </row>
  </sheetData>
  <mergeCells count="4">
    <mergeCell ref="A2:D2"/>
    <mergeCell ref="A1:D1"/>
    <mergeCell ref="A4:D4"/>
    <mergeCell ref="A3: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F84CB-8BAF-49EB-AECA-EAFE8736035B}">
  <dimension ref="A1:J21"/>
  <sheetViews>
    <sheetView showRuler="0" workbookViewId="0">
      <selection sqref="A1:D1"/>
    </sheetView>
  </sheetViews>
  <sheetFormatPr defaultColWidth="13.7265625" defaultRowHeight="12.5"/>
  <cols>
    <col min="1" max="7" width="13.7265625" style="349"/>
    <col min="8" max="8" width="19.81640625" style="349" customWidth="1"/>
    <col min="9" max="16384" width="13.7265625" style="349"/>
  </cols>
  <sheetData>
    <row r="1" spans="1:10" ht="15" customHeight="1">
      <c r="A1" s="764" t="s">
        <v>51</v>
      </c>
      <c r="B1" s="761"/>
      <c r="C1" s="761"/>
      <c r="D1" s="761"/>
    </row>
    <row r="2" spans="1:10" ht="15" customHeight="1">
      <c r="A2" s="764" t="s">
        <v>635</v>
      </c>
      <c r="B2" s="761"/>
      <c r="C2" s="761"/>
      <c r="D2" s="761"/>
    </row>
    <row r="3" spans="1:10" ht="15" customHeight="1">
      <c r="A3" s="764" t="s">
        <v>699</v>
      </c>
      <c r="B3" s="761"/>
      <c r="C3" s="761"/>
      <c r="D3" s="761"/>
    </row>
    <row r="4" spans="1:10" ht="15" customHeight="1">
      <c r="A4" s="764" t="s">
        <v>549</v>
      </c>
      <c r="B4" s="761"/>
      <c r="C4" s="761"/>
      <c r="D4" s="761"/>
    </row>
    <row r="5" spans="1:10" ht="15" customHeight="1"/>
    <row r="6" spans="1:10" ht="15" customHeight="1"/>
    <row r="7" spans="1:10" ht="15" customHeight="1"/>
    <row r="8" spans="1:10" ht="16.75" customHeight="1"/>
    <row r="9" spans="1:10" ht="27.65" customHeight="1">
      <c r="B9" s="390" t="s">
        <v>226</v>
      </c>
      <c r="C9" s="390" t="s">
        <v>227</v>
      </c>
      <c r="D9" s="380"/>
    </row>
    <row r="10" spans="1:10" ht="50.15" customHeight="1">
      <c r="B10" s="390" t="s">
        <v>230</v>
      </c>
      <c r="C10" s="390"/>
      <c r="D10" s="410"/>
      <c r="F10" s="390" t="s">
        <v>698</v>
      </c>
      <c r="G10" s="410"/>
    </row>
    <row r="11" spans="1:10" ht="39.25" customHeight="1">
      <c r="B11" s="390" t="s">
        <v>231</v>
      </c>
      <c r="C11" s="390" t="s">
        <v>697</v>
      </c>
      <c r="D11" s="390" t="s">
        <v>88</v>
      </c>
      <c r="E11" s="412"/>
      <c r="F11" s="390" t="s">
        <v>696</v>
      </c>
      <c r="G11" s="390" t="s">
        <v>695</v>
      </c>
      <c r="H11" s="390" t="s">
        <v>694</v>
      </c>
      <c r="I11" s="390" t="s">
        <v>693</v>
      </c>
      <c r="J11" s="380"/>
    </row>
    <row r="12" spans="1:10" ht="16.75" customHeight="1">
      <c r="B12" s="414">
        <v>4081007</v>
      </c>
      <c r="C12" s="390" t="s">
        <v>692</v>
      </c>
      <c r="D12" s="389">
        <v>10337.25</v>
      </c>
      <c r="E12" s="412"/>
      <c r="F12" s="413">
        <v>1</v>
      </c>
      <c r="G12" s="389">
        <f>D12*F12</f>
        <v>10337.25</v>
      </c>
      <c r="H12" s="389">
        <f>G12/($G$13+$G$14+$G$12)*$G$15</f>
        <v>-3416.627882192814</v>
      </c>
      <c r="I12" s="389">
        <f>G12+H12</f>
        <v>6920.6221178071864</v>
      </c>
      <c r="J12" s="380"/>
    </row>
    <row r="13" spans="1:10" ht="16.75" customHeight="1">
      <c r="B13" s="390"/>
      <c r="C13" s="390" t="s">
        <v>691</v>
      </c>
      <c r="D13" s="389">
        <v>27</v>
      </c>
      <c r="E13" s="412"/>
      <c r="F13" s="413">
        <v>1</v>
      </c>
      <c r="G13" s="389">
        <f>D13*F13</f>
        <v>27</v>
      </c>
      <c r="H13" s="389">
        <f>G13/($G$13+$G$14+$G$12)*$G$15</f>
        <v>-8.9239355553175148</v>
      </c>
      <c r="I13" s="389">
        <f>G13+H13</f>
        <v>18.076064444682487</v>
      </c>
      <c r="J13" s="380"/>
    </row>
    <row r="14" spans="1:10" ht="16.75" customHeight="1">
      <c r="B14" s="390"/>
      <c r="C14" s="390" t="s">
        <v>690</v>
      </c>
      <c r="D14" s="389">
        <v>14748.14</v>
      </c>
      <c r="E14" s="412"/>
      <c r="F14" s="413">
        <v>1</v>
      </c>
      <c r="G14" s="389">
        <f>D14*F14</f>
        <v>14748.14</v>
      </c>
      <c r="H14" s="389">
        <f>G14/($G$13+$G$14+$G$12)*$G$15</f>
        <v>-4874.4981822518685</v>
      </c>
      <c r="I14" s="389">
        <f>G14+H14</f>
        <v>9873.6418177481319</v>
      </c>
      <c r="J14" s="380"/>
    </row>
    <row r="15" spans="1:10" ht="16.75" customHeight="1">
      <c r="B15" s="414">
        <v>4081035</v>
      </c>
      <c r="C15" s="390"/>
      <c r="D15" s="389">
        <v>-8300.0499999999993</v>
      </c>
      <c r="E15" s="412"/>
      <c r="F15" s="413">
        <v>1</v>
      </c>
      <c r="G15" s="389">
        <f>D15*F15</f>
        <v>-8300.0499999999993</v>
      </c>
      <c r="H15" s="390"/>
      <c r="I15" s="390"/>
      <c r="J15" s="380"/>
    </row>
    <row r="16" spans="1:10" ht="16.75" customHeight="1">
      <c r="B16" s="390" t="s">
        <v>244</v>
      </c>
      <c r="C16" s="390"/>
      <c r="D16" s="389">
        <v>16812.34</v>
      </c>
      <c r="E16" s="412"/>
      <c r="F16" s="390"/>
      <c r="G16" s="389">
        <f>SUM(G12:G15)</f>
        <v>16812.34</v>
      </c>
      <c r="H16" s="389">
        <f>SUM(H12:H14)</f>
        <v>-8300.0499999999993</v>
      </c>
      <c r="I16" s="389">
        <f>SUM(I12:I14)</f>
        <v>16812.34</v>
      </c>
      <c r="J16" s="380"/>
    </row>
    <row r="17" spans="1:9" ht="15" customHeight="1">
      <c r="B17" s="360"/>
      <c r="C17" s="360"/>
      <c r="D17" s="360"/>
      <c r="F17" s="360"/>
      <c r="G17" s="360"/>
      <c r="H17" s="360"/>
      <c r="I17" s="360"/>
    </row>
    <row r="18" spans="1:9" ht="15" customHeight="1"/>
    <row r="19" spans="1:9" ht="15" customHeight="1"/>
    <row r="20" spans="1:9" ht="15" customHeight="1">
      <c r="A20" s="392" t="s">
        <v>53</v>
      </c>
      <c r="B20" s="392" t="s">
        <v>54</v>
      </c>
    </row>
    <row r="21" spans="1:9" ht="15" customHeight="1"/>
  </sheetData>
  <mergeCells count="4">
    <mergeCell ref="A2:D2"/>
    <mergeCell ref="A1:D1"/>
    <mergeCell ref="A4:D4"/>
    <mergeCell ref="A3: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FE1A-441B-43B6-BC6F-FC7F55F4A1FA}">
  <dimension ref="A1:AE194"/>
  <sheetViews>
    <sheetView workbookViewId="0">
      <pane ySplit="9" topLeftCell="A10" activePane="bottomLeft" state="frozen"/>
      <selection pane="bottomLeft" sqref="A1:C1"/>
    </sheetView>
  </sheetViews>
  <sheetFormatPr defaultColWidth="13.7265625" defaultRowHeight="12.5"/>
  <cols>
    <col min="1" max="1" width="13.7265625" style="349"/>
    <col min="2" max="2" width="2.81640625" style="349" customWidth="1"/>
    <col min="3" max="5" width="13.7265625" style="349"/>
    <col min="6" max="6" width="1.1796875" style="349" customWidth="1"/>
    <col min="7" max="7" width="13.7265625" style="349"/>
    <col min="8" max="8" width="1.1796875" style="349" customWidth="1"/>
    <col min="9" max="9" width="13.7265625" style="349"/>
    <col min="10" max="10" width="1.1796875" style="349" customWidth="1"/>
    <col min="11" max="11" width="13.7265625" style="349"/>
    <col min="12" max="12" width="1.1796875" style="349" customWidth="1"/>
    <col min="13" max="13" width="13.7265625" style="349"/>
    <col min="14" max="14" width="1.1796875" style="349" customWidth="1"/>
    <col min="15" max="15" width="13.7265625" style="349"/>
    <col min="16" max="16" width="1.1796875" style="349" customWidth="1"/>
    <col min="17" max="17" width="13.7265625" style="349"/>
    <col min="18" max="18" width="1.1796875" style="349" customWidth="1"/>
    <col min="19" max="19" width="13.7265625" style="349"/>
    <col min="20" max="20" width="1.1796875" style="349" customWidth="1"/>
    <col min="21" max="21" width="13.7265625" style="349"/>
    <col min="22" max="22" width="1.1796875" style="349" customWidth="1"/>
    <col min="23" max="23" width="13.7265625" style="349"/>
    <col min="24" max="24" width="1.1796875" style="349" customWidth="1"/>
    <col min="25" max="25" width="13.7265625" style="349"/>
    <col min="26" max="26" width="1.1796875" style="349" customWidth="1"/>
    <col min="27" max="16384" width="13.7265625" style="349"/>
  </cols>
  <sheetData>
    <row r="1" spans="1:31" ht="15" customHeight="1">
      <c r="A1" s="762" t="s">
        <v>51</v>
      </c>
      <c r="B1" s="761"/>
      <c r="C1" s="761"/>
    </row>
    <row r="2" spans="1:31" ht="15" customHeight="1">
      <c r="A2" s="760" t="s">
        <v>815</v>
      </c>
      <c r="B2" s="761"/>
      <c r="C2" s="761"/>
      <c r="D2" s="761"/>
      <c r="E2" s="761"/>
      <c r="F2" s="761"/>
      <c r="G2" s="761"/>
      <c r="H2" s="761"/>
      <c r="I2" s="761"/>
    </row>
    <row r="3" spans="1:31" ht="15" customHeight="1">
      <c r="A3" s="760" t="s">
        <v>814</v>
      </c>
      <c r="B3" s="761"/>
      <c r="C3" s="761"/>
      <c r="D3" s="761"/>
      <c r="E3" s="761"/>
      <c r="F3" s="761"/>
      <c r="G3" s="761"/>
    </row>
    <row r="4" spans="1:31" ht="15" customHeight="1">
      <c r="A4" s="760" t="s">
        <v>83</v>
      </c>
      <c r="B4" s="761"/>
      <c r="C4" s="761"/>
      <c r="D4" s="761"/>
      <c r="E4" s="761"/>
      <c r="F4" s="761"/>
      <c r="G4" s="761"/>
    </row>
    <row r="5" spans="1:31" ht="15" customHeight="1"/>
    <row r="6" spans="1:31" ht="60.75" customHeight="1">
      <c r="A6" s="356" t="s">
        <v>286</v>
      </c>
      <c r="C6" s="408" t="s">
        <v>813</v>
      </c>
      <c r="D6" s="408" t="s">
        <v>812</v>
      </c>
      <c r="E6" s="408" t="s">
        <v>811</v>
      </c>
      <c r="F6" s="428"/>
      <c r="G6" s="408" t="s">
        <v>810</v>
      </c>
      <c r="H6" s="428"/>
      <c r="I6" s="408" t="s">
        <v>809</v>
      </c>
      <c r="J6" s="428"/>
      <c r="K6" s="408" t="s">
        <v>808</v>
      </c>
      <c r="L6" s="428"/>
      <c r="M6" s="408" t="s">
        <v>807</v>
      </c>
      <c r="N6" s="428"/>
      <c r="O6" s="408" t="s">
        <v>806</v>
      </c>
      <c r="P6" s="428"/>
      <c r="Q6" s="408" t="s">
        <v>805</v>
      </c>
      <c r="R6" s="428"/>
      <c r="S6" s="408" t="s">
        <v>804</v>
      </c>
      <c r="T6" s="428"/>
      <c r="U6" s="408" t="s">
        <v>803</v>
      </c>
      <c r="V6" s="428"/>
      <c r="W6" s="408" t="s">
        <v>802</v>
      </c>
      <c r="X6" s="428"/>
      <c r="Y6" s="408" t="s">
        <v>801</v>
      </c>
      <c r="Z6" s="427"/>
      <c r="AA6" s="408" t="s">
        <v>800</v>
      </c>
      <c r="AB6" s="408" t="s">
        <v>799</v>
      </c>
      <c r="AC6" s="408" t="s">
        <v>798</v>
      </c>
      <c r="AD6" s="408" t="s">
        <v>797</v>
      </c>
      <c r="AE6" s="426"/>
    </row>
    <row r="7" spans="1:31" ht="15" customHeight="1">
      <c r="C7" s="424"/>
      <c r="D7" s="424"/>
      <c r="E7" s="424" t="s">
        <v>662</v>
      </c>
      <c r="G7" s="424" t="s">
        <v>661</v>
      </c>
      <c r="I7" s="424" t="s">
        <v>660</v>
      </c>
      <c r="K7" s="424" t="s">
        <v>659</v>
      </c>
      <c r="M7" s="424" t="s">
        <v>796</v>
      </c>
      <c r="O7" s="424" t="s">
        <v>657</v>
      </c>
      <c r="Q7" s="424" t="s">
        <v>656</v>
      </c>
      <c r="S7" s="424" t="s">
        <v>655</v>
      </c>
      <c r="U7" s="424" t="s">
        <v>654</v>
      </c>
      <c r="V7" s="425"/>
      <c r="W7" s="424" t="s">
        <v>653</v>
      </c>
      <c r="X7" s="425"/>
      <c r="Y7" s="424" t="s">
        <v>652</v>
      </c>
      <c r="Z7" s="424"/>
      <c r="AA7" s="424" t="s">
        <v>651</v>
      </c>
      <c r="AB7" s="424" t="s">
        <v>650</v>
      </c>
      <c r="AC7" s="424" t="s">
        <v>795</v>
      </c>
      <c r="AD7" s="424" t="s">
        <v>794</v>
      </c>
    </row>
    <row r="8" spans="1:31" ht="15" customHeight="1">
      <c r="AA8" s="392" t="s">
        <v>657</v>
      </c>
      <c r="AB8" s="356" t="s">
        <v>793</v>
      </c>
      <c r="AC8" s="356" t="s">
        <v>792</v>
      </c>
      <c r="AD8" s="356" t="s">
        <v>791</v>
      </c>
    </row>
    <row r="9" spans="1:31" ht="15" customHeight="1"/>
    <row r="10" spans="1:31" ht="15" customHeight="1">
      <c r="A10" s="369" t="s">
        <v>790</v>
      </c>
      <c r="B10" s="356"/>
      <c r="C10" s="356" t="s">
        <v>786</v>
      </c>
      <c r="D10" s="356" t="s">
        <v>787</v>
      </c>
      <c r="E10" s="423">
        <v>0</v>
      </c>
      <c r="F10" s="356"/>
      <c r="G10" s="423">
        <v>0</v>
      </c>
      <c r="H10" s="356"/>
      <c r="I10" s="423">
        <v>0</v>
      </c>
      <c r="J10" s="356"/>
      <c r="K10" s="423">
        <v>0</v>
      </c>
      <c r="L10" s="356"/>
      <c r="M10" s="423">
        <v>0</v>
      </c>
      <c r="N10" s="356"/>
      <c r="O10" s="423">
        <v>0</v>
      </c>
      <c r="P10" s="356"/>
      <c r="Q10" s="423">
        <v>0</v>
      </c>
      <c r="R10" s="356"/>
      <c r="S10" s="423">
        <v>0</v>
      </c>
      <c r="T10" s="356"/>
      <c r="U10" s="423">
        <v>0</v>
      </c>
      <c r="V10" s="356"/>
      <c r="W10" s="423">
        <v>0</v>
      </c>
      <c r="X10" s="356"/>
      <c r="Y10" s="420">
        <v>0.2</v>
      </c>
      <c r="Z10" s="356"/>
      <c r="AA10" s="423">
        <v>0</v>
      </c>
      <c r="AB10" s="423">
        <v>0</v>
      </c>
      <c r="AC10" s="423">
        <v>0</v>
      </c>
      <c r="AD10" s="423">
        <v>0</v>
      </c>
    </row>
    <row r="11" spans="1:31" ht="15" customHeight="1">
      <c r="A11" s="369"/>
      <c r="B11" s="356"/>
      <c r="C11" s="356" t="s">
        <v>786</v>
      </c>
      <c r="D11" s="356" t="s">
        <v>785</v>
      </c>
      <c r="E11" s="423">
        <v>0</v>
      </c>
      <c r="F11" s="356"/>
      <c r="G11" s="423">
        <v>0</v>
      </c>
      <c r="H11" s="356"/>
      <c r="I11" s="423">
        <v>0</v>
      </c>
      <c r="J11" s="356"/>
      <c r="K11" s="423">
        <v>0</v>
      </c>
      <c r="L11" s="356"/>
      <c r="M11" s="423">
        <v>0</v>
      </c>
      <c r="N11" s="356"/>
      <c r="O11" s="423">
        <v>0</v>
      </c>
      <c r="P11" s="356"/>
      <c r="Q11" s="423">
        <v>0</v>
      </c>
      <c r="R11" s="356"/>
      <c r="S11" s="423">
        <v>0</v>
      </c>
      <c r="T11" s="356"/>
      <c r="U11" s="423">
        <v>0</v>
      </c>
      <c r="V11" s="356"/>
      <c r="W11" s="423">
        <v>0</v>
      </c>
      <c r="X11" s="356"/>
      <c r="Y11" s="420">
        <v>0.2</v>
      </c>
      <c r="Z11" s="356"/>
      <c r="AA11" s="423">
        <v>0</v>
      </c>
      <c r="AB11" s="423">
        <v>0</v>
      </c>
      <c r="AC11" s="423">
        <v>0</v>
      </c>
      <c r="AD11" s="423">
        <v>0</v>
      </c>
    </row>
    <row r="12" spans="1:31" ht="15" customHeight="1">
      <c r="A12" s="369"/>
      <c r="B12" s="356"/>
      <c r="C12" s="356" t="s">
        <v>784</v>
      </c>
      <c r="D12" s="356" t="s">
        <v>783</v>
      </c>
      <c r="E12" s="423">
        <v>0</v>
      </c>
      <c r="F12" s="356"/>
      <c r="G12" s="423">
        <v>0</v>
      </c>
      <c r="H12" s="356"/>
      <c r="I12" s="423">
        <v>0</v>
      </c>
      <c r="J12" s="356"/>
      <c r="K12" s="423">
        <v>0</v>
      </c>
      <c r="L12" s="356"/>
      <c r="M12" s="423">
        <v>0</v>
      </c>
      <c r="N12" s="356"/>
      <c r="O12" s="423">
        <v>0</v>
      </c>
      <c r="P12" s="356"/>
      <c r="Q12" s="423">
        <v>0</v>
      </c>
      <c r="R12" s="356"/>
      <c r="S12" s="423">
        <v>0</v>
      </c>
      <c r="T12" s="356"/>
      <c r="U12" s="423">
        <v>0</v>
      </c>
      <c r="V12" s="356"/>
      <c r="W12" s="423">
        <v>0</v>
      </c>
      <c r="X12" s="356"/>
      <c r="Y12" s="420">
        <v>0.2</v>
      </c>
      <c r="Z12" s="356"/>
      <c r="AA12" s="423">
        <v>0</v>
      </c>
      <c r="AB12" s="423">
        <v>0</v>
      </c>
      <c r="AC12" s="423">
        <v>0</v>
      </c>
      <c r="AD12" s="423">
        <v>0</v>
      </c>
    </row>
    <row r="13" spans="1:31" ht="15" customHeight="1">
      <c r="A13" s="369"/>
      <c r="B13" s="356"/>
      <c r="C13" s="356" t="s">
        <v>774</v>
      </c>
      <c r="D13" s="356" t="s">
        <v>782</v>
      </c>
      <c r="E13" s="423">
        <v>487.12</v>
      </c>
      <c r="F13" s="356"/>
      <c r="G13" s="423">
        <v>0</v>
      </c>
      <c r="H13" s="356"/>
      <c r="I13" s="423">
        <v>0</v>
      </c>
      <c r="J13" s="356"/>
      <c r="K13" s="423">
        <v>0</v>
      </c>
      <c r="L13" s="356"/>
      <c r="M13" s="423">
        <v>0</v>
      </c>
      <c r="N13" s="356"/>
      <c r="O13" s="423">
        <v>0</v>
      </c>
      <c r="P13" s="356"/>
      <c r="Q13" s="423">
        <v>0</v>
      </c>
      <c r="R13" s="356"/>
      <c r="S13" s="423">
        <v>0</v>
      </c>
      <c r="T13" s="356"/>
      <c r="U13" s="423">
        <v>0</v>
      </c>
      <c r="V13" s="356"/>
      <c r="W13" s="423">
        <v>487.12</v>
      </c>
      <c r="X13" s="356"/>
      <c r="Y13" s="420">
        <v>0.2</v>
      </c>
      <c r="Z13" s="356"/>
      <c r="AA13" s="423">
        <v>487.12</v>
      </c>
      <c r="AB13" s="423">
        <v>714.56</v>
      </c>
      <c r="AC13" s="423">
        <v>8.1199999999999992</v>
      </c>
      <c r="AD13" s="423">
        <v>722.68</v>
      </c>
    </row>
    <row r="14" spans="1:31" ht="15" customHeight="1">
      <c r="A14" s="369"/>
      <c r="B14" s="356"/>
      <c r="C14" s="356" t="s">
        <v>774</v>
      </c>
      <c r="D14" s="356" t="s">
        <v>781</v>
      </c>
      <c r="E14" s="423">
        <v>655.45</v>
      </c>
      <c r="F14" s="356"/>
      <c r="G14" s="423">
        <v>0</v>
      </c>
      <c r="H14" s="356"/>
      <c r="I14" s="423">
        <v>0</v>
      </c>
      <c r="J14" s="356"/>
      <c r="K14" s="423">
        <v>0</v>
      </c>
      <c r="L14" s="356"/>
      <c r="M14" s="423">
        <v>0</v>
      </c>
      <c r="N14" s="356"/>
      <c r="O14" s="423">
        <v>0</v>
      </c>
      <c r="P14" s="356"/>
      <c r="Q14" s="423">
        <v>0</v>
      </c>
      <c r="R14" s="356"/>
      <c r="S14" s="423">
        <v>0</v>
      </c>
      <c r="T14" s="356"/>
      <c r="U14" s="423">
        <v>0</v>
      </c>
      <c r="V14" s="356"/>
      <c r="W14" s="423">
        <v>655.45</v>
      </c>
      <c r="X14" s="356"/>
      <c r="Y14" s="420">
        <v>0.2</v>
      </c>
      <c r="Z14" s="356"/>
      <c r="AA14" s="423">
        <v>655.45</v>
      </c>
      <c r="AB14" s="423">
        <v>960.96</v>
      </c>
      <c r="AC14" s="423">
        <v>10.92</v>
      </c>
      <c r="AD14" s="423">
        <v>971.88</v>
      </c>
    </row>
    <row r="15" spans="1:31" ht="15" customHeight="1">
      <c r="A15" s="369"/>
      <c r="B15" s="356"/>
      <c r="C15" s="356" t="s">
        <v>774</v>
      </c>
      <c r="D15" s="356" t="s">
        <v>780</v>
      </c>
      <c r="E15" s="423">
        <v>0</v>
      </c>
      <c r="F15" s="356"/>
      <c r="G15" s="423">
        <v>0</v>
      </c>
      <c r="H15" s="356"/>
      <c r="I15" s="423">
        <v>0</v>
      </c>
      <c r="J15" s="356"/>
      <c r="K15" s="423">
        <v>0</v>
      </c>
      <c r="L15" s="356"/>
      <c r="M15" s="423">
        <v>0</v>
      </c>
      <c r="N15" s="356"/>
      <c r="O15" s="423">
        <v>0</v>
      </c>
      <c r="P15" s="356"/>
      <c r="Q15" s="423">
        <v>0</v>
      </c>
      <c r="R15" s="356"/>
      <c r="S15" s="423">
        <v>0</v>
      </c>
      <c r="T15" s="356"/>
      <c r="U15" s="423">
        <v>0</v>
      </c>
      <c r="V15" s="356"/>
      <c r="W15" s="423">
        <v>0</v>
      </c>
      <c r="X15" s="356"/>
      <c r="Y15" s="420">
        <v>0.2</v>
      </c>
      <c r="Z15" s="356"/>
      <c r="AA15" s="423">
        <v>0</v>
      </c>
      <c r="AB15" s="423">
        <v>0</v>
      </c>
      <c r="AC15" s="423">
        <v>0</v>
      </c>
      <c r="AD15" s="423">
        <v>0</v>
      </c>
    </row>
    <row r="16" spans="1:31" ht="15" customHeight="1">
      <c r="A16" s="369"/>
      <c r="B16" s="356"/>
      <c r="C16" s="356" t="s">
        <v>774</v>
      </c>
      <c r="D16" s="356" t="s">
        <v>779</v>
      </c>
      <c r="E16" s="423">
        <v>0.15</v>
      </c>
      <c r="F16" s="356"/>
      <c r="G16" s="423">
        <v>0</v>
      </c>
      <c r="H16" s="356"/>
      <c r="I16" s="423">
        <v>0</v>
      </c>
      <c r="J16" s="356"/>
      <c r="K16" s="423">
        <v>0</v>
      </c>
      <c r="L16" s="356"/>
      <c r="M16" s="423">
        <v>0</v>
      </c>
      <c r="N16" s="356"/>
      <c r="O16" s="423">
        <v>0</v>
      </c>
      <c r="P16" s="356"/>
      <c r="Q16" s="423">
        <v>0</v>
      </c>
      <c r="R16" s="356"/>
      <c r="S16" s="423">
        <v>0</v>
      </c>
      <c r="T16" s="356"/>
      <c r="U16" s="423">
        <v>0</v>
      </c>
      <c r="V16" s="356"/>
      <c r="W16" s="423">
        <v>0.15</v>
      </c>
      <c r="X16" s="356"/>
      <c r="Y16" s="420">
        <v>0.2</v>
      </c>
      <c r="Z16" s="356"/>
      <c r="AA16" s="423">
        <v>0.15</v>
      </c>
      <c r="AB16" s="423">
        <v>0</v>
      </c>
      <c r="AC16" s="423">
        <v>0</v>
      </c>
      <c r="AD16" s="423">
        <v>0</v>
      </c>
    </row>
    <row r="17" spans="1:30" ht="15" customHeight="1">
      <c r="A17" s="369"/>
      <c r="B17" s="356"/>
      <c r="C17" s="356" t="s">
        <v>774</v>
      </c>
      <c r="D17" s="356" t="s">
        <v>778</v>
      </c>
      <c r="E17" s="423">
        <v>916.43</v>
      </c>
      <c r="F17" s="356"/>
      <c r="G17" s="423">
        <v>0</v>
      </c>
      <c r="H17" s="356"/>
      <c r="I17" s="423">
        <v>0</v>
      </c>
      <c r="J17" s="356"/>
      <c r="K17" s="423">
        <v>0</v>
      </c>
      <c r="L17" s="356"/>
      <c r="M17" s="423">
        <v>0</v>
      </c>
      <c r="N17" s="356"/>
      <c r="O17" s="423">
        <v>0</v>
      </c>
      <c r="P17" s="356"/>
      <c r="Q17" s="423">
        <v>0</v>
      </c>
      <c r="R17" s="356"/>
      <c r="S17" s="423">
        <v>0</v>
      </c>
      <c r="T17" s="356"/>
      <c r="U17" s="423">
        <v>0</v>
      </c>
      <c r="V17" s="356"/>
      <c r="W17" s="423">
        <v>916.43</v>
      </c>
      <c r="X17" s="356"/>
      <c r="Y17" s="420">
        <v>0.2</v>
      </c>
      <c r="Z17" s="356"/>
      <c r="AA17" s="423">
        <v>916.43</v>
      </c>
      <c r="AB17" s="423">
        <v>1343.76</v>
      </c>
      <c r="AC17" s="423">
        <v>15.27</v>
      </c>
      <c r="AD17" s="423">
        <v>1359.03</v>
      </c>
    </row>
    <row r="18" spans="1:30" ht="15" customHeight="1">
      <c r="A18" s="369"/>
      <c r="B18" s="356"/>
      <c r="C18" s="356" t="s">
        <v>774</v>
      </c>
      <c r="D18" s="356" t="s">
        <v>777</v>
      </c>
      <c r="E18" s="423">
        <v>128.28</v>
      </c>
      <c r="F18" s="356"/>
      <c r="G18" s="423">
        <v>0</v>
      </c>
      <c r="H18" s="356"/>
      <c r="I18" s="423">
        <v>0</v>
      </c>
      <c r="J18" s="356"/>
      <c r="K18" s="423">
        <v>0</v>
      </c>
      <c r="L18" s="356"/>
      <c r="M18" s="423">
        <v>0</v>
      </c>
      <c r="N18" s="356"/>
      <c r="O18" s="423">
        <v>0</v>
      </c>
      <c r="P18" s="356"/>
      <c r="Q18" s="423">
        <v>0</v>
      </c>
      <c r="R18" s="356"/>
      <c r="S18" s="423">
        <v>0</v>
      </c>
      <c r="T18" s="356"/>
      <c r="U18" s="423">
        <v>0</v>
      </c>
      <c r="V18" s="356"/>
      <c r="W18" s="423">
        <v>128.28</v>
      </c>
      <c r="X18" s="356"/>
      <c r="Y18" s="420">
        <v>0.2</v>
      </c>
      <c r="Z18" s="356"/>
      <c r="AA18" s="423">
        <v>128.28</v>
      </c>
      <c r="AB18" s="423">
        <v>188.32</v>
      </c>
      <c r="AC18" s="423">
        <v>2.14</v>
      </c>
      <c r="AD18" s="423">
        <v>190.46</v>
      </c>
    </row>
    <row r="19" spans="1:30" ht="15" customHeight="1">
      <c r="A19" s="369"/>
      <c r="B19" s="356"/>
      <c r="C19" s="356" t="s">
        <v>774</v>
      </c>
      <c r="D19" s="356" t="s">
        <v>776</v>
      </c>
      <c r="E19" s="423">
        <v>83.07</v>
      </c>
      <c r="F19" s="356"/>
      <c r="G19" s="423">
        <v>0</v>
      </c>
      <c r="H19" s="356"/>
      <c r="I19" s="423">
        <v>0</v>
      </c>
      <c r="J19" s="356"/>
      <c r="K19" s="423">
        <v>0</v>
      </c>
      <c r="L19" s="356"/>
      <c r="M19" s="423">
        <v>0</v>
      </c>
      <c r="N19" s="356"/>
      <c r="O19" s="423">
        <v>0</v>
      </c>
      <c r="P19" s="356"/>
      <c r="Q19" s="423">
        <v>0</v>
      </c>
      <c r="R19" s="356"/>
      <c r="S19" s="423">
        <v>0</v>
      </c>
      <c r="T19" s="356"/>
      <c r="U19" s="423">
        <v>0</v>
      </c>
      <c r="V19" s="356"/>
      <c r="W19" s="423">
        <v>83.07</v>
      </c>
      <c r="X19" s="356"/>
      <c r="Y19" s="420">
        <v>0.2</v>
      </c>
      <c r="Z19" s="356"/>
      <c r="AA19" s="423">
        <v>83.07</v>
      </c>
      <c r="AB19" s="423">
        <v>121.44</v>
      </c>
      <c r="AC19" s="423">
        <v>1.38</v>
      </c>
      <c r="AD19" s="423">
        <v>122.82</v>
      </c>
    </row>
    <row r="20" spans="1:30" ht="15" customHeight="1">
      <c r="A20" s="369"/>
      <c r="B20" s="356"/>
      <c r="C20" s="356" t="s">
        <v>774</v>
      </c>
      <c r="D20" s="356" t="s">
        <v>775</v>
      </c>
      <c r="E20" s="423">
        <v>0</v>
      </c>
      <c r="F20" s="356"/>
      <c r="G20" s="423">
        <v>0</v>
      </c>
      <c r="H20" s="356"/>
      <c r="I20" s="423">
        <v>0</v>
      </c>
      <c r="J20" s="356"/>
      <c r="K20" s="423">
        <v>0</v>
      </c>
      <c r="L20" s="356"/>
      <c r="M20" s="423">
        <v>0</v>
      </c>
      <c r="N20" s="356"/>
      <c r="O20" s="423">
        <v>0</v>
      </c>
      <c r="P20" s="356"/>
      <c r="Q20" s="423">
        <v>0</v>
      </c>
      <c r="R20" s="356"/>
      <c r="S20" s="423">
        <v>0</v>
      </c>
      <c r="T20" s="356"/>
      <c r="U20" s="423">
        <v>0</v>
      </c>
      <c r="V20" s="356"/>
      <c r="W20" s="423">
        <v>0</v>
      </c>
      <c r="X20" s="356"/>
      <c r="Y20" s="420">
        <v>0.2</v>
      </c>
      <c r="Z20" s="356"/>
      <c r="AA20" s="423">
        <v>0</v>
      </c>
      <c r="AB20" s="423">
        <v>0</v>
      </c>
      <c r="AC20" s="423">
        <v>0</v>
      </c>
      <c r="AD20" s="423">
        <v>0</v>
      </c>
    </row>
    <row r="21" spans="1:30" ht="15" customHeight="1">
      <c r="A21" s="369"/>
      <c r="B21" s="356"/>
      <c r="C21" s="356" t="s">
        <v>774</v>
      </c>
      <c r="D21" s="356" t="s">
        <v>773</v>
      </c>
      <c r="E21" s="423">
        <v>0</v>
      </c>
      <c r="F21" s="356"/>
      <c r="G21" s="423">
        <v>0</v>
      </c>
      <c r="H21" s="356"/>
      <c r="I21" s="423">
        <v>0</v>
      </c>
      <c r="J21" s="356"/>
      <c r="K21" s="423">
        <v>0</v>
      </c>
      <c r="L21" s="356"/>
      <c r="M21" s="423">
        <v>0</v>
      </c>
      <c r="N21" s="356"/>
      <c r="O21" s="423">
        <v>0</v>
      </c>
      <c r="P21" s="356"/>
      <c r="Q21" s="423">
        <v>0</v>
      </c>
      <c r="R21" s="356"/>
      <c r="S21" s="423">
        <v>0</v>
      </c>
      <c r="T21" s="356"/>
      <c r="U21" s="423">
        <v>0</v>
      </c>
      <c r="V21" s="356"/>
      <c r="W21" s="423">
        <v>0</v>
      </c>
      <c r="X21" s="356"/>
      <c r="Y21" s="420">
        <v>0.2</v>
      </c>
      <c r="Z21" s="356"/>
      <c r="AA21" s="423">
        <v>0</v>
      </c>
      <c r="AB21" s="423">
        <v>0</v>
      </c>
      <c r="AC21" s="423">
        <v>0</v>
      </c>
      <c r="AD21" s="423">
        <v>0</v>
      </c>
    </row>
    <row r="22" spans="1:30" ht="15" customHeight="1">
      <c r="A22" s="369"/>
      <c r="B22" s="356"/>
      <c r="C22" s="356" t="s">
        <v>770</v>
      </c>
      <c r="D22" s="356" t="s">
        <v>772</v>
      </c>
      <c r="E22" s="423">
        <v>1091.93</v>
      </c>
      <c r="F22" s="356"/>
      <c r="G22" s="423">
        <v>2600.4699999999998</v>
      </c>
      <c r="H22" s="356"/>
      <c r="I22" s="423">
        <v>-0.2</v>
      </c>
      <c r="J22" s="356"/>
      <c r="K22" s="423">
        <v>0</v>
      </c>
      <c r="L22" s="356"/>
      <c r="M22" s="423">
        <v>0</v>
      </c>
      <c r="N22" s="356"/>
      <c r="O22" s="423">
        <v>0</v>
      </c>
      <c r="P22" s="356"/>
      <c r="Q22" s="423">
        <v>0</v>
      </c>
      <c r="R22" s="356"/>
      <c r="S22" s="423">
        <v>0</v>
      </c>
      <c r="T22" s="356"/>
      <c r="U22" s="423">
        <v>0</v>
      </c>
      <c r="V22" s="356"/>
      <c r="W22" s="423">
        <v>3692.2</v>
      </c>
      <c r="X22" s="356"/>
      <c r="Y22" s="420">
        <v>0.2</v>
      </c>
      <c r="Z22" s="356"/>
      <c r="AA22" s="423">
        <v>3692.2</v>
      </c>
      <c r="AB22" s="423">
        <v>5193.37</v>
      </c>
      <c r="AC22" s="423">
        <v>61.54</v>
      </c>
      <c r="AD22" s="423">
        <v>5254.91</v>
      </c>
    </row>
    <row r="23" spans="1:30" ht="15" customHeight="1">
      <c r="A23" s="369"/>
      <c r="B23" s="356"/>
      <c r="C23" s="356" t="s">
        <v>770</v>
      </c>
      <c r="D23" s="356" t="s">
        <v>771</v>
      </c>
      <c r="E23" s="423">
        <v>2150.48</v>
      </c>
      <c r="F23" s="356"/>
      <c r="G23" s="423">
        <v>6.14</v>
      </c>
      <c r="H23" s="356"/>
      <c r="I23" s="423">
        <v>0</v>
      </c>
      <c r="J23" s="356"/>
      <c r="K23" s="423">
        <v>0</v>
      </c>
      <c r="L23" s="356"/>
      <c r="M23" s="423">
        <v>0</v>
      </c>
      <c r="N23" s="356"/>
      <c r="O23" s="423">
        <v>0</v>
      </c>
      <c r="P23" s="356"/>
      <c r="Q23" s="423">
        <v>0</v>
      </c>
      <c r="R23" s="356"/>
      <c r="S23" s="423">
        <v>0</v>
      </c>
      <c r="T23" s="356"/>
      <c r="U23" s="423">
        <v>0</v>
      </c>
      <c r="V23" s="356"/>
      <c r="W23" s="423">
        <v>2156.62</v>
      </c>
      <c r="X23" s="356"/>
      <c r="Y23" s="420">
        <v>0.2</v>
      </c>
      <c r="Z23" s="356"/>
      <c r="AA23" s="423">
        <v>2156.62</v>
      </c>
      <c r="AB23" s="423">
        <v>3161.91</v>
      </c>
      <c r="AC23" s="423">
        <v>35.94</v>
      </c>
      <c r="AD23" s="423">
        <v>3197.85</v>
      </c>
    </row>
    <row r="24" spans="1:30" ht="15" customHeight="1">
      <c r="A24" s="369"/>
      <c r="B24" s="356"/>
      <c r="C24" s="356" t="s">
        <v>770</v>
      </c>
      <c r="D24" s="356" t="s">
        <v>769</v>
      </c>
      <c r="E24" s="423">
        <v>48.57</v>
      </c>
      <c r="F24" s="356"/>
      <c r="G24" s="423">
        <v>10.28</v>
      </c>
      <c r="H24" s="356"/>
      <c r="I24" s="423">
        <v>0</v>
      </c>
      <c r="J24" s="356"/>
      <c r="K24" s="423">
        <v>0</v>
      </c>
      <c r="L24" s="356"/>
      <c r="M24" s="423">
        <v>0</v>
      </c>
      <c r="N24" s="356"/>
      <c r="O24" s="423">
        <v>0</v>
      </c>
      <c r="P24" s="356"/>
      <c r="Q24" s="423">
        <v>0</v>
      </c>
      <c r="R24" s="356"/>
      <c r="S24" s="423">
        <v>0</v>
      </c>
      <c r="T24" s="356"/>
      <c r="U24" s="423">
        <v>0</v>
      </c>
      <c r="V24" s="356"/>
      <c r="W24" s="423">
        <v>58.85</v>
      </c>
      <c r="X24" s="356"/>
      <c r="Y24" s="420">
        <v>0.2</v>
      </c>
      <c r="Z24" s="356"/>
      <c r="AA24" s="423">
        <v>58.85</v>
      </c>
      <c r="AB24" s="423">
        <v>85.4</v>
      </c>
      <c r="AC24" s="423">
        <v>0.98</v>
      </c>
      <c r="AD24" s="423">
        <v>86.38</v>
      </c>
    </row>
    <row r="25" spans="1:30" ht="15" customHeight="1">
      <c r="A25" s="369"/>
      <c r="B25" s="356"/>
      <c r="C25" s="356" t="s">
        <v>768</v>
      </c>
      <c r="D25" s="356" t="s">
        <v>767</v>
      </c>
      <c r="E25" s="423">
        <v>7952.44</v>
      </c>
      <c r="F25" s="356"/>
      <c r="G25" s="423">
        <v>938.29</v>
      </c>
      <c r="H25" s="356"/>
      <c r="I25" s="423">
        <v>0</v>
      </c>
      <c r="J25" s="356"/>
      <c r="K25" s="423">
        <v>0</v>
      </c>
      <c r="L25" s="356"/>
      <c r="M25" s="423">
        <v>0</v>
      </c>
      <c r="N25" s="356"/>
      <c r="O25" s="423">
        <v>0</v>
      </c>
      <c r="P25" s="356"/>
      <c r="Q25" s="423">
        <v>0</v>
      </c>
      <c r="R25" s="356"/>
      <c r="S25" s="423">
        <v>0</v>
      </c>
      <c r="T25" s="356"/>
      <c r="U25" s="423">
        <v>0</v>
      </c>
      <c r="V25" s="356"/>
      <c r="W25" s="423">
        <v>8890.73</v>
      </c>
      <c r="X25" s="356"/>
      <c r="Y25" s="420">
        <v>0.2</v>
      </c>
      <c r="Z25" s="356"/>
      <c r="AA25" s="423">
        <v>8890.73</v>
      </c>
      <c r="AB25" s="423">
        <v>12562.06</v>
      </c>
      <c r="AC25" s="423">
        <v>148.18</v>
      </c>
      <c r="AD25" s="423">
        <v>12710.24</v>
      </c>
    </row>
    <row r="26" spans="1:30" ht="15" customHeight="1">
      <c r="A26" s="369"/>
      <c r="B26" s="356"/>
      <c r="C26" s="356" t="s">
        <v>766</v>
      </c>
      <c r="D26" s="356" t="s">
        <v>765</v>
      </c>
      <c r="E26" s="423">
        <v>17513.11</v>
      </c>
      <c r="F26" s="356"/>
      <c r="G26" s="423">
        <v>6734.62</v>
      </c>
      <c r="H26" s="356"/>
      <c r="I26" s="423">
        <v>5926.49</v>
      </c>
      <c r="J26" s="356"/>
      <c r="K26" s="423">
        <v>88.49</v>
      </c>
      <c r="L26" s="356"/>
      <c r="M26" s="423">
        <v>41.53</v>
      </c>
      <c r="N26" s="356"/>
      <c r="O26" s="423">
        <v>0</v>
      </c>
      <c r="P26" s="356"/>
      <c r="Q26" s="423">
        <v>0</v>
      </c>
      <c r="R26" s="356"/>
      <c r="S26" s="423">
        <v>0</v>
      </c>
      <c r="T26" s="356"/>
      <c r="U26" s="423">
        <v>0</v>
      </c>
      <c r="V26" s="356"/>
      <c r="W26" s="423">
        <v>30304.240000000002</v>
      </c>
      <c r="X26" s="356"/>
      <c r="Y26" s="420">
        <v>0.2</v>
      </c>
      <c r="Z26" s="356"/>
      <c r="AA26" s="423">
        <v>30304.240000000002</v>
      </c>
      <c r="AB26" s="423">
        <v>41212.31</v>
      </c>
      <c r="AC26" s="423">
        <v>505.07</v>
      </c>
      <c r="AD26" s="423">
        <v>41717.379999999997</v>
      </c>
    </row>
    <row r="27" spans="1:30" ht="15" customHeight="1">
      <c r="A27" s="369"/>
      <c r="B27" s="356"/>
      <c r="C27" s="356" t="s">
        <v>764</v>
      </c>
      <c r="D27" s="356" t="s">
        <v>763</v>
      </c>
      <c r="E27" s="423">
        <v>36461.5</v>
      </c>
      <c r="F27" s="356"/>
      <c r="G27" s="423">
        <v>21592.39</v>
      </c>
      <c r="H27" s="356"/>
      <c r="I27" s="423">
        <v>23665.21</v>
      </c>
      <c r="J27" s="356"/>
      <c r="K27" s="423">
        <v>14773.72</v>
      </c>
      <c r="L27" s="356"/>
      <c r="M27" s="423">
        <v>14809.13</v>
      </c>
      <c r="N27" s="356"/>
      <c r="O27" s="423">
        <v>0</v>
      </c>
      <c r="P27" s="356"/>
      <c r="Q27" s="423">
        <v>0</v>
      </c>
      <c r="R27" s="356"/>
      <c r="S27" s="423">
        <v>0</v>
      </c>
      <c r="T27" s="356"/>
      <c r="U27" s="423">
        <v>0</v>
      </c>
      <c r="V27" s="356"/>
      <c r="W27" s="423">
        <v>111301.95</v>
      </c>
      <c r="X27" s="356"/>
      <c r="Y27" s="420">
        <v>0.2</v>
      </c>
      <c r="Z27" s="356"/>
      <c r="AA27" s="423">
        <v>111301.95</v>
      </c>
      <c r="AB27" s="423">
        <v>132965.47</v>
      </c>
      <c r="AC27" s="423">
        <v>1855.03</v>
      </c>
      <c r="AD27" s="423">
        <v>134820.5</v>
      </c>
    </row>
    <row r="28" spans="1:30" ht="15" customHeight="1">
      <c r="A28" s="369"/>
      <c r="B28" s="356"/>
      <c r="C28" s="356" t="s">
        <v>762</v>
      </c>
      <c r="D28" s="356" t="s">
        <v>761</v>
      </c>
      <c r="E28" s="423">
        <v>0</v>
      </c>
      <c r="F28" s="356"/>
      <c r="G28" s="423">
        <v>1540.32</v>
      </c>
      <c r="H28" s="356"/>
      <c r="I28" s="423">
        <v>3315.79</v>
      </c>
      <c r="J28" s="356"/>
      <c r="K28" s="423">
        <v>1690.34</v>
      </c>
      <c r="L28" s="356"/>
      <c r="M28" s="423">
        <v>13.09</v>
      </c>
      <c r="N28" s="356"/>
      <c r="O28" s="423">
        <v>0</v>
      </c>
      <c r="P28" s="356"/>
      <c r="Q28" s="423">
        <v>0</v>
      </c>
      <c r="R28" s="356"/>
      <c r="S28" s="423">
        <v>0</v>
      </c>
      <c r="T28" s="356"/>
      <c r="U28" s="423">
        <v>0</v>
      </c>
      <c r="V28" s="356"/>
      <c r="W28" s="423">
        <v>6559.54</v>
      </c>
      <c r="X28" s="356"/>
      <c r="Y28" s="420">
        <v>0.2</v>
      </c>
      <c r="Z28" s="356"/>
      <c r="AA28" s="423">
        <v>6559.54</v>
      </c>
      <c r="AB28" s="423">
        <v>7276.49</v>
      </c>
      <c r="AC28" s="423">
        <v>109.33</v>
      </c>
      <c r="AD28" s="423">
        <v>7385.82</v>
      </c>
    </row>
    <row r="29" spans="1:30" ht="15" customHeight="1">
      <c r="A29" s="369"/>
      <c r="B29" s="356"/>
      <c r="C29" s="356" t="s">
        <v>760</v>
      </c>
      <c r="D29" s="356" t="s">
        <v>759</v>
      </c>
      <c r="E29" s="423">
        <v>0</v>
      </c>
      <c r="F29" s="356"/>
      <c r="G29" s="423">
        <v>7938.49</v>
      </c>
      <c r="H29" s="356"/>
      <c r="I29" s="423">
        <v>14225.05</v>
      </c>
      <c r="J29" s="356"/>
      <c r="K29" s="423">
        <v>515.22</v>
      </c>
      <c r="L29" s="356"/>
      <c r="M29" s="423">
        <v>0</v>
      </c>
      <c r="N29" s="356"/>
      <c r="O29" s="423">
        <v>0</v>
      </c>
      <c r="P29" s="356"/>
      <c r="Q29" s="423">
        <v>0</v>
      </c>
      <c r="R29" s="356"/>
      <c r="S29" s="423">
        <v>0</v>
      </c>
      <c r="T29" s="356"/>
      <c r="U29" s="423">
        <v>0</v>
      </c>
      <c r="V29" s="356"/>
      <c r="W29" s="423">
        <v>22678.76</v>
      </c>
      <c r="X29" s="356"/>
      <c r="Y29" s="420">
        <v>0.2</v>
      </c>
      <c r="Z29" s="356"/>
      <c r="AA29" s="423">
        <v>22678.76</v>
      </c>
      <c r="AB29" s="423">
        <v>26961.37</v>
      </c>
      <c r="AC29" s="423">
        <v>377.98</v>
      </c>
      <c r="AD29" s="423">
        <v>27339.35</v>
      </c>
    </row>
    <row r="30" spans="1:30" ht="15" customHeight="1">
      <c r="A30" s="369"/>
      <c r="B30" s="356"/>
      <c r="C30" s="356" t="s">
        <v>740</v>
      </c>
      <c r="D30" s="356" t="s">
        <v>758</v>
      </c>
      <c r="E30" s="423">
        <v>0</v>
      </c>
      <c r="F30" s="356"/>
      <c r="G30" s="423">
        <v>1820.77</v>
      </c>
      <c r="H30" s="356"/>
      <c r="I30" s="423">
        <v>1262.79</v>
      </c>
      <c r="J30" s="356"/>
      <c r="K30" s="423">
        <v>-161.96</v>
      </c>
      <c r="L30" s="356"/>
      <c r="M30" s="423">
        <v>0</v>
      </c>
      <c r="N30" s="356"/>
      <c r="O30" s="423">
        <v>0</v>
      </c>
      <c r="P30" s="356"/>
      <c r="Q30" s="423">
        <v>0</v>
      </c>
      <c r="R30" s="356"/>
      <c r="S30" s="423">
        <v>0</v>
      </c>
      <c r="T30" s="356"/>
      <c r="U30" s="423">
        <v>0</v>
      </c>
      <c r="V30" s="356"/>
      <c r="W30" s="423">
        <v>2921.6</v>
      </c>
      <c r="X30" s="356"/>
      <c r="Y30" s="420">
        <v>0.2</v>
      </c>
      <c r="Z30" s="356"/>
      <c r="AA30" s="423">
        <v>2921.6</v>
      </c>
      <c r="AB30" s="423">
        <v>3481.65</v>
      </c>
      <c r="AC30" s="423">
        <v>48.69</v>
      </c>
      <c r="AD30" s="423">
        <v>3530.34</v>
      </c>
    </row>
    <row r="31" spans="1:30" ht="15" customHeight="1">
      <c r="A31" s="369"/>
      <c r="B31" s="356"/>
      <c r="C31" s="356" t="s">
        <v>740</v>
      </c>
      <c r="D31" s="356" t="s">
        <v>757</v>
      </c>
      <c r="E31" s="423">
        <v>0</v>
      </c>
      <c r="F31" s="356"/>
      <c r="G31" s="423">
        <v>1431.91</v>
      </c>
      <c r="H31" s="356"/>
      <c r="I31" s="423">
        <v>4422.7299999999996</v>
      </c>
      <c r="J31" s="356"/>
      <c r="K31" s="423">
        <v>995.07</v>
      </c>
      <c r="L31" s="356"/>
      <c r="M31" s="423">
        <v>9.08</v>
      </c>
      <c r="N31" s="356"/>
      <c r="O31" s="423">
        <v>0</v>
      </c>
      <c r="P31" s="356"/>
      <c r="Q31" s="423">
        <v>0</v>
      </c>
      <c r="R31" s="356"/>
      <c r="S31" s="423">
        <v>0</v>
      </c>
      <c r="T31" s="356"/>
      <c r="U31" s="423">
        <v>0</v>
      </c>
      <c r="V31" s="356"/>
      <c r="W31" s="423">
        <v>6858.79</v>
      </c>
      <c r="X31" s="356"/>
      <c r="Y31" s="420">
        <v>0.2</v>
      </c>
      <c r="Z31" s="356"/>
      <c r="AA31" s="423">
        <v>6858.79</v>
      </c>
      <c r="AB31" s="423">
        <v>7858.34</v>
      </c>
      <c r="AC31" s="423">
        <v>114.31</v>
      </c>
      <c r="AD31" s="423">
        <v>7972.65</v>
      </c>
    </row>
    <row r="32" spans="1:30" ht="15" customHeight="1">
      <c r="A32" s="369"/>
      <c r="B32" s="356"/>
      <c r="C32" s="356" t="s">
        <v>740</v>
      </c>
      <c r="D32" s="356" t="s">
        <v>756</v>
      </c>
      <c r="E32" s="423">
        <v>0</v>
      </c>
      <c r="F32" s="356"/>
      <c r="G32" s="423">
        <v>5135.57</v>
      </c>
      <c r="H32" s="356"/>
      <c r="I32" s="423">
        <v>3160.21</v>
      </c>
      <c r="J32" s="356"/>
      <c r="K32" s="423">
        <v>194.83</v>
      </c>
      <c r="L32" s="356"/>
      <c r="M32" s="423">
        <v>108.89</v>
      </c>
      <c r="N32" s="356"/>
      <c r="O32" s="423">
        <v>8956.19</v>
      </c>
      <c r="P32" s="356"/>
      <c r="Q32" s="423">
        <v>105.52</v>
      </c>
      <c r="R32" s="356"/>
      <c r="S32" s="423">
        <v>0</v>
      </c>
      <c r="T32" s="356"/>
      <c r="U32" s="423">
        <v>0</v>
      </c>
      <c r="V32" s="356"/>
      <c r="W32" s="423">
        <v>17661.21</v>
      </c>
      <c r="X32" s="356"/>
      <c r="Y32" s="420">
        <v>0.2</v>
      </c>
      <c r="Z32" s="356"/>
      <c r="AA32" s="423">
        <v>17661.21</v>
      </c>
      <c r="AB32" s="423">
        <v>15679.48</v>
      </c>
      <c r="AC32" s="423">
        <v>294.35000000000002</v>
      </c>
      <c r="AD32" s="423">
        <v>15973.83</v>
      </c>
    </row>
    <row r="33" spans="1:30" ht="15" customHeight="1">
      <c r="A33" s="369"/>
      <c r="B33" s="356"/>
      <c r="C33" s="356" t="s">
        <v>740</v>
      </c>
      <c r="D33" s="356" t="s">
        <v>755</v>
      </c>
      <c r="E33" s="423">
        <v>0</v>
      </c>
      <c r="F33" s="356"/>
      <c r="G33" s="423">
        <v>0</v>
      </c>
      <c r="H33" s="356"/>
      <c r="I33" s="423">
        <v>2070.3000000000002</v>
      </c>
      <c r="J33" s="356"/>
      <c r="K33" s="423">
        <v>0</v>
      </c>
      <c r="L33" s="356"/>
      <c r="M33" s="423">
        <v>0</v>
      </c>
      <c r="N33" s="356"/>
      <c r="O33" s="423">
        <v>0</v>
      </c>
      <c r="P33" s="356"/>
      <c r="Q33" s="423">
        <v>0</v>
      </c>
      <c r="R33" s="356"/>
      <c r="S33" s="423">
        <v>0</v>
      </c>
      <c r="T33" s="356"/>
      <c r="U33" s="423">
        <v>0</v>
      </c>
      <c r="V33" s="356"/>
      <c r="W33" s="423">
        <v>2070.3000000000002</v>
      </c>
      <c r="X33" s="356"/>
      <c r="Y33" s="420">
        <v>0.2</v>
      </c>
      <c r="Z33" s="356"/>
      <c r="AA33" s="423">
        <v>2070.3000000000002</v>
      </c>
      <c r="AB33" s="423">
        <v>2392.08</v>
      </c>
      <c r="AC33" s="423">
        <v>34.51</v>
      </c>
      <c r="AD33" s="423">
        <v>2426.59</v>
      </c>
    </row>
    <row r="34" spans="1:30" ht="15" customHeight="1">
      <c r="A34" s="369"/>
      <c r="B34" s="356"/>
      <c r="C34" s="356" t="s">
        <v>740</v>
      </c>
      <c r="D34" s="356" t="s">
        <v>754</v>
      </c>
      <c r="E34" s="423">
        <v>0</v>
      </c>
      <c r="F34" s="356"/>
      <c r="G34" s="423">
        <v>0</v>
      </c>
      <c r="H34" s="356"/>
      <c r="I34" s="423">
        <v>3599.37</v>
      </c>
      <c r="J34" s="356"/>
      <c r="K34" s="423">
        <v>2053.64</v>
      </c>
      <c r="L34" s="356"/>
      <c r="M34" s="423">
        <v>9.0399999999999991</v>
      </c>
      <c r="N34" s="356"/>
      <c r="O34" s="423">
        <v>0</v>
      </c>
      <c r="P34" s="356"/>
      <c r="Q34" s="423">
        <v>0</v>
      </c>
      <c r="R34" s="356"/>
      <c r="S34" s="423">
        <v>0</v>
      </c>
      <c r="T34" s="356"/>
      <c r="U34" s="423">
        <v>0</v>
      </c>
      <c r="V34" s="356"/>
      <c r="W34" s="423">
        <v>5662.05</v>
      </c>
      <c r="X34" s="356"/>
      <c r="Y34" s="420">
        <v>0.2</v>
      </c>
      <c r="Z34" s="356"/>
      <c r="AA34" s="423">
        <v>5662.05</v>
      </c>
      <c r="AB34" s="423">
        <v>5775.11</v>
      </c>
      <c r="AC34" s="423">
        <v>94.37</v>
      </c>
      <c r="AD34" s="423">
        <v>5869.48</v>
      </c>
    </row>
    <row r="35" spans="1:30" ht="15" customHeight="1">
      <c r="A35" s="369"/>
      <c r="B35" s="356"/>
      <c r="C35" s="356" t="s">
        <v>740</v>
      </c>
      <c r="D35" s="356" t="s">
        <v>753</v>
      </c>
      <c r="E35" s="423">
        <v>0</v>
      </c>
      <c r="F35" s="356"/>
      <c r="G35" s="423">
        <v>0</v>
      </c>
      <c r="H35" s="356"/>
      <c r="I35" s="423">
        <v>0</v>
      </c>
      <c r="J35" s="356"/>
      <c r="K35" s="423">
        <v>0</v>
      </c>
      <c r="L35" s="356"/>
      <c r="M35" s="423">
        <v>4286.72</v>
      </c>
      <c r="N35" s="356"/>
      <c r="O35" s="423">
        <v>4607.4799999999996</v>
      </c>
      <c r="P35" s="356"/>
      <c r="Q35" s="423">
        <v>775.52</v>
      </c>
      <c r="R35" s="356"/>
      <c r="S35" s="423">
        <v>7.09</v>
      </c>
      <c r="T35" s="356"/>
      <c r="U35" s="423">
        <v>0</v>
      </c>
      <c r="V35" s="356"/>
      <c r="W35" s="423">
        <v>9676.81</v>
      </c>
      <c r="X35" s="356"/>
      <c r="Y35" s="420">
        <v>0.2</v>
      </c>
      <c r="Z35" s="356"/>
      <c r="AA35" s="423">
        <v>9676.81</v>
      </c>
      <c r="AB35" s="423">
        <v>5295.13</v>
      </c>
      <c r="AC35" s="423">
        <v>161.28</v>
      </c>
      <c r="AD35" s="423">
        <v>5456.41</v>
      </c>
    </row>
    <row r="36" spans="1:30" ht="15" customHeight="1">
      <c r="A36" s="369"/>
      <c r="B36" s="356"/>
      <c r="C36" s="356" t="s">
        <v>740</v>
      </c>
      <c r="D36" s="356" t="s">
        <v>752</v>
      </c>
      <c r="E36" s="423">
        <v>0</v>
      </c>
      <c r="F36" s="356"/>
      <c r="G36" s="423">
        <v>0</v>
      </c>
      <c r="H36" s="356"/>
      <c r="I36" s="423">
        <v>0</v>
      </c>
      <c r="J36" s="356"/>
      <c r="K36" s="423">
        <v>0</v>
      </c>
      <c r="L36" s="356"/>
      <c r="M36" s="423">
        <v>4869.0600000000004</v>
      </c>
      <c r="N36" s="356"/>
      <c r="O36" s="423">
        <v>25.61</v>
      </c>
      <c r="P36" s="356"/>
      <c r="Q36" s="423">
        <v>0</v>
      </c>
      <c r="R36" s="356"/>
      <c r="S36" s="423">
        <v>0</v>
      </c>
      <c r="T36" s="356"/>
      <c r="U36" s="423">
        <v>0</v>
      </c>
      <c r="V36" s="356"/>
      <c r="W36" s="423">
        <v>4894.67</v>
      </c>
      <c r="X36" s="356"/>
      <c r="Y36" s="420">
        <v>0.2</v>
      </c>
      <c r="Z36" s="356"/>
      <c r="AA36" s="423">
        <v>4894.67</v>
      </c>
      <c r="AB36" s="423">
        <v>3343.16</v>
      </c>
      <c r="AC36" s="423">
        <v>81.58</v>
      </c>
      <c r="AD36" s="423">
        <v>3424.74</v>
      </c>
    </row>
    <row r="37" spans="1:30" ht="15" customHeight="1">
      <c r="A37" s="369"/>
      <c r="B37" s="356"/>
      <c r="C37" s="356" t="s">
        <v>740</v>
      </c>
      <c r="D37" s="356" t="s">
        <v>751</v>
      </c>
      <c r="E37" s="423">
        <v>0</v>
      </c>
      <c r="F37" s="356"/>
      <c r="G37" s="423">
        <v>0</v>
      </c>
      <c r="H37" s="356"/>
      <c r="I37" s="423">
        <v>0</v>
      </c>
      <c r="J37" s="356"/>
      <c r="K37" s="423">
        <v>0</v>
      </c>
      <c r="L37" s="356"/>
      <c r="M37" s="423">
        <v>0</v>
      </c>
      <c r="N37" s="356"/>
      <c r="O37" s="423">
        <v>1039.75</v>
      </c>
      <c r="P37" s="356"/>
      <c r="Q37" s="423">
        <v>1891.09</v>
      </c>
      <c r="R37" s="356"/>
      <c r="S37" s="423">
        <v>0</v>
      </c>
      <c r="T37" s="356"/>
      <c r="U37" s="423">
        <v>0</v>
      </c>
      <c r="V37" s="356"/>
      <c r="W37" s="423">
        <v>2930.84</v>
      </c>
      <c r="X37" s="356"/>
      <c r="Y37" s="420">
        <v>0.2</v>
      </c>
      <c r="Z37" s="356"/>
      <c r="AA37" s="423">
        <v>2930.84</v>
      </c>
      <c r="AB37" s="423">
        <v>1279.3</v>
      </c>
      <c r="AC37" s="423">
        <v>48.85</v>
      </c>
      <c r="AD37" s="423">
        <v>1328.15</v>
      </c>
    </row>
    <row r="38" spans="1:30" ht="15" customHeight="1">
      <c r="A38" s="369"/>
      <c r="B38" s="356"/>
      <c r="C38" s="356" t="s">
        <v>740</v>
      </c>
      <c r="D38" s="356" t="s">
        <v>750</v>
      </c>
      <c r="E38" s="356"/>
      <c r="F38" s="356"/>
      <c r="G38" s="356"/>
      <c r="H38" s="356"/>
      <c r="I38" s="356"/>
      <c r="J38" s="356"/>
      <c r="K38" s="356"/>
      <c r="L38" s="356"/>
      <c r="M38" s="356"/>
      <c r="N38" s="356"/>
      <c r="O38" s="423">
        <v>4806.8</v>
      </c>
      <c r="P38" s="356"/>
      <c r="Q38" s="423">
        <v>81.510000000000005</v>
      </c>
      <c r="R38" s="356"/>
      <c r="S38" s="423">
        <v>0</v>
      </c>
      <c r="T38" s="356"/>
      <c r="U38" s="423">
        <v>0</v>
      </c>
      <c r="V38" s="356"/>
      <c r="W38" s="423">
        <v>4888.3100000000004</v>
      </c>
      <c r="X38" s="356"/>
      <c r="Y38" s="420">
        <v>0.2</v>
      </c>
      <c r="Z38" s="356"/>
      <c r="AA38" s="423">
        <v>4888.3100000000004</v>
      </c>
      <c r="AB38" s="423">
        <v>2790.65</v>
      </c>
      <c r="AC38" s="423">
        <v>81.47</v>
      </c>
      <c r="AD38" s="423">
        <v>2872.12</v>
      </c>
    </row>
    <row r="39" spans="1:30" ht="15" customHeight="1">
      <c r="A39" s="369"/>
      <c r="B39" s="356"/>
      <c r="C39" s="356" t="s">
        <v>740</v>
      </c>
      <c r="D39" s="356" t="s">
        <v>749</v>
      </c>
      <c r="E39" s="356"/>
      <c r="F39" s="356"/>
      <c r="G39" s="356"/>
      <c r="H39" s="356"/>
      <c r="I39" s="356"/>
      <c r="J39" s="356"/>
      <c r="K39" s="356"/>
      <c r="L39" s="356"/>
      <c r="M39" s="356"/>
      <c r="N39" s="356"/>
      <c r="O39" s="423">
        <v>425.57</v>
      </c>
      <c r="P39" s="356"/>
      <c r="Q39" s="423">
        <v>3.75</v>
      </c>
      <c r="R39" s="356"/>
      <c r="S39" s="423">
        <v>0</v>
      </c>
      <c r="T39" s="356"/>
      <c r="U39" s="423">
        <v>0</v>
      </c>
      <c r="V39" s="356"/>
      <c r="W39" s="423">
        <v>429.32</v>
      </c>
      <c r="X39" s="356"/>
      <c r="Y39" s="420">
        <v>0.2</v>
      </c>
      <c r="Z39" s="356"/>
      <c r="AA39" s="423">
        <v>429.32</v>
      </c>
      <c r="AB39" s="423">
        <v>204.92</v>
      </c>
      <c r="AC39" s="423">
        <v>7.16</v>
      </c>
      <c r="AD39" s="423">
        <v>212.08</v>
      </c>
    </row>
    <row r="40" spans="1:30" ht="15" customHeight="1">
      <c r="A40" s="369"/>
      <c r="B40" s="356"/>
      <c r="C40" s="356" t="s">
        <v>740</v>
      </c>
      <c r="D40" s="356" t="s">
        <v>748</v>
      </c>
      <c r="E40" s="423">
        <v>0</v>
      </c>
      <c r="F40" s="356"/>
      <c r="G40" s="423">
        <v>0</v>
      </c>
      <c r="H40" s="356"/>
      <c r="I40" s="423">
        <v>0</v>
      </c>
      <c r="J40" s="356"/>
      <c r="K40" s="423">
        <v>0</v>
      </c>
      <c r="L40" s="356"/>
      <c r="M40" s="423">
        <v>0</v>
      </c>
      <c r="N40" s="356"/>
      <c r="O40" s="423">
        <v>868.84</v>
      </c>
      <c r="P40" s="356"/>
      <c r="Q40" s="423">
        <v>1249.0899999999999</v>
      </c>
      <c r="R40" s="356"/>
      <c r="S40" s="423">
        <v>28.1</v>
      </c>
      <c r="T40" s="356"/>
      <c r="U40" s="423">
        <v>0</v>
      </c>
      <c r="V40" s="356"/>
      <c r="W40" s="423">
        <v>2146.0300000000002</v>
      </c>
      <c r="X40" s="356"/>
      <c r="Y40" s="420">
        <v>0.2</v>
      </c>
      <c r="Z40" s="356"/>
      <c r="AA40" s="423">
        <v>2146.0300000000002</v>
      </c>
      <c r="AB40" s="423">
        <v>856.99</v>
      </c>
      <c r="AC40" s="423">
        <v>35.770000000000003</v>
      </c>
      <c r="AD40" s="423">
        <v>892.76</v>
      </c>
    </row>
    <row r="41" spans="1:30" ht="15" customHeight="1">
      <c r="A41" s="369"/>
      <c r="B41" s="356"/>
      <c r="C41" s="356" t="s">
        <v>740</v>
      </c>
      <c r="D41" s="356" t="s">
        <v>747</v>
      </c>
      <c r="E41" s="356"/>
      <c r="F41" s="356"/>
      <c r="G41" s="356"/>
      <c r="H41" s="356"/>
      <c r="I41" s="356"/>
      <c r="J41" s="356"/>
      <c r="K41" s="356"/>
      <c r="L41" s="356"/>
      <c r="M41" s="356"/>
      <c r="N41" s="356"/>
      <c r="O41" s="423">
        <v>767.01</v>
      </c>
      <c r="P41" s="356"/>
      <c r="Q41" s="423">
        <v>1738.73</v>
      </c>
      <c r="R41" s="356"/>
      <c r="S41" s="423">
        <v>0</v>
      </c>
      <c r="T41" s="356"/>
      <c r="U41" s="423">
        <v>0</v>
      </c>
      <c r="V41" s="356"/>
      <c r="W41" s="423">
        <v>2505.7399999999998</v>
      </c>
      <c r="X41" s="356"/>
      <c r="Y41" s="420">
        <v>0.2</v>
      </c>
      <c r="Z41" s="356"/>
      <c r="AA41" s="423">
        <v>2505.7399999999998</v>
      </c>
      <c r="AB41" s="423">
        <v>1039.1500000000001</v>
      </c>
      <c r="AC41" s="423">
        <v>41.76</v>
      </c>
      <c r="AD41" s="423">
        <v>1080.9100000000001</v>
      </c>
    </row>
    <row r="42" spans="1:30" ht="15" customHeight="1">
      <c r="A42" s="369"/>
      <c r="B42" s="356"/>
      <c r="C42" s="356" t="s">
        <v>740</v>
      </c>
      <c r="D42" s="356" t="s">
        <v>746</v>
      </c>
      <c r="E42" s="356"/>
      <c r="F42" s="356"/>
      <c r="G42" s="356"/>
      <c r="H42" s="356"/>
      <c r="I42" s="356"/>
      <c r="J42" s="356"/>
      <c r="K42" s="356"/>
      <c r="L42" s="356"/>
      <c r="M42" s="356"/>
      <c r="N42" s="356"/>
      <c r="O42" s="423">
        <v>1135.3499999999999</v>
      </c>
      <c r="P42" s="356"/>
      <c r="Q42" s="423">
        <v>1003.46</v>
      </c>
      <c r="R42" s="356"/>
      <c r="S42" s="423">
        <v>0</v>
      </c>
      <c r="T42" s="356"/>
      <c r="U42" s="423">
        <v>0</v>
      </c>
      <c r="V42" s="356"/>
      <c r="W42" s="423">
        <v>2138.81</v>
      </c>
      <c r="X42" s="356"/>
      <c r="Y42" s="420">
        <v>0.2</v>
      </c>
      <c r="Z42" s="356"/>
      <c r="AA42" s="423">
        <v>2138.81</v>
      </c>
      <c r="AB42" s="423">
        <v>886.71</v>
      </c>
      <c r="AC42" s="423">
        <v>35.65</v>
      </c>
      <c r="AD42" s="423">
        <v>922.36</v>
      </c>
    </row>
    <row r="43" spans="1:30" ht="15" customHeight="1">
      <c r="A43" s="369"/>
      <c r="B43" s="356"/>
      <c r="C43" s="356" t="s">
        <v>740</v>
      </c>
      <c r="D43" s="356" t="s">
        <v>745</v>
      </c>
      <c r="E43" s="356"/>
      <c r="F43" s="356"/>
      <c r="G43" s="356"/>
      <c r="H43" s="356"/>
      <c r="I43" s="356"/>
      <c r="J43" s="356"/>
      <c r="K43" s="356"/>
      <c r="L43" s="356"/>
      <c r="M43" s="356"/>
      <c r="N43" s="356"/>
      <c r="O43" s="423">
        <v>3532.16</v>
      </c>
      <c r="P43" s="356"/>
      <c r="Q43" s="423">
        <v>939.75</v>
      </c>
      <c r="R43" s="356"/>
      <c r="S43" s="423">
        <v>0</v>
      </c>
      <c r="T43" s="356"/>
      <c r="U43" s="423">
        <v>0</v>
      </c>
      <c r="V43" s="356"/>
      <c r="W43" s="423">
        <v>4471.91</v>
      </c>
      <c r="X43" s="356"/>
      <c r="Y43" s="420">
        <v>0.2</v>
      </c>
      <c r="Z43" s="356"/>
      <c r="AA43" s="423">
        <v>4471.91</v>
      </c>
      <c r="AB43" s="423">
        <v>1994.06</v>
      </c>
      <c r="AC43" s="423">
        <v>74.53</v>
      </c>
      <c r="AD43" s="423">
        <v>2068.59</v>
      </c>
    </row>
    <row r="44" spans="1:30" ht="15" customHeight="1">
      <c r="A44" s="369"/>
      <c r="B44" s="356"/>
      <c r="C44" s="356" t="s">
        <v>740</v>
      </c>
      <c r="D44" s="356" t="s">
        <v>744</v>
      </c>
      <c r="E44" s="356"/>
      <c r="F44" s="356"/>
      <c r="G44" s="356"/>
      <c r="H44" s="356"/>
      <c r="I44" s="356"/>
      <c r="J44" s="356"/>
      <c r="K44" s="356"/>
      <c r="L44" s="356"/>
      <c r="M44" s="356"/>
      <c r="N44" s="356"/>
      <c r="O44" s="356"/>
      <c r="P44" s="356"/>
      <c r="Q44" s="423">
        <v>3914.04</v>
      </c>
      <c r="R44" s="356"/>
      <c r="S44" s="423">
        <v>68.739999999999995</v>
      </c>
      <c r="T44" s="356"/>
      <c r="U44" s="423">
        <v>15.18</v>
      </c>
      <c r="V44" s="356"/>
      <c r="W44" s="423">
        <v>3997.96</v>
      </c>
      <c r="X44" s="356"/>
      <c r="Y44" s="420">
        <v>0.2</v>
      </c>
      <c r="Z44" s="356"/>
      <c r="AA44" s="423">
        <v>3997.96</v>
      </c>
      <c r="AB44" s="423">
        <v>1222.3399999999999</v>
      </c>
      <c r="AC44" s="423">
        <v>66.63</v>
      </c>
      <c r="AD44" s="423">
        <v>1288.97</v>
      </c>
    </row>
    <row r="45" spans="1:30" ht="15" customHeight="1">
      <c r="A45" s="369"/>
      <c r="B45" s="356"/>
      <c r="C45" s="356" t="s">
        <v>740</v>
      </c>
      <c r="D45" s="356" t="s">
        <v>743</v>
      </c>
      <c r="E45" s="356"/>
      <c r="F45" s="356"/>
      <c r="G45" s="356"/>
      <c r="H45" s="356"/>
      <c r="I45" s="356"/>
      <c r="J45" s="356"/>
      <c r="K45" s="356"/>
      <c r="L45" s="356"/>
      <c r="M45" s="356"/>
      <c r="N45" s="356"/>
      <c r="O45" s="423">
        <v>3073.99</v>
      </c>
      <c r="P45" s="356"/>
      <c r="Q45" s="423">
        <v>3810.46</v>
      </c>
      <c r="R45" s="356"/>
      <c r="S45" s="423">
        <v>812.5</v>
      </c>
      <c r="T45" s="356"/>
      <c r="U45" s="423">
        <v>0</v>
      </c>
      <c r="V45" s="356"/>
      <c r="W45" s="423">
        <v>7696.95</v>
      </c>
      <c r="X45" s="356"/>
      <c r="Y45" s="420">
        <v>0.2</v>
      </c>
      <c r="Z45" s="356"/>
      <c r="AA45" s="423">
        <v>7696.95</v>
      </c>
      <c r="AB45" s="423">
        <v>3051.46</v>
      </c>
      <c r="AC45" s="423">
        <v>128.28</v>
      </c>
      <c r="AD45" s="423">
        <v>3179.74</v>
      </c>
    </row>
    <row r="46" spans="1:30" ht="15" customHeight="1">
      <c r="A46" s="369"/>
      <c r="B46" s="356"/>
      <c r="C46" s="356" t="s">
        <v>740</v>
      </c>
      <c r="D46" s="356" t="s">
        <v>742</v>
      </c>
      <c r="E46" s="356"/>
      <c r="F46" s="356"/>
      <c r="G46" s="356"/>
      <c r="H46" s="356"/>
      <c r="I46" s="356"/>
      <c r="J46" s="356"/>
      <c r="K46" s="356"/>
      <c r="L46" s="356"/>
      <c r="M46" s="356"/>
      <c r="N46" s="356"/>
      <c r="O46" s="423">
        <v>0</v>
      </c>
      <c r="P46" s="356"/>
      <c r="Q46" s="423">
        <v>7309.8</v>
      </c>
      <c r="R46" s="356"/>
      <c r="S46" s="423">
        <v>827.72</v>
      </c>
      <c r="T46" s="356"/>
      <c r="U46" s="423">
        <v>0</v>
      </c>
      <c r="V46" s="356"/>
      <c r="W46" s="423">
        <v>8137.52</v>
      </c>
      <c r="X46" s="356"/>
      <c r="Y46" s="420">
        <v>0.2</v>
      </c>
      <c r="Z46" s="356"/>
      <c r="AA46" s="423">
        <v>8137.52</v>
      </c>
      <c r="AB46" s="423">
        <v>2204.7399999999998</v>
      </c>
      <c r="AC46" s="423">
        <v>135.63</v>
      </c>
      <c r="AD46" s="423">
        <v>2340.37</v>
      </c>
    </row>
    <row r="47" spans="1:30" ht="15" customHeight="1">
      <c r="A47" s="369"/>
      <c r="B47" s="356"/>
      <c r="C47" s="356" t="s">
        <v>740</v>
      </c>
      <c r="D47" s="356" t="s">
        <v>741</v>
      </c>
      <c r="E47" s="356"/>
      <c r="F47" s="356"/>
      <c r="G47" s="356"/>
      <c r="H47" s="356"/>
      <c r="I47" s="356"/>
      <c r="J47" s="356"/>
      <c r="K47" s="356"/>
      <c r="L47" s="356"/>
      <c r="M47" s="356"/>
      <c r="N47" s="356"/>
      <c r="O47" s="356"/>
      <c r="P47" s="356"/>
      <c r="Q47" s="423">
        <v>1124.24</v>
      </c>
      <c r="R47" s="356"/>
      <c r="S47" s="423">
        <v>721.13</v>
      </c>
      <c r="T47" s="356"/>
      <c r="U47" s="423">
        <v>0</v>
      </c>
      <c r="V47" s="356"/>
      <c r="W47" s="423">
        <v>1845.37</v>
      </c>
      <c r="X47" s="356"/>
      <c r="Y47" s="420">
        <v>0.2</v>
      </c>
      <c r="Z47" s="356"/>
      <c r="AA47" s="423">
        <v>1845.37</v>
      </c>
      <c r="AB47" s="423">
        <v>449.33</v>
      </c>
      <c r="AC47" s="423">
        <v>30.76</v>
      </c>
      <c r="AD47" s="423">
        <v>480.09</v>
      </c>
    </row>
    <row r="48" spans="1:30" ht="15" customHeight="1">
      <c r="A48" s="369"/>
      <c r="B48" s="356"/>
      <c r="C48" s="356" t="s">
        <v>740</v>
      </c>
      <c r="D48" s="356" t="s">
        <v>739</v>
      </c>
      <c r="E48" s="356"/>
      <c r="F48" s="356"/>
      <c r="G48" s="356"/>
      <c r="H48" s="356"/>
      <c r="I48" s="356"/>
      <c r="J48" s="356"/>
      <c r="K48" s="356"/>
      <c r="L48" s="356"/>
      <c r="M48" s="356"/>
      <c r="N48" s="356"/>
      <c r="O48" s="356"/>
      <c r="P48" s="356"/>
      <c r="Q48" s="356"/>
      <c r="R48" s="356"/>
      <c r="S48" s="423">
        <v>75.86</v>
      </c>
      <c r="T48" s="356"/>
      <c r="U48" s="423">
        <v>115.17</v>
      </c>
      <c r="V48" s="356"/>
      <c r="W48" s="423">
        <v>191.03</v>
      </c>
      <c r="X48" s="356"/>
      <c r="Y48" s="420">
        <v>0.2</v>
      </c>
      <c r="Z48" s="356"/>
      <c r="AA48" s="423">
        <v>191.03</v>
      </c>
      <c r="AB48" s="423">
        <v>6.39</v>
      </c>
      <c r="AC48" s="423">
        <v>3.18</v>
      </c>
      <c r="AD48" s="423">
        <v>9.57</v>
      </c>
    </row>
    <row r="49" spans="1:30" ht="15" customHeight="1">
      <c r="A49" s="369"/>
      <c r="B49" s="356"/>
      <c r="C49" s="356" t="s">
        <v>738</v>
      </c>
      <c r="D49" s="356" t="s">
        <v>737</v>
      </c>
      <c r="E49" s="423">
        <v>0</v>
      </c>
      <c r="F49" s="356"/>
      <c r="G49" s="423">
        <v>0</v>
      </c>
      <c r="H49" s="356"/>
      <c r="I49" s="423">
        <v>21651.15</v>
      </c>
      <c r="J49" s="356"/>
      <c r="K49" s="423">
        <v>553.79999999999995</v>
      </c>
      <c r="L49" s="356"/>
      <c r="M49" s="423">
        <v>0</v>
      </c>
      <c r="N49" s="356"/>
      <c r="O49" s="423">
        <v>0</v>
      </c>
      <c r="P49" s="356"/>
      <c r="Q49" s="423">
        <v>0</v>
      </c>
      <c r="R49" s="356"/>
      <c r="S49" s="423">
        <v>0</v>
      </c>
      <c r="T49" s="356"/>
      <c r="U49" s="423">
        <v>0</v>
      </c>
      <c r="V49" s="356"/>
      <c r="W49" s="423">
        <v>22204.95</v>
      </c>
      <c r="X49" s="356"/>
      <c r="Y49" s="420">
        <v>0.2</v>
      </c>
      <c r="Z49" s="356"/>
      <c r="AA49" s="423">
        <v>22204.95</v>
      </c>
      <c r="AB49" s="423">
        <v>24972.42</v>
      </c>
      <c r="AC49" s="423">
        <v>370.08</v>
      </c>
      <c r="AD49" s="423">
        <v>25342.5</v>
      </c>
    </row>
    <row r="50" spans="1:30" ht="15" customHeight="1">
      <c r="A50" s="369"/>
      <c r="B50" s="356"/>
      <c r="C50" s="356" t="s">
        <v>736</v>
      </c>
      <c r="D50" s="356" t="s">
        <v>735</v>
      </c>
      <c r="E50" s="423">
        <v>0</v>
      </c>
      <c r="F50" s="356"/>
      <c r="G50" s="423">
        <v>0</v>
      </c>
      <c r="H50" s="356"/>
      <c r="I50" s="423">
        <v>19565.54</v>
      </c>
      <c r="J50" s="356"/>
      <c r="K50" s="423">
        <v>876.05</v>
      </c>
      <c r="L50" s="356"/>
      <c r="M50" s="423">
        <v>818.15</v>
      </c>
      <c r="N50" s="356"/>
      <c r="O50" s="423">
        <v>372.88</v>
      </c>
      <c r="P50" s="356"/>
      <c r="Q50" s="423">
        <v>46.02</v>
      </c>
      <c r="R50" s="356"/>
      <c r="S50" s="423">
        <v>0</v>
      </c>
      <c r="T50" s="356"/>
      <c r="U50" s="423">
        <v>0</v>
      </c>
      <c r="V50" s="356"/>
      <c r="W50" s="423">
        <v>21678.639999999999</v>
      </c>
      <c r="X50" s="356"/>
      <c r="Y50" s="420">
        <v>0.2</v>
      </c>
      <c r="Z50" s="356"/>
      <c r="AA50" s="423">
        <v>21678.639999999999</v>
      </c>
      <c r="AB50" s="423">
        <v>23731.19</v>
      </c>
      <c r="AC50" s="423">
        <v>361.31</v>
      </c>
      <c r="AD50" s="423">
        <v>24092.5</v>
      </c>
    </row>
    <row r="51" spans="1:30" ht="15" customHeight="1">
      <c r="A51" s="369"/>
      <c r="B51" s="356"/>
      <c r="C51" s="356" t="s">
        <v>734</v>
      </c>
      <c r="D51" s="356" t="s">
        <v>733</v>
      </c>
      <c r="E51" s="423">
        <v>0</v>
      </c>
      <c r="F51" s="356"/>
      <c r="G51" s="423">
        <v>0</v>
      </c>
      <c r="H51" s="356"/>
      <c r="I51" s="423">
        <v>12682.77</v>
      </c>
      <c r="J51" s="356"/>
      <c r="K51" s="423">
        <v>12931.96</v>
      </c>
      <c r="L51" s="356"/>
      <c r="M51" s="423">
        <v>16069.88</v>
      </c>
      <c r="N51" s="356"/>
      <c r="O51" s="423">
        <v>2543.59</v>
      </c>
      <c r="P51" s="356"/>
      <c r="Q51" s="423">
        <v>0</v>
      </c>
      <c r="R51" s="356"/>
      <c r="S51" s="423">
        <v>0</v>
      </c>
      <c r="T51" s="356"/>
      <c r="U51" s="423">
        <v>0</v>
      </c>
      <c r="V51" s="356"/>
      <c r="W51" s="423">
        <v>44228.2</v>
      </c>
      <c r="X51" s="356"/>
      <c r="Y51" s="420">
        <v>0.2</v>
      </c>
      <c r="Z51" s="356"/>
      <c r="AA51" s="423">
        <v>44228.2</v>
      </c>
      <c r="AB51" s="423">
        <v>38405.49</v>
      </c>
      <c r="AC51" s="423">
        <v>737.14</v>
      </c>
      <c r="AD51" s="423">
        <v>39142.629999999997</v>
      </c>
    </row>
    <row r="52" spans="1:30" ht="15" customHeight="1">
      <c r="A52" s="369"/>
      <c r="B52" s="356"/>
      <c r="C52" s="356" t="s">
        <v>732</v>
      </c>
      <c r="D52" s="356" t="s">
        <v>731</v>
      </c>
      <c r="E52" s="423">
        <v>0</v>
      </c>
      <c r="F52" s="356"/>
      <c r="G52" s="423">
        <v>0</v>
      </c>
      <c r="H52" s="356"/>
      <c r="I52" s="423">
        <v>12915.44</v>
      </c>
      <c r="J52" s="356"/>
      <c r="K52" s="423">
        <v>922.52</v>
      </c>
      <c r="L52" s="356"/>
      <c r="M52" s="423">
        <v>1121.8900000000001</v>
      </c>
      <c r="N52" s="356"/>
      <c r="O52" s="423">
        <v>1440.08</v>
      </c>
      <c r="P52" s="356"/>
      <c r="Q52" s="423">
        <v>2.75</v>
      </c>
      <c r="R52" s="356"/>
      <c r="S52" s="423">
        <v>0</v>
      </c>
      <c r="T52" s="356"/>
      <c r="U52" s="423">
        <v>0</v>
      </c>
      <c r="V52" s="356"/>
      <c r="W52" s="423">
        <v>16402.68</v>
      </c>
      <c r="X52" s="356"/>
      <c r="Y52" s="420">
        <v>0.2</v>
      </c>
      <c r="Z52" s="356"/>
      <c r="AA52" s="423">
        <v>16402.68</v>
      </c>
      <c r="AB52" s="423">
        <v>15915.98</v>
      </c>
      <c r="AC52" s="423">
        <v>273.38</v>
      </c>
      <c r="AD52" s="423">
        <v>16189.36</v>
      </c>
    </row>
    <row r="53" spans="1:30" ht="15" customHeight="1">
      <c r="A53" s="369"/>
      <c r="B53" s="356"/>
      <c r="C53" s="356" t="s">
        <v>730</v>
      </c>
      <c r="D53" s="356" t="s">
        <v>729</v>
      </c>
      <c r="E53" s="423">
        <v>0</v>
      </c>
      <c r="F53" s="356"/>
      <c r="G53" s="423">
        <v>0</v>
      </c>
      <c r="H53" s="356"/>
      <c r="I53" s="423">
        <v>29728.53</v>
      </c>
      <c r="J53" s="356"/>
      <c r="K53" s="423">
        <v>4261.55</v>
      </c>
      <c r="L53" s="356"/>
      <c r="M53" s="423">
        <v>71.27</v>
      </c>
      <c r="N53" s="356"/>
      <c r="O53" s="423">
        <v>0</v>
      </c>
      <c r="P53" s="356"/>
      <c r="Q53" s="423">
        <v>0</v>
      </c>
      <c r="R53" s="356"/>
      <c r="S53" s="423">
        <v>0</v>
      </c>
      <c r="T53" s="356"/>
      <c r="U53" s="423">
        <v>0</v>
      </c>
      <c r="V53" s="356"/>
      <c r="W53" s="423">
        <v>34061.35</v>
      </c>
      <c r="X53" s="356"/>
      <c r="Y53" s="420">
        <v>0.2</v>
      </c>
      <c r="Z53" s="356"/>
      <c r="AA53" s="423">
        <v>34061.35</v>
      </c>
      <c r="AB53" s="423">
        <v>37219.919999999998</v>
      </c>
      <c r="AC53" s="423">
        <v>567.69000000000005</v>
      </c>
      <c r="AD53" s="423">
        <v>37787.61</v>
      </c>
    </row>
    <row r="54" spans="1:30" ht="15" customHeight="1">
      <c r="A54" s="369"/>
      <c r="B54" s="356"/>
      <c r="C54" s="356" t="s">
        <v>728</v>
      </c>
      <c r="D54" s="356" t="s">
        <v>727</v>
      </c>
      <c r="E54" s="423">
        <v>0</v>
      </c>
      <c r="F54" s="356"/>
      <c r="G54" s="423">
        <v>0</v>
      </c>
      <c r="H54" s="356"/>
      <c r="I54" s="423">
        <v>28581.25</v>
      </c>
      <c r="J54" s="356"/>
      <c r="K54" s="423">
        <v>9957.64</v>
      </c>
      <c r="L54" s="356"/>
      <c r="M54" s="423">
        <v>22202.13</v>
      </c>
      <c r="N54" s="356"/>
      <c r="O54" s="423">
        <v>2957.9</v>
      </c>
      <c r="P54" s="356"/>
      <c r="Q54" s="423">
        <v>87.91</v>
      </c>
      <c r="R54" s="356"/>
      <c r="S54" s="423">
        <v>0</v>
      </c>
      <c r="T54" s="356"/>
      <c r="U54" s="423">
        <v>0</v>
      </c>
      <c r="V54" s="356"/>
      <c r="W54" s="423">
        <v>63786.83</v>
      </c>
      <c r="X54" s="356"/>
      <c r="Y54" s="420">
        <v>0.2</v>
      </c>
      <c r="Z54" s="356"/>
      <c r="AA54" s="423">
        <v>63786.83</v>
      </c>
      <c r="AB54" s="423">
        <v>56479.22</v>
      </c>
      <c r="AC54" s="423">
        <v>1063.1099999999999</v>
      </c>
      <c r="AD54" s="423">
        <v>57542.33</v>
      </c>
    </row>
    <row r="55" spans="1:30" ht="15" customHeight="1">
      <c r="A55" s="369"/>
      <c r="B55" s="356"/>
      <c r="C55" s="356" t="s">
        <v>726</v>
      </c>
      <c r="D55" s="356" t="s">
        <v>725</v>
      </c>
      <c r="E55" s="423">
        <v>0</v>
      </c>
      <c r="F55" s="356"/>
      <c r="G55" s="423">
        <v>0</v>
      </c>
      <c r="H55" s="356"/>
      <c r="I55" s="423">
        <v>4826.24</v>
      </c>
      <c r="J55" s="356"/>
      <c r="K55" s="423">
        <v>17700.55</v>
      </c>
      <c r="L55" s="356"/>
      <c r="M55" s="423">
        <v>1425</v>
      </c>
      <c r="N55" s="356"/>
      <c r="O55" s="423">
        <v>0</v>
      </c>
      <c r="P55" s="356"/>
      <c r="Q55" s="423">
        <v>0</v>
      </c>
      <c r="R55" s="356"/>
      <c r="S55" s="423">
        <v>0</v>
      </c>
      <c r="T55" s="356"/>
      <c r="U55" s="423">
        <v>0</v>
      </c>
      <c r="V55" s="356"/>
      <c r="W55" s="423">
        <v>23951.79</v>
      </c>
      <c r="X55" s="356"/>
      <c r="Y55" s="420">
        <v>0.2</v>
      </c>
      <c r="Z55" s="356"/>
      <c r="AA55" s="423">
        <v>23951.79</v>
      </c>
      <c r="AB55" s="423">
        <v>21026.89</v>
      </c>
      <c r="AC55" s="423">
        <v>399.2</v>
      </c>
      <c r="AD55" s="423">
        <v>21426.09</v>
      </c>
    </row>
    <row r="56" spans="1:30" ht="15" customHeight="1">
      <c r="A56" s="369"/>
      <c r="B56" s="356"/>
      <c r="C56" s="356" t="s">
        <v>724</v>
      </c>
      <c r="D56" s="356" t="s">
        <v>723</v>
      </c>
      <c r="E56" s="423">
        <v>0</v>
      </c>
      <c r="F56" s="356"/>
      <c r="G56" s="423">
        <v>0</v>
      </c>
      <c r="H56" s="356"/>
      <c r="I56" s="423">
        <v>0</v>
      </c>
      <c r="J56" s="356"/>
      <c r="K56" s="423">
        <v>19795.740000000002</v>
      </c>
      <c r="L56" s="356"/>
      <c r="M56" s="423">
        <v>147.44999999999999</v>
      </c>
      <c r="N56" s="356"/>
      <c r="O56" s="423">
        <v>0</v>
      </c>
      <c r="P56" s="356"/>
      <c r="Q56" s="423">
        <v>0</v>
      </c>
      <c r="R56" s="356"/>
      <c r="S56" s="423">
        <v>0</v>
      </c>
      <c r="T56" s="356"/>
      <c r="U56" s="423">
        <v>0</v>
      </c>
      <c r="V56" s="356"/>
      <c r="W56" s="423">
        <v>19943.189999999999</v>
      </c>
      <c r="X56" s="356"/>
      <c r="Y56" s="420">
        <v>0.2</v>
      </c>
      <c r="Z56" s="356"/>
      <c r="AA56" s="423">
        <v>19943.189999999999</v>
      </c>
      <c r="AB56" s="423">
        <v>16761.080000000002</v>
      </c>
      <c r="AC56" s="423">
        <v>332.39</v>
      </c>
      <c r="AD56" s="423">
        <v>17093.47</v>
      </c>
    </row>
    <row r="57" spans="1:30" ht="15" customHeight="1">
      <c r="A57" s="369"/>
      <c r="B57" s="356"/>
      <c r="C57" s="356" t="s">
        <v>722</v>
      </c>
      <c r="D57" s="356" t="s">
        <v>721</v>
      </c>
      <c r="E57" s="423">
        <v>0</v>
      </c>
      <c r="F57" s="356"/>
      <c r="G57" s="423">
        <v>0</v>
      </c>
      <c r="H57" s="356"/>
      <c r="I57" s="423">
        <v>0</v>
      </c>
      <c r="J57" s="356"/>
      <c r="K57" s="423">
        <v>78381.460000000006</v>
      </c>
      <c r="L57" s="356"/>
      <c r="M57" s="423">
        <v>19143.439999999999</v>
      </c>
      <c r="N57" s="356"/>
      <c r="O57" s="423">
        <v>7797.93</v>
      </c>
      <c r="P57" s="356"/>
      <c r="Q57" s="423">
        <v>103.99</v>
      </c>
      <c r="R57" s="356"/>
      <c r="S57" s="423">
        <v>0.92</v>
      </c>
      <c r="T57" s="356"/>
      <c r="U57" s="423">
        <v>0</v>
      </c>
      <c r="V57" s="356"/>
      <c r="W57" s="423">
        <v>105427.74</v>
      </c>
      <c r="X57" s="356"/>
      <c r="Y57" s="420">
        <v>0.2</v>
      </c>
      <c r="Z57" s="356"/>
      <c r="AA57" s="423">
        <v>105427.74</v>
      </c>
      <c r="AB57" s="423">
        <v>98743.13</v>
      </c>
      <c r="AC57" s="423">
        <v>1757.13</v>
      </c>
      <c r="AD57" s="423">
        <v>100500.26</v>
      </c>
    </row>
    <row r="58" spans="1:30" ht="15" customHeight="1">
      <c r="A58" s="369"/>
      <c r="B58" s="356"/>
      <c r="C58" s="356" t="s">
        <v>720</v>
      </c>
      <c r="D58" s="356" t="s">
        <v>719</v>
      </c>
      <c r="E58" s="423">
        <v>0</v>
      </c>
      <c r="F58" s="356"/>
      <c r="G58" s="423">
        <v>0</v>
      </c>
      <c r="H58" s="356"/>
      <c r="I58" s="423">
        <v>0</v>
      </c>
      <c r="J58" s="356"/>
      <c r="K58" s="423">
        <v>38297</v>
      </c>
      <c r="L58" s="356"/>
      <c r="M58" s="423">
        <v>27004.13</v>
      </c>
      <c r="N58" s="356"/>
      <c r="O58" s="423">
        <v>495.44</v>
      </c>
      <c r="P58" s="356"/>
      <c r="Q58" s="423">
        <v>0</v>
      </c>
      <c r="R58" s="356"/>
      <c r="S58" s="423">
        <v>0</v>
      </c>
      <c r="T58" s="356"/>
      <c r="U58" s="423">
        <v>0</v>
      </c>
      <c r="V58" s="356"/>
      <c r="W58" s="423">
        <v>65796.570000000007</v>
      </c>
      <c r="X58" s="356"/>
      <c r="Y58" s="420">
        <v>0.2</v>
      </c>
      <c r="Z58" s="356"/>
      <c r="AA58" s="423">
        <v>65796.570000000007</v>
      </c>
      <c r="AB58" s="423">
        <v>53804.7</v>
      </c>
      <c r="AC58" s="423">
        <v>1096.6099999999999</v>
      </c>
      <c r="AD58" s="423">
        <v>54901.31</v>
      </c>
    </row>
    <row r="59" spans="1:30" ht="15" customHeight="1">
      <c r="A59" s="369"/>
      <c r="B59" s="356"/>
      <c r="C59" s="356" t="s">
        <v>718</v>
      </c>
      <c r="D59" s="356" t="s">
        <v>717</v>
      </c>
      <c r="E59" s="423">
        <v>0</v>
      </c>
      <c r="F59" s="356"/>
      <c r="G59" s="423">
        <v>0</v>
      </c>
      <c r="H59" s="356"/>
      <c r="I59" s="423">
        <v>0</v>
      </c>
      <c r="J59" s="356"/>
      <c r="K59" s="423">
        <v>71980.42</v>
      </c>
      <c r="L59" s="356"/>
      <c r="M59" s="423">
        <v>19873.43</v>
      </c>
      <c r="N59" s="356"/>
      <c r="O59" s="423">
        <v>883.29</v>
      </c>
      <c r="P59" s="356"/>
      <c r="Q59" s="423">
        <v>17.98</v>
      </c>
      <c r="R59" s="356"/>
      <c r="S59" s="423">
        <v>-5.69</v>
      </c>
      <c r="T59" s="356"/>
      <c r="U59" s="423">
        <v>0</v>
      </c>
      <c r="V59" s="356"/>
      <c r="W59" s="423">
        <v>92749.43</v>
      </c>
      <c r="X59" s="356"/>
      <c r="Y59" s="420">
        <v>0.2</v>
      </c>
      <c r="Z59" s="356"/>
      <c r="AA59" s="423">
        <v>92749.43</v>
      </c>
      <c r="AB59" s="423">
        <v>80757.98</v>
      </c>
      <c r="AC59" s="423">
        <v>1545.82</v>
      </c>
      <c r="AD59" s="423">
        <v>82303.8</v>
      </c>
    </row>
    <row r="60" spans="1:30" ht="15" customHeight="1">
      <c r="A60" s="369"/>
      <c r="B60" s="356"/>
      <c r="C60" s="356" t="s">
        <v>714</v>
      </c>
      <c r="D60" s="356" t="s">
        <v>716</v>
      </c>
      <c r="E60" s="423">
        <v>0</v>
      </c>
      <c r="F60" s="356"/>
      <c r="G60" s="423">
        <v>0</v>
      </c>
      <c r="H60" s="356"/>
      <c r="I60" s="423">
        <v>0</v>
      </c>
      <c r="J60" s="356"/>
      <c r="K60" s="423">
        <v>0</v>
      </c>
      <c r="L60" s="356"/>
      <c r="M60" s="423">
        <v>5012.6899999999996</v>
      </c>
      <c r="N60" s="356"/>
      <c r="O60" s="423">
        <v>15502.91</v>
      </c>
      <c r="P60" s="356"/>
      <c r="Q60" s="423">
        <v>2873.34</v>
      </c>
      <c r="R60" s="356"/>
      <c r="S60" s="423">
        <v>-0.06</v>
      </c>
      <c r="T60" s="356"/>
      <c r="U60" s="423">
        <v>0</v>
      </c>
      <c r="V60" s="356"/>
      <c r="W60" s="423">
        <v>23388.880000000001</v>
      </c>
      <c r="X60" s="356"/>
      <c r="Y60" s="420">
        <v>0.2</v>
      </c>
      <c r="Z60" s="356"/>
      <c r="AA60" s="423">
        <v>23388.880000000001</v>
      </c>
      <c r="AB60" s="423">
        <v>12886.36</v>
      </c>
      <c r="AC60" s="423">
        <v>389.81</v>
      </c>
      <c r="AD60" s="423">
        <v>13276.17</v>
      </c>
    </row>
    <row r="61" spans="1:30" ht="15" customHeight="1">
      <c r="A61" s="369"/>
      <c r="B61" s="356"/>
      <c r="C61" s="356" t="s">
        <v>714</v>
      </c>
      <c r="D61" s="356" t="s">
        <v>715</v>
      </c>
      <c r="E61" s="423">
        <v>0</v>
      </c>
      <c r="F61" s="356"/>
      <c r="G61" s="423">
        <v>0</v>
      </c>
      <c r="H61" s="356"/>
      <c r="I61" s="423">
        <v>0</v>
      </c>
      <c r="J61" s="356"/>
      <c r="K61" s="423">
        <v>0</v>
      </c>
      <c r="L61" s="356"/>
      <c r="M61" s="423">
        <v>8280.84</v>
      </c>
      <c r="N61" s="356"/>
      <c r="O61" s="423">
        <v>9709.32</v>
      </c>
      <c r="P61" s="356"/>
      <c r="Q61" s="423">
        <v>2215.3000000000002</v>
      </c>
      <c r="R61" s="356"/>
      <c r="S61" s="423">
        <v>3.03</v>
      </c>
      <c r="T61" s="356"/>
      <c r="U61" s="423">
        <v>0</v>
      </c>
      <c r="V61" s="356"/>
      <c r="W61" s="423">
        <v>20208.490000000002</v>
      </c>
      <c r="X61" s="356"/>
      <c r="Y61" s="420">
        <v>0.2</v>
      </c>
      <c r="Z61" s="356"/>
      <c r="AA61" s="423">
        <v>20208.490000000002</v>
      </c>
      <c r="AB61" s="423">
        <v>12629.15</v>
      </c>
      <c r="AC61" s="423">
        <v>336.81</v>
      </c>
      <c r="AD61" s="423">
        <v>12965.96</v>
      </c>
    </row>
    <row r="62" spans="1:30" ht="15" customHeight="1">
      <c r="A62" s="369"/>
      <c r="B62" s="356"/>
      <c r="C62" s="356" t="s">
        <v>714</v>
      </c>
      <c r="D62" s="356" t="s">
        <v>713</v>
      </c>
      <c r="E62" s="423">
        <v>0</v>
      </c>
      <c r="F62" s="356"/>
      <c r="G62" s="423">
        <v>0</v>
      </c>
      <c r="H62" s="356"/>
      <c r="I62" s="423">
        <v>0</v>
      </c>
      <c r="J62" s="356"/>
      <c r="K62" s="423">
        <v>0</v>
      </c>
      <c r="L62" s="356"/>
      <c r="M62" s="423">
        <v>4995.1000000000004</v>
      </c>
      <c r="N62" s="356"/>
      <c r="O62" s="423">
        <v>5267.66</v>
      </c>
      <c r="P62" s="356"/>
      <c r="Q62" s="423">
        <v>929.25</v>
      </c>
      <c r="R62" s="356"/>
      <c r="S62" s="423">
        <v>0</v>
      </c>
      <c r="T62" s="356"/>
      <c r="U62" s="423">
        <v>0</v>
      </c>
      <c r="V62" s="356"/>
      <c r="W62" s="423">
        <v>11192.01</v>
      </c>
      <c r="X62" s="356"/>
      <c r="Y62" s="420">
        <v>0.2</v>
      </c>
      <c r="Z62" s="356"/>
      <c r="AA62" s="423">
        <v>11192.01</v>
      </c>
      <c r="AB62" s="423">
        <v>6886.35</v>
      </c>
      <c r="AC62" s="423">
        <v>186.53</v>
      </c>
      <c r="AD62" s="423">
        <v>7072.88</v>
      </c>
    </row>
    <row r="63" spans="1:30" ht="15" customHeight="1">
      <c r="A63" s="369"/>
      <c r="B63" s="356"/>
      <c r="C63" s="356" t="s">
        <v>712</v>
      </c>
      <c r="D63" s="356" t="s">
        <v>711</v>
      </c>
      <c r="E63" s="423">
        <v>0</v>
      </c>
      <c r="F63" s="356"/>
      <c r="G63" s="423">
        <v>0</v>
      </c>
      <c r="H63" s="356"/>
      <c r="I63" s="423">
        <v>0</v>
      </c>
      <c r="J63" s="356"/>
      <c r="K63" s="423">
        <v>0</v>
      </c>
      <c r="L63" s="356"/>
      <c r="M63" s="423">
        <v>71814.02</v>
      </c>
      <c r="N63" s="356"/>
      <c r="O63" s="423">
        <v>2603.38</v>
      </c>
      <c r="P63" s="356"/>
      <c r="Q63" s="423">
        <v>4661.7299999999996</v>
      </c>
      <c r="R63" s="356"/>
      <c r="S63" s="423">
        <v>2.0099999999999998</v>
      </c>
      <c r="T63" s="356"/>
      <c r="U63" s="423">
        <v>0</v>
      </c>
      <c r="V63" s="356"/>
      <c r="W63" s="423">
        <v>79081.14</v>
      </c>
      <c r="X63" s="356"/>
      <c r="Y63" s="420">
        <v>0.2</v>
      </c>
      <c r="Z63" s="356"/>
      <c r="AA63" s="423">
        <v>79081.14</v>
      </c>
      <c r="AB63" s="423">
        <v>54443.62</v>
      </c>
      <c r="AC63" s="423">
        <v>1318.02</v>
      </c>
      <c r="AD63" s="423">
        <v>55761.64</v>
      </c>
    </row>
    <row r="64" spans="1:30" ht="15" customHeight="1">
      <c r="A64" s="369"/>
      <c r="B64" s="356"/>
      <c r="C64" s="356" t="s">
        <v>710</v>
      </c>
      <c r="D64" s="356" t="s">
        <v>709</v>
      </c>
      <c r="E64" s="423">
        <v>0</v>
      </c>
      <c r="F64" s="356"/>
      <c r="G64" s="423">
        <v>0</v>
      </c>
      <c r="H64" s="356"/>
      <c r="I64" s="423">
        <v>0</v>
      </c>
      <c r="J64" s="356"/>
      <c r="K64" s="423">
        <v>38980.99</v>
      </c>
      <c r="L64" s="356"/>
      <c r="M64" s="423">
        <v>8408.1</v>
      </c>
      <c r="N64" s="356"/>
      <c r="O64" s="423">
        <v>0</v>
      </c>
      <c r="P64" s="356"/>
      <c r="Q64" s="423">
        <v>0</v>
      </c>
      <c r="R64" s="356"/>
      <c r="S64" s="423">
        <v>0</v>
      </c>
      <c r="T64" s="356"/>
      <c r="U64" s="423">
        <v>0</v>
      </c>
      <c r="V64" s="356"/>
      <c r="W64" s="423">
        <v>47389.09</v>
      </c>
      <c r="X64" s="356"/>
      <c r="Y64" s="420">
        <v>0.2</v>
      </c>
      <c r="Z64" s="356"/>
      <c r="AA64" s="423">
        <v>47389.09</v>
      </c>
      <c r="AB64" s="423">
        <v>43976.13</v>
      </c>
      <c r="AC64" s="423">
        <v>789.82</v>
      </c>
      <c r="AD64" s="423">
        <v>44765.95</v>
      </c>
    </row>
    <row r="65" spans="1:30" ht="15" customHeight="1">
      <c r="A65" s="369"/>
      <c r="B65" s="356"/>
      <c r="C65" s="356" t="s">
        <v>708</v>
      </c>
      <c r="D65" s="356" t="s">
        <v>707</v>
      </c>
      <c r="E65" s="356"/>
      <c r="F65" s="356"/>
      <c r="G65" s="356"/>
      <c r="H65" s="356"/>
      <c r="I65" s="356"/>
      <c r="J65" s="356"/>
      <c r="K65" s="356"/>
      <c r="L65" s="356"/>
      <c r="M65" s="356"/>
      <c r="N65" s="356"/>
      <c r="O65" s="423">
        <v>7445.61</v>
      </c>
      <c r="P65" s="356"/>
      <c r="Q65" s="423">
        <v>9058.86</v>
      </c>
      <c r="R65" s="356"/>
      <c r="S65" s="423">
        <v>-0.27</v>
      </c>
      <c r="T65" s="356"/>
      <c r="U65" s="423">
        <v>0</v>
      </c>
      <c r="V65" s="356"/>
      <c r="W65" s="423">
        <v>16504.2</v>
      </c>
      <c r="X65" s="356"/>
      <c r="Y65" s="420">
        <v>0.2</v>
      </c>
      <c r="Z65" s="356"/>
      <c r="AA65" s="423">
        <v>16504.2</v>
      </c>
      <c r="AB65" s="423">
        <v>7132.47</v>
      </c>
      <c r="AC65" s="423">
        <v>275.07</v>
      </c>
      <c r="AD65" s="423">
        <v>7407.54</v>
      </c>
    </row>
    <row r="66" spans="1:30" ht="15" customHeight="1">
      <c r="A66" s="369"/>
      <c r="B66" s="356"/>
      <c r="C66" s="356" t="s">
        <v>702</v>
      </c>
      <c r="D66" s="356" t="s">
        <v>701</v>
      </c>
      <c r="E66" s="356"/>
      <c r="F66" s="356"/>
      <c r="G66" s="356"/>
      <c r="H66" s="356"/>
      <c r="I66" s="356"/>
      <c r="J66" s="356"/>
      <c r="K66" s="356"/>
      <c r="L66" s="356"/>
      <c r="M66" s="356"/>
      <c r="N66" s="356"/>
      <c r="O66" s="423">
        <v>0</v>
      </c>
      <c r="P66" s="356"/>
      <c r="Q66" s="423">
        <v>3394.29</v>
      </c>
      <c r="R66" s="356"/>
      <c r="S66" s="423">
        <v>1401.42</v>
      </c>
      <c r="T66" s="356"/>
      <c r="U66" s="423">
        <v>0</v>
      </c>
      <c r="V66" s="356"/>
      <c r="W66" s="423">
        <v>4795.71</v>
      </c>
      <c r="X66" s="356"/>
      <c r="Y66" s="420">
        <v>0.2</v>
      </c>
      <c r="Z66" s="356"/>
      <c r="AA66" s="423">
        <v>4795.71</v>
      </c>
      <c r="AB66" s="423">
        <v>1246.3</v>
      </c>
      <c r="AC66" s="423">
        <v>79.930000000000007</v>
      </c>
      <c r="AD66" s="423">
        <v>1326.23</v>
      </c>
    </row>
    <row r="67" spans="1:30" ht="15" customHeight="1">
      <c r="A67" s="369"/>
      <c r="B67" s="356"/>
      <c r="C67" s="356" t="s">
        <v>704</v>
      </c>
      <c r="D67" s="356" t="s">
        <v>703</v>
      </c>
      <c r="E67" s="356"/>
      <c r="F67" s="356"/>
      <c r="G67" s="356"/>
      <c r="H67" s="356"/>
      <c r="I67" s="356"/>
      <c r="J67" s="356"/>
      <c r="K67" s="356"/>
      <c r="L67" s="356"/>
      <c r="M67" s="356"/>
      <c r="N67" s="356"/>
      <c r="O67" s="356"/>
      <c r="P67" s="356"/>
      <c r="Q67" s="356"/>
      <c r="R67" s="356"/>
      <c r="S67" s="423">
        <v>29868.31</v>
      </c>
      <c r="T67" s="356"/>
      <c r="U67" s="423">
        <v>898.29</v>
      </c>
      <c r="V67" s="356"/>
      <c r="W67" s="423">
        <v>30766.6</v>
      </c>
      <c r="X67" s="356"/>
      <c r="Y67" s="420">
        <v>0.2</v>
      </c>
      <c r="Z67" s="356"/>
      <c r="AA67" s="423">
        <v>30766.6</v>
      </c>
      <c r="AB67" s="423">
        <v>2000.71</v>
      </c>
      <c r="AC67" s="423">
        <v>512.78</v>
      </c>
      <c r="AD67" s="423">
        <v>2513.4899999999998</v>
      </c>
    </row>
    <row r="68" spans="1:30" ht="15" customHeight="1">
      <c r="A68" s="369"/>
      <c r="B68" s="356"/>
      <c r="C68" s="356" t="s">
        <v>706</v>
      </c>
      <c r="D68" s="356" t="s">
        <v>705</v>
      </c>
      <c r="E68" s="423">
        <v>0</v>
      </c>
      <c r="F68" s="356"/>
      <c r="G68" s="423">
        <v>0</v>
      </c>
      <c r="H68" s="356"/>
      <c r="I68" s="423">
        <v>0</v>
      </c>
      <c r="J68" s="356"/>
      <c r="K68" s="356"/>
      <c r="L68" s="356"/>
      <c r="M68" s="423">
        <v>50512.42</v>
      </c>
      <c r="N68" s="356"/>
      <c r="O68" s="423">
        <v>44274.85</v>
      </c>
      <c r="P68" s="356"/>
      <c r="Q68" s="423">
        <v>25648.3</v>
      </c>
      <c r="R68" s="356"/>
      <c r="S68" s="423">
        <v>139.47999999999999</v>
      </c>
      <c r="T68" s="356"/>
      <c r="U68" s="423">
        <v>0</v>
      </c>
      <c r="V68" s="356"/>
      <c r="W68" s="423">
        <v>120575.05</v>
      </c>
      <c r="X68" s="356"/>
      <c r="Y68" s="420">
        <v>0.2</v>
      </c>
      <c r="Z68" s="356"/>
      <c r="AA68" s="423">
        <v>120575.05</v>
      </c>
      <c r="AB68" s="423">
        <v>62515.92</v>
      </c>
      <c r="AC68" s="423">
        <v>2009.58</v>
      </c>
      <c r="AD68" s="423">
        <v>64525.5</v>
      </c>
    </row>
    <row r="69" spans="1:30" ht="15" customHeight="1">
      <c r="A69" s="369" t="s">
        <v>789</v>
      </c>
      <c r="B69" s="356"/>
      <c r="C69" s="356" t="s">
        <v>786</v>
      </c>
      <c r="D69" s="356" t="s">
        <v>787</v>
      </c>
      <c r="E69" s="423">
        <v>0</v>
      </c>
      <c r="F69" s="356"/>
      <c r="G69" s="423">
        <v>0</v>
      </c>
      <c r="H69" s="356"/>
      <c r="I69" s="423">
        <v>0</v>
      </c>
      <c r="J69" s="356"/>
      <c r="K69" s="423">
        <v>0</v>
      </c>
      <c r="L69" s="356"/>
      <c r="M69" s="423">
        <v>0</v>
      </c>
      <c r="N69" s="356"/>
      <c r="O69" s="423">
        <v>0</v>
      </c>
      <c r="P69" s="356"/>
      <c r="Q69" s="423">
        <v>0</v>
      </c>
      <c r="R69" s="356"/>
      <c r="S69" s="423">
        <v>0</v>
      </c>
      <c r="T69" s="356"/>
      <c r="U69" s="423">
        <v>0</v>
      </c>
      <c r="V69" s="356"/>
      <c r="W69" s="423">
        <v>0</v>
      </c>
      <c r="X69" s="356"/>
      <c r="Y69" s="420">
        <v>0.2</v>
      </c>
      <c r="Z69" s="356"/>
      <c r="AA69" s="423">
        <v>0</v>
      </c>
      <c r="AB69" s="423">
        <v>0</v>
      </c>
      <c r="AC69" s="423">
        <v>0</v>
      </c>
      <c r="AD69" s="423">
        <v>0</v>
      </c>
    </row>
    <row r="70" spans="1:30" ht="15" customHeight="1">
      <c r="A70" s="369"/>
      <c r="B70" s="356"/>
      <c r="C70" s="356" t="s">
        <v>786</v>
      </c>
      <c r="D70" s="356" t="s">
        <v>785</v>
      </c>
      <c r="E70" s="423">
        <v>0</v>
      </c>
      <c r="F70" s="356"/>
      <c r="G70" s="423">
        <v>0</v>
      </c>
      <c r="H70" s="356"/>
      <c r="I70" s="423">
        <v>0</v>
      </c>
      <c r="J70" s="356"/>
      <c r="K70" s="423">
        <v>0</v>
      </c>
      <c r="L70" s="356"/>
      <c r="M70" s="423">
        <v>0</v>
      </c>
      <c r="N70" s="356"/>
      <c r="O70" s="423">
        <v>0</v>
      </c>
      <c r="P70" s="356"/>
      <c r="Q70" s="423">
        <v>0</v>
      </c>
      <c r="R70" s="356"/>
      <c r="S70" s="423">
        <v>0</v>
      </c>
      <c r="T70" s="356"/>
      <c r="U70" s="423">
        <v>0</v>
      </c>
      <c r="V70" s="356"/>
      <c r="W70" s="423">
        <v>0</v>
      </c>
      <c r="X70" s="356"/>
      <c r="Y70" s="420">
        <v>0.2</v>
      </c>
      <c r="Z70" s="356"/>
      <c r="AA70" s="423">
        <v>0</v>
      </c>
      <c r="AB70" s="423">
        <v>0</v>
      </c>
      <c r="AC70" s="423">
        <v>0</v>
      </c>
      <c r="AD70" s="423">
        <v>0</v>
      </c>
    </row>
    <row r="71" spans="1:30" ht="15" customHeight="1">
      <c r="A71" s="369"/>
      <c r="B71" s="356"/>
      <c r="C71" s="356" t="s">
        <v>784</v>
      </c>
      <c r="D71" s="356" t="s">
        <v>783</v>
      </c>
      <c r="E71" s="423">
        <v>0</v>
      </c>
      <c r="F71" s="356"/>
      <c r="G71" s="423">
        <v>0</v>
      </c>
      <c r="H71" s="356"/>
      <c r="I71" s="423">
        <v>0</v>
      </c>
      <c r="J71" s="356"/>
      <c r="K71" s="423">
        <v>0</v>
      </c>
      <c r="L71" s="356"/>
      <c r="M71" s="423">
        <v>0</v>
      </c>
      <c r="N71" s="356"/>
      <c r="O71" s="423">
        <v>0</v>
      </c>
      <c r="P71" s="356"/>
      <c r="Q71" s="423">
        <v>0</v>
      </c>
      <c r="R71" s="356"/>
      <c r="S71" s="423">
        <v>0</v>
      </c>
      <c r="T71" s="356"/>
      <c r="U71" s="423">
        <v>0</v>
      </c>
      <c r="V71" s="356"/>
      <c r="W71" s="423">
        <v>0</v>
      </c>
      <c r="X71" s="356"/>
      <c r="Y71" s="420">
        <v>0.2</v>
      </c>
      <c r="Z71" s="356"/>
      <c r="AA71" s="423">
        <v>0</v>
      </c>
      <c r="AB71" s="423">
        <v>0</v>
      </c>
      <c r="AC71" s="423">
        <v>0</v>
      </c>
      <c r="AD71" s="423">
        <v>0</v>
      </c>
    </row>
    <row r="72" spans="1:30" ht="15" customHeight="1">
      <c r="A72" s="369"/>
      <c r="B72" s="356"/>
      <c r="C72" s="356" t="s">
        <v>774</v>
      </c>
      <c r="D72" s="356" t="s">
        <v>782</v>
      </c>
      <c r="E72" s="423">
        <v>1240.18</v>
      </c>
      <c r="F72" s="356"/>
      <c r="G72" s="423">
        <v>0</v>
      </c>
      <c r="H72" s="356"/>
      <c r="I72" s="423">
        <v>0</v>
      </c>
      <c r="J72" s="356"/>
      <c r="K72" s="423">
        <v>0</v>
      </c>
      <c r="L72" s="356"/>
      <c r="M72" s="423">
        <v>0</v>
      </c>
      <c r="N72" s="356"/>
      <c r="O72" s="423">
        <v>0</v>
      </c>
      <c r="P72" s="356"/>
      <c r="Q72" s="423">
        <v>0</v>
      </c>
      <c r="R72" s="356"/>
      <c r="S72" s="423">
        <v>0</v>
      </c>
      <c r="T72" s="356"/>
      <c r="U72" s="423">
        <v>0</v>
      </c>
      <c r="V72" s="356"/>
      <c r="W72" s="423">
        <v>1240.18</v>
      </c>
      <c r="X72" s="356"/>
      <c r="Y72" s="420">
        <v>0.2</v>
      </c>
      <c r="Z72" s="356"/>
      <c r="AA72" s="423">
        <v>1240.18</v>
      </c>
      <c r="AB72" s="423">
        <v>1818.96</v>
      </c>
      <c r="AC72" s="423">
        <v>20.67</v>
      </c>
      <c r="AD72" s="423">
        <v>1839.63</v>
      </c>
    </row>
    <row r="73" spans="1:30" ht="15" customHeight="1">
      <c r="A73" s="369"/>
      <c r="B73" s="356"/>
      <c r="C73" s="356" t="s">
        <v>774</v>
      </c>
      <c r="D73" s="356" t="s">
        <v>781</v>
      </c>
      <c r="E73" s="423">
        <v>1666.32</v>
      </c>
      <c r="F73" s="356"/>
      <c r="G73" s="423">
        <v>0</v>
      </c>
      <c r="H73" s="356"/>
      <c r="I73" s="423">
        <v>0</v>
      </c>
      <c r="J73" s="356"/>
      <c r="K73" s="423">
        <v>0</v>
      </c>
      <c r="L73" s="356"/>
      <c r="M73" s="423">
        <v>0</v>
      </c>
      <c r="N73" s="356"/>
      <c r="O73" s="423">
        <v>0</v>
      </c>
      <c r="P73" s="356"/>
      <c r="Q73" s="423">
        <v>0</v>
      </c>
      <c r="R73" s="356"/>
      <c r="S73" s="423">
        <v>0</v>
      </c>
      <c r="T73" s="356"/>
      <c r="U73" s="423">
        <v>0</v>
      </c>
      <c r="V73" s="356"/>
      <c r="W73" s="423">
        <v>1666.32</v>
      </c>
      <c r="X73" s="356"/>
      <c r="Y73" s="420">
        <v>0.2</v>
      </c>
      <c r="Z73" s="356"/>
      <c r="AA73" s="423">
        <v>1666.32</v>
      </c>
      <c r="AB73" s="423">
        <v>2443.7600000000002</v>
      </c>
      <c r="AC73" s="423">
        <v>27.77</v>
      </c>
      <c r="AD73" s="423">
        <v>2471.5300000000002</v>
      </c>
    </row>
    <row r="74" spans="1:30" ht="15" customHeight="1">
      <c r="A74" s="369"/>
      <c r="B74" s="356"/>
      <c r="C74" s="356" t="s">
        <v>774</v>
      </c>
      <c r="D74" s="356" t="s">
        <v>780</v>
      </c>
      <c r="E74" s="423">
        <v>0</v>
      </c>
      <c r="F74" s="356"/>
      <c r="G74" s="423">
        <v>0</v>
      </c>
      <c r="H74" s="356"/>
      <c r="I74" s="423">
        <v>0</v>
      </c>
      <c r="J74" s="356"/>
      <c r="K74" s="423">
        <v>0</v>
      </c>
      <c r="L74" s="356"/>
      <c r="M74" s="423">
        <v>0</v>
      </c>
      <c r="N74" s="356"/>
      <c r="O74" s="423">
        <v>0</v>
      </c>
      <c r="P74" s="356"/>
      <c r="Q74" s="423">
        <v>0</v>
      </c>
      <c r="R74" s="356"/>
      <c r="S74" s="423">
        <v>0</v>
      </c>
      <c r="T74" s="356"/>
      <c r="U74" s="423">
        <v>0</v>
      </c>
      <c r="V74" s="356"/>
      <c r="W74" s="423">
        <v>0</v>
      </c>
      <c r="X74" s="356"/>
      <c r="Y74" s="420">
        <v>0.2</v>
      </c>
      <c r="Z74" s="356"/>
      <c r="AA74" s="423">
        <v>0</v>
      </c>
      <c r="AB74" s="423">
        <v>0</v>
      </c>
      <c r="AC74" s="423">
        <v>0</v>
      </c>
      <c r="AD74" s="423">
        <v>0</v>
      </c>
    </row>
    <row r="75" spans="1:30" ht="15" customHeight="1">
      <c r="A75" s="369"/>
      <c r="B75" s="356"/>
      <c r="C75" s="356" t="s">
        <v>774</v>
      </c>
      <c r="D75" s="356" t="s">
        <v>779</v>
      </c>
      <c r="E75" s="423">
        <v>0.39</v>
      </c>
      <c r="F75" s="356"/>
      <c r="G75" s="423">
        <v>0</v>
      </c>
      <c r="H75" s="356"/>
      <c r="I75" s="423">
        <v>0</v>
      </c>
      <c r="J75" s="356"/>
      <c r="K75" s="423">
        <v>0</v>
      </c>
      <c r="L75" s="356"/>
      <c r="M75" s="423">
        <v>0</v>
      </c>
      <c r="N75" s="356"/>
      <c r="O75" s="423">
        <v>0</v>
      </c>
      <c r="P75" s="356"/>
      <c r="Q75" s="423">
        <v>0</v>
      </c>
      <c r="R75" s="356"/>
      <c r="S75" s="423">
        <v>0</v>
      </c>
      <c r="T75" s="356"/>
      <c r="U75" s="423">
        <v>0</v>
      </c>
      <c r="V75" s="356"/>
      <c r="W75" s="423">
        <v>0.39</v>
      </c>
      <c r="X75" s="356"/>
      <c r="Y75" s="420">
        <v>0.2</v>
      </c>
      <c r="Z75" s="356"/>
      <c r="AA75" s="423">
        <v>0.39</v>
      </c>
      <c r="AB75" s="423">
        <v>0.88</v>
      </c>
      <c r="AC75" s="423">
        <v>0.01</v>
      </c>
      <c r="AD75" s="423">
        <v>0.89</v>
      </c>
    </row>
    <row r="76" spans="1:30" ht="15" customHeight="1">
      <c r="A76" s="369"/>
      <c r="B76" s="356"/>
      <c r="C76" s="356" t="s">
        <v>774</v>
      </c>
      <c r="D76" s="356" t="s">
        <v>778</v>
      </c>
      <c r="E76" s="423">
        <v>2331.2199999999998</v>
      </c>
      <c r="F76" s="356"/>
      <c r="G76" s="423">
        <v>0</v>
      </c>
      <c r="H76" s="356"/>
      <c r="I76" s="423">
        <v>0</v>
      </c>
      <c r="J76" s="356"/>
      <c r="K76" s="423">
        <v>0</v>
      </c>
      <c r="L76" s="356"/>
      <c r="M76" s="423">
        <v>0</v>
      </c>
      <c r="N76" s="356"/>
      <c r="O76" s="423">
        <v>0</v>
      </c>
      <c r="P76" s="356"/>
      <c r="Q76" s="423">
        <v>0</v>
      </c>
      <c r="R76" s="356"/>
      <c r="S76" s="423">
        <v>0</v>
      </c>
      <c r="T76" s="356"/>
      <c r="U76" s="423">
        <v>0</v>
      </c>
      <c r="V76" s="356"/>
      <c r="W76" s="423">
        <v>2331.2199999999998</v>
      </c>
      <c r="X76" s="356"/>
      <c r="Y76" s="420">
        <v>0.2</v>
      </c>
      <c r="Z76" s="356"/>
      <c r="AA76" s="423">
        <v>2331.2199999999998</v>
      </c>
      <c r="AB76" s="423">
        <v>3418.8</v>
      </c>
      <c r="AC76" s="423">
        <v>38.85</v>
      </c>
      <c r="AD76" s="423">
        <v>3457.65</v>
      </c>
    </row>
    <row r="77" spans="1:30" ht="15" customHeight="1">
      <c r="A77" s="369"/>
      <c r="B77" s="356"/>
      <c r="C77" s="356" t="s">
        <v>774</v>
      </c>
      <c r="D77" s="356" t="s">
        <v>777</v>
      </c>
      <c r="E77" s="423">
        <v>325.12</v>
      </c>
      <c r="F77" s="356"/>
      <c r="G77" s="423">
        <v>0</v>
      </c>
      <c r="H77" s="356"/>
      <c r="I77" s="423">
        <v>0</v>
      </c>
      <c r="J77" s="356"/>
      <c r="K77" s="423">
        <v>0</v>
      </c>
      <c r="L77" s="356"/>
      <c r="M77" s="423">
        <v>0</v>
      </c>
      <c r="N77" s="356"/>
      <c r="O77" s="423">
        <v>0</v>
      </c>
      <c r="P77" s="356"/>
      <c r="Q77" s="423">
        <v>0</v>
      </c>
      <c r="R77" s="356"/>
      <c r="S77" s="423">
        <v>0</v>
      </c>
      <c r="T77" s="356"/>
      <c r="U77" s="423">
        <v>0</v>
      </c>
      <c r="V77" s="356"/>
      <c r="W77" s="423">
        <v>325.12</v>
      </c>
      <c r="X77" s="356"/>
      <c r="Y77" s="420">
        <v>0.2</v>
      </c>
      <c r="Z77" s="356"/>
      <c r="AA77" s="423">
        <v>325.12</v>
      </c>
      <c r="AB77" s="423">
        <v>476.96</v>
      </c>
      <c r="AC77" s="423">
        <v>5.42</v>
      </c>
      <c r="AD77" s="423">
        <v>482.38</v>
      </c>
    </row>
    <row r="78" spans="1:30" ht="15" customHeight="1">
      <c r="A78" s="369"/>
      <c r="B78" s="356"/>
      <c r="C78" s="356" t="s">
        <v>774</v>
      </c>
      <c r="D78" s="356" t="s">
        <v>776</v>
      </c>
      <c r="E78" s="423">
        <v>212.26</v>
      </c>
      <c r="F78" s="356"/>
      <c r="G78" s="423">
        <v>0</v>
      </c>
      <c r="H78" s="356"/>
      <c r="I78" s="423">
        <v>0</v>
      </c>
      <c r="J78" s="356"/>
      <c r="K78" s="423">
        <v>0</v>
      </c>
      <c r="L78" s="356"/>
      <c r="M78" s="423">
        <v>0</v>
      </c>
      <c r="N78" s="356"/>
      <c r="O78" s="423">
        <v>0</v>
      </c>
      <c r="P78" s="356"/>
      <c r="Q78" s="423">
        <v>0</v>
      </c>
      <c r="R78" s="356"/>
      <c r="S78" s="423">
        <v>0</v>
      </c>
      <c r="T78" s="356"/>
      <c r="U78" s="423">
        <v>0</v>
      </c>
      <c r="V78" s="356"/>
      <c r="W78" s="423">
        <v>212.26</v>
      </c>
      <c r="X78" s="356"/>
      <c r="Y78" s="420">
        <v>0.2</v>
      </c>
      <c r="Z78" s="356"/>
      <c r="AA78" s="423">
        <v>212.26</v>
      </c>
      <c r="AB78" s="423">
        <v>311.52</v>
      </c>
      <c r="AC78" s="423">
        <v>3.54</v>
      </c>
      <c r="AD78" s="423">
        <v>315.06</v>
      </c>
    </row>
    <row r="79" spans="1:30" ht="15" customHeight="1">
      <c r="A79" s="369"/>
      <c r="B79" s="356"/>
      <c r="C79" s="356" t="s">
        <v>774</v>
      </c>
      <c r="D79" s="356" t="s">
        <v>775</v>
      </c>
      <c r="E79" s="423">
        <v>0</v>
      </c>
      <c r="F79" s="356"/>
      <c r="G79" s="423">
        <v>0</v>
      </c>
      <c r="H79" s="356"/>
      <c r="I79" s="423">
        <v>0</v>
      </c>
      <c r="J79" s="356"/>
      <c r="K79" s="423">
        <v>0</v>
      </c>
      <c r="L79" s="356"/>
      <c r="M79" s="423">
        <v>0</v>
      </c>
      <c r="N79" s="356"/>
      <c r="O79" s="423">
        <v>0</v>
      </c>
      <c r="P79" s="356"/>
      <c r="Q79" s="423">
        <v>0</v>
      </c>
      <c r="R79" s="356"/>
      <c r="S79" s="423">
        <v>0</v>
      </c>
      <c r="T79" s="356"/>
      <c r="U79" s="423">
        <v>0</v>
      </c>
      <c r="V79" s="356"/>
      <c r="W79" s="423">
        <v>0</v>
      </c>
      <c r="X79" s="356"/>
      <c r="Y79" s="420">
        <v>0.2</v>
      </c>
      <c r="Z79" s="356"/>
      <c r="AA79" s="423">
        <v>0</v>
      </c>
      <c r="AB79" s="423">
        <v>0</v>
      </c>
      <c r="AC79" s="423">
        <v>0</v>
      </c>
      <c r="AD79" s="423">
        <v>0</v>
      </c>
    </row>
    <row r="80" spans="1:30" ht="15" customHeight="1">
      <c r="A80" s="369"/>
      <c r="B80" s="356"/>
      <c r="C80" s="356" t="s">
        <v>774</v>
      </c>
      <c r="D80" s="356" t="s">
        <v>773</v>
      </c>
      <c r="E80" s="423">
        <v>0</v>
      </c>
      <c r="F80" s="356"/>
      <c r="G80" s="423">
        <v>0</v>
      </c>
      <c r="H80" s="356"/>
      <c r="I80" s="423">
        <v>0</v>
      </c>
      <c r="J80" s="356"/>
      <c r="K80" s="423">
        <v>0</v>
      </c>
      <c r="L80" s="356"/>
      <c r="M80" s="423">
        <v>0</v>
      </c>
      <c r="N80" s="356"/>
      <c r="O80" s="423">
        <v>0</v>
      </c>
      <c r="P80" s="356"/>
      <c r="Q80" s="423">
        <v>0</v>
      </c>
      <c r="R80" s="356"/>
      <c r="S80" s="423">
        <v>0</v>
      </c>
      <c r="T80" s="356"/>
      <c r="U80" s="423">
        <v>0</v>
      </c>
      <c r="V80" s="356"/>
      <c r="W80" s="423">
        <v>0</v>
      </c>
      <c r="X80" s="356"/>
      <c r="Y80" s="420">
        <v>0.2</v>
      </c>
      <c r="Z80" s="356"/>
      <c r="AA80" s="423">
        <v>0</v>
      </c>
      <c r="AB80" s="423">
        <v>0</v>
      </c>
      <c r="AC80" s="423">
        <v>0</v>
      </c>
      <c r="AD80" s="423">
        <v>0</v>
      </c>
    </row>
    <row r="81" spans="1:30" ht="15" customHeight="1">
      <c r="A81" s="369"/>
      <c r="B81" s="356"/>
      <c r="C81" s="356" t="s">
        <v>770</v>
      </c>
      <c r="D81" s="356" t="s">
        <v>772</v>
      </c>
      <c r="E81" s="423">
        <v>2849.48</v>
      </c>
      <c r="F81" s="356"/>
      <c r="G81" s="423">
        <v>6621.59</v>
      </c>
      <c r="H81" s="356"/>
      <c r="I81" s="423">
        <v>-0.41</v>
      </c>
      <c r="J81" s="356"/>
      <c r="K81" s="423">
        <v>0</v>
      </c>
      <c r="L81" s="356"/>
      <c r="M81" s="423">
        <v>0</v>
      </c>
      <c r="N81" s="356"/>
      <c r="O81" s="423">
        <v>0</v>
      </c>
      <c r="P81" s="356"/>
      <c r="Q81" s="423">
        <v>0</v>
      </c>
      <c r="R81" s="356"/>
      <c r="S81" s="423">
        <v>0</v>
      </c>
      <c r="T81" s="356"/>
      <c r="U81" s="423">
        <v>0</v>
      </c>
      <c r="V81" s="356"/>
      <c r="W81" s="423">
        <v>9470.66</v>
      </c>
      <c r="X81" s="356"/>
      <c r="Y81" s="420">
        <v>0.2</v>
      </c>
      <c r="Z81" s="356"/>
      <c r="AA81" s="423">
        <v>9470.66</v>
      </c>
      <c r="AB81" s="423">
        <v>13324.86</v>
      </c>
      <c r="AC81" s="423">
        <v>157.84</v>
      </c>
      <c r="AD81" s="423">
        <v>13482.7</v>
      </c>
    </row>
    <row r="82" spans="1:30" ht="15" customHeight="1">
      <c r="A82" s="369"/>
      <c r="B82" s="356"/>
      <c r="C82" s="356" t="s">
        <v>770</v>
      </c>
      <c r="D82" s="356" t="s">
        <v>771</v>
      </c>
      <c r="E82" s="423">
        <v>5611.3</v>
      </c>
      <c r="F82" s="356"/>
      <c r="G82" s="423">
        <v>15.7</v>
      </c>
      <c r="H82" s="356"/>
      <c r="I82" s="423">
        <v>0</v>
      </c>
      <c r="J82" s="356"/>
      <c r="K82" s="423">
        <v>0</v>
      </c>
      <c r="L82" s="356"/>
      <c r="M82" s="423">
        <v>0</v>
      </c>
      <c r="N82" s="356"/>
      <c r="O82" s="423">
        <v>0</v>
      </c>
      <c r="P82" s="356"/>
      <c r="Q82" s="423">
        <v>0</v>
      </c>
      <c r="R82" s="356"/>
      <c r="S82" s="423">
        <v>0</v>
      </c>
      <c r="T82" s="356"/>
      <c r="U82" s="423">
        <v>0</v>
      </c>
      <c r="V82" s="356"/>
      <c r="W82" s="423">
        <v>5627</v>
      </c>
      <c r="X82" s="356"/>
      <c r="Y82" s="420">
        <v>0.2</v>
      </c>
      <c r="Z82" s="356"/>
      <c r="AA82" s="423">
        <v>5627</v>
      </c>
      <c r="AB82" s="423">
        <v>8250.5300000000007</v>
      </c>
      <c r="AC82" s="423">
        <v>93.78</v>
      </c>
      <c r="AD82" s="423">
        <v>8344.31</v>
      </c>
    </row>
    <row r="83" spans="1:30" ht="15" customHeight="1">
      <c r="A83" s="369"/>
      <c r="B83" s="356"/>
      <c r="C83" s="356" t="s">
        <v>770</v>
      </c>
      <c r="D83" s="356" t="s">
        <v>769</v>
      </c>
      <c r="E83" s="423">
        <v>126.15</v>
      </c>
      <c r="F83" s="356"/>
      <c r="G83" s="423">
        <v>26.3</v>
      </c>
      <c r="H83" s="356"/>
      <c r="I83" s="423">
        <v>0</v>
      </c>
      <c r="J83" s="356"/>
      <c r="K83" s="423">
        <v>0</v>
      </c>
      <c r="L83" s="356"/>
      <c r="M83" s="423">
        <v>0</v>
      </c>
      <c r="N83" s="356"/>
      <c r="O83" s="423">
        <v>0</v>
      </c>
      <c r="P83" s="356"/>
      <c r="Q83" s="423">
        <v>0</v>
      </c>
      <c r="R83" s="356"/>
      <c r="S83" s="423">
        <v>0</v>
      </c>
      <c r="T83" s="356"/>
      <c r="U83" s="423">
        <v>0</v>
      </c>
      <c r="V83" s="356"/>
      <c r="W83" s="423">
        <v>152.44999999999999</v>
      </c>
      <c r="X83" s="356"/>
      <c r="Y83" s="420">
        <v>0.2</v>
      </c>
      <c r="Z83" s="356"/>
      <c r="AA83" s="423">
        <v>152.44999999999999</v>
      </c>
      <c r="AB83" s="423">
        <v>221.35</v>
      </c>
      <c r="AC83" s="423">
        <v>2.54</v>
      </c>
      <c r="AD83" s="423">
        <v>223.89</v>
      </c>
    </row>
    <row r="84" spans="1:30" ht="15" customHeight="1">
      <c r="A84" s="369"/>
      <c r="B84" s="356"/>
      <c r="C84" s="356" t="s">
        <v>768</v>
      </c>
      <c r="D84" s="356" t="s">
        <v>767</v>
      </c>
      <c r="E84" s="423">
        <v>20627.009999999998</v>
      </c>
      <c r="F84" s="356"/>
      <c r="G84" s="423">
        <v>2323.2199999999998</v>
      </c>
      <c r="H84" s="356"/>
      <c r="I84" s="423">
        <v>0</v>
      </c>
      <c r="J84" s="356"/>
      <c r="K84" s="423">
        <v>0</v>
      </c>
      <c r="L84" s="356"/>
      <c r="M84" s="423">
        <v>0</v>
      </c>
      <c r="N84" s="356"/>
      <c r="O84" s="423">
        <v>0</v>
      </c>
      <c r="P84" s="356"/>
      <c r="Q84" s="423">
        <v>0</v>
      </c>
      <c r="R84" s="356"/>
      <c r="S84" s="423">
        <v>0</v>
      </c>
      <c r="T84" s="356"/>
      <c r="U84" s="423">
        <v>0</v>
      </c>
      <c r="V84" s="356"/>
      <c r="W84" s="423">
        <v>22950.23</v>
      </c>
      <c r="X84" s="356"/>
      <c r="Y84" s="420">
        <v>0.2</v>
      </c>
      <c r="Z84" s="356"/>
      <c r="AA84" s="423">
        <v>22950.23</v>
      </c>
      <c r="AB84" s="423">
        <v>32438.13</v>
      </c>
      <c r="AC84" s="423">
        <v>382.5</v>
      </c>
      <c r="AD84" s="423">
        <v>32820.629999999997</v>
      </c>
    </row>
    <row r="85" spans="1:30" ht="15" customHeight="1">
      <c r="A85" s="369"/>
      <c r="B85" s="356"/>
      <c r="C85" s="356" t="s">
        <v>766</v>
      </c>
      <c r="D85" s="356" t="s">
        <v>765</v>
      </c>
      <c r="E85" s="423">
        <v>45446.76</v>
      </c>
      <c r="F85" s="356"/>
      <c r="G85" s="423">
        <v>16889.12</v>
      </c>
      <c r="H85" s="356"/>
      <c r="I85" s="423">
        <v>14018.74</v>
      </c>
      <c r="J85" s="356"/>
      <c r="K85" s="423">
        <v>202.27</v>
      </c>
      <c r="L85" s="356"/>
      <c r="M85" s="423">
        <v>85.54</v>
      </c>
      <c r="N85" s="356"/>
      <c r="O85" s="423">
        <v>0</v>
      </c>
      <c r="P85" s="356"/>
      <c r="Q85" s="423">
        <v>0</v>
      </c>
      <c r="R85" s="356"/>
      <c r="S85" s="423">
        <v>0</v>
      </c>
      <c r="T85" s="356"/>
      <c r="U85" s="423">
        <v>0</v>
      </c>
      <c r="V85" s="356"/>
      <c r="W85" s="423">
        <v>76642.429999999993</v>
      </c>
      <c r="X85" s="356"/>
      <c r="Y85" s="420">
        <v>0.2</v>
      </c>
      <c r="Z85" s="356"/>
      <c r="AA85" s="423">
        <v>76642.429999999993</v>
      </c>
      <c r="AB85" s="423">
        <v>104633.06</v>
      </c>
      <c r="AC85" s="423">
        <v>1277.3699999999999</v>
      </c>
      <c r="AD85" s="423">
        <v>105910.43</v>
      </c>
    </row>
    <row r="86" spans="1:30" ht="15" customHeight="1">
      <c r="A86" s="369"/>
      <c r="B86" s="356"/>
      <c r="C86" s="356" t="s">
        <v>764</v>
      </c>
      <c r="D86" s="356" t="s">
        <v>763</v>
      </c>
      <c r="E86" s="423">
        <v>94573.47</v>
      </c>
      <c r="F86" s="356"/>
      <c r="G86" s="423">
        <v>54650</v>
      </c>
      <c r="H86" s="356"/>
      <c r="I86" s="423">
        <v>57209.25</v>
      </c>
      <c r="J86" s="356"/>
      <c r="K86" s="423">
        <v>32380.82</v>
      </c>
      <c r="L86" s="356"/>
      <c r="M86" s="423">
        <v>30744.61</v>
      </c>
      <c r="N86" s="356"/>
      <c r="O86" s="423">
        <v>0</v>
      </c>
      <c r="P86" s="356"/>
      <c r="Q86" s="423">
        <v>0</v>
      </c>
      <c r="R86" s="356"/>
      <c r="S86" s="423">
        <v>0</v>
      </c>
      <c r="T86" s="356"/>
      <c r="U86" s="423">
        <v>0</v>
      </c>
      <c r="V86" s="356"/>
      <c r="W86" s="423">
        <v>269558.15000000002</v>
      </c>
      <c r="X86" s="356"/>
      <c r="Y86" s="420">
        <v>0.2</v>
      </c>
      <c r="Z86" s="356"/>
      <c r="AA86" s="423">
        <v>269558.15000000002</v>
      </c>
      <c r="AB86" s="423">
        <v>327699.27</v>
      </c>
      <c r="AC86" s="423">
        <v>4492.6400000000003</v>
      </c>
      <c r="AD86" s="423">
        <v>332191.90999999997</v>
      </c>
    </row>
    <row r="87" spans="1:30" ht="15" customHeight="1">
      <c r="A87" s="369"/>
      <c r="B87" s="356"/>
      <c r="C87" s="356" t="s">
        <v>762</v>
      </c>
      <c r="D87" s="356" t="s">
        <v>761</v>
      </c>
      <c r="E87" s="423">
        <v>0</v>
      </c>
      <c r="F87" s="356"/>
      <c r="G87" s="423">
        <v>3854.22</v>
      </c>
      <c r="H87" s="356"/>
      <c r="I87" s="423">
        <v>7911.27</v>
      </c>
      <c r="J87" s="356"/>
      <c r="K87" s="423">
        <v>3770.89</v>
      </c>
      <c r="L87" s="356"/>
      <c r="M87" s="423">
        <v>27.37</v>
      </c>
      <c r="N87" s="356"/>
      <c r="O87" s="423">
        <v>0</v>
      </c>
      <c r="P87" s="356"/>
      <c r="Q87" s="423">
        <v>0</v>
      </c>
      <c r="R87" s="356"/>
      <c r="S87" s="423">
        <v>0</v>
      </c>
      <c r="T87" s="356"/>
      <c r="U87" s="423">
        <v>0</v>
      </c>
      <c r="V87" s="356"/>
      <c r="W87" s="423">
        <v>15563.75</v>
      </c>
      <c r="X87" s="356"/>
      <c r="Y87" s="420">
        <v>0.2</v>
      </c>
      <c r="Z87" s="356"/>
      <c r="AA87" s="423">
        <v>15563.75</v>
      </c>
      <c r="AB87" s="423">
        <v>17377.330000000002</v>
      </c>
      <c r="AC87" s="423">
        <v>259.39999999999998</v>
      </c>
      <c r="AD87" s="423">
        <v>17636.73</v>
      </c>
    </row>
    <row r="88" spans="1:30" ht="15" customHeight="1">
      <c r="A88" s="369"/>
      <c r="B88" s="356"/>
      <c r="C88" s="356" t="s">
        <v>760</v>
      </c>
      <c r="D88" s="356" t="s">
        <v>759</v>
      </c>
      <c r="E88" s="423">
        <v>0</v>
      </c>
      <c r="F88" s="356"/>
      <c r="G88" s="423">
        <v>19792.86</v>
      </c>
      <c r="H88" s="356"/>
      <c r="I88" s="423">
        <v>33813.22</v>
      </c>
      <c r="J88" s="356"/>
      <c r="K88" s="423">
        <v>1177.23</v>
      </c>
      <c r="L88" s="356"/>
      <c r="M88" s="423">
        <v>0</v>
      </c>
      <c r="N88" s="356"/>
      <c r="O88" s="423">
        <v>0</v>
      </c>
      <c r="P88" s="356"/>
      <c r="Q88" s="423">
        <v>0</v>
      </c>
      <c r="R88" s="356"/>
      <c r="S88" s="423">
        <v>0</v>
      </c>
      <c r="T88" s="356"/>
      <c r="U88" s="423">
        <v>0</v>
      </c>
      <c r="V88" s="356"/>
      <c r="W88" s="423">
        <v>54783.31</v>
      </c>
      <c r="X88" s="356"/>
      <c r="Y88" s="420">
        <v>0.2</v>
      </c>
      <c r="Z88" s="356"/>
      <c r="AA88" s="423">
        <v>54783.31</v>
      </c>
      <c r="AB88" s="423">
        <v>65267.43</v>
      </c>
      <c r="AC88" s="423">
        <v>913.06</v>
      </c>
      <c r="AD88" s="423">
        <v>66180.490000000005</v>
      </c>
    </row>
    <row r="89" spans="1:30" ht="15" customHeight="1">
      <c r="A89" s="369"/>
      <c r="B89" s="356"/>
      <c r="C89" s="356" t="s">
        <v>740</v>
      </c>
      <c r="D89" s="356" t="s">
        <v>758</v>
      </c>
      <c r="E89" s="423">
        <v>0</v>
      </c>
      <c r="F89" s="356"/>
      <c r="G89" s="423">
        <v>4497.2299999999996</v>
      </c>
      <c r="H89" s="356"/>
      <c r="I89" s="423">
        <v>2910.58</v>
      </c>
      <c r="J89" s="356"/>
      <c r="K89" s="423">
        <v>-368.15</v>
      </c>
      <c r="L89" s="356"/>
      <c r="M89" s="423">
        <v>0</v>
      </c>
      <c r="N89" s="356"/>
      <c r="O89" s="423">
        <v>0</v>
      </c>
      <c r="P89" s="356"/>
      <c r="Q89" s="423">
        <v>0</v>
      </c>
      <c r="R89" s="356"/>
      <c r="S89" s="423">
        <v>0</v>
      </c>
      <c r="T89" s="356"/>
      <c r="U89" s="423">
        <v>0</v>
      </c>
      <c r="V89" s="356"/>
      <c r="W89" s="423">
        <v>7039.66</v>
      </c>
      <c r="X89" s="356"/>
      <c r="Y89" s="420">
        <v>0.2</v>
      </c>
      <c r="Z89" s="356"/>
      <c r="AA89" s="423">
        <v>7039.66</v>
      </c>
      <c r="AB89" s="423">
        <v>8402</v>
      </c>
      <c r="AC89" s="423">
        <v>117.33</v>
      </c>
      <c r="AD89" s="423">
        <v>8519.33</v>
      </c>
    </row>
    <row r="90" spans="1:30" ht="15" customHeight="1">
      <c r="A90" s="369"/>
      <c r="B90" s="356"/>
      <c r="C90" s="356" t="s">
        <v>740</v>
      </c>
      <c r="D90" s="356" t="s">
        <v>757</v>
      </c>
      <c r="E90" s="423">
        <v>0</v>
      </c>
      <c r="F90" s="356"/>
      <c r="G90" s="423">
        <v>3574.85</v>
      </c>
      <c r="H90" s="356"/>
      <c r="I90" s="423">
        <v>10551.04</v>
      </c>
      <c r="J90" s="356"/>
      <c r="K90" s="423">
        <v>2258.89</v>
      </c>
      <c r="L90" s="356"/>
      <c r="M90" s="423">
        <v>18.95</v>
      </c>
      <c r="N90" s="356"/>
      <c r="O90" s="423">
        <v>0</v>
      </c>
      <c r="P90" s="356"/>
      <c r="Q90" s="423">
        <v>0</v>
      </c>
      <c r="R90" s="356"/>
      <c r="S90" s="423">
        <v>0</v>
      </c>
      <c r="T90" s="356"/>
      <c r="U90" s="423">
        <v>0</v>
      </c>
      <c r="V90" s="356"/>
      <c r="W90" s="423">
        <v>16403.73</v>
      </c>
      <c r="X90" s="356"/>
      <c r="Y90" s="420">
        <v>0.2</v>
      </c>
      <c r="Z90" s="356"/>
      <c r="AA90" s="423">
        <v>16403.73</v>
      </c>
      <c r="AB90" s="423">
        <v>18858.439999999999</v>
      </c>
      <c r="AC90" s="423">
        <v>273.39999999999998</v>
      </c>
      <c r="AD90" s="423">
        <v>19131.84</v>
      </c>
    </row>
    <row r="91" spans="1:30" ht="15" customHeight="1">
      <c r="A91" s="369"/>
      <c r="B91" s="356"/>
      <c r="C91" s="356" t="s">
        <v>740</v>
      </c>
      <c r="D91" s="356" t="s">
        <v>756</v>
      </c>
      <c r="E91" s="423">
        <v>0</v>
      </c>
      <c r="F91" s="356"/>
      <c r="G91" s="423">
        <v>12764.19</v>
      </c>
      <c r="H91" s="356"/>
      <c r="I91" s="423">
        <v>7492.41</v>
      </c>
      <c r="J91" s="356"/>
      <c r="K91" s="423">
        <v>488.91</v>
      </c>
      <c r="L91" s="356"/>
      <c r="M91" s="423">
        <v>227.17</v>
      </c>
      <c r="N91" s="356"/>
      <c r="O91" s="423">
        <v>8976.61</v>
      </c>
      <c r="P91" s="356"/>
      <c r="Q91" s="423">
        <v>18.850000000000001</v>
      </c>
      <c r="R91" s="356"/>
      <c r="S91" s="423">
        <v>0</v>
      </c>
      <c r="T91" s="356"/>
      <c r="U91" s="423">
        <v>0</v>
      </c>
      <c r="V91" s="356"/>
      <c r="W91" s="423">
        <v>29968.14</v>
      </c>
      <c r="X91" s="356"/>
      <c r="Y91" s="420">
        <v>0.2</v>
      </c>
      <c r="Z91" s="356"/>
      <c r="AA91" s="423">
        <v>29968.14</v>
      </c>
      <c r="AB91" s="423">
        <v>31843.74</v>
      </c>
      <c r="AC91" s="423">
        <v>499.47</v>
      </c>
      <c r="AD91" s="423">
        <v>32343.21</v>
      </c>
    </row>
    <row r="92" spans="1:30" ht="15" customHeight="1">
      <c r="A92" s="369"/>
      <c r="B92" s="356"/>
      <c r="C92" s="356" t="s">
        <v>740</v>
      </c>
      <c r="D92" s="356" t="s">
        <v>755</v>
      </c>
      <c r="E92" s="423">
        <v>0</v>
      </c>
      <c r="F92" s="356"/>
      <c r="G92" s="423">
        <v>0</v>
      </c>
      <c r="H92" s="356"/>
      <c r="I92" s="423">
        <v>4950.43</v>
      </c>
      <c r="J92" s="356"/>
      <c r="K92" s="423">
        <v>0</v>
      </c>
      <c r="L92" s="356"/>
      <c r="M92" s="423">
        <v>0</v>
      </c>
      <c r="N92" s="356"/>
      <c r="O92" s="423">
        <v>0</v>
      </c>
      <c r="P92" s="356"/>
      <c r="Q92" s="423">
        <v>0</v>
      </c>
      <c r="R92" s="356"/>
      <c r="S92" s="423">
        <v>0</v>
      </c>
      <c r="T92" s="356"/>
      <c r="U92" s="423">
        <v>0</v>
      </c>
      <c r="V92" s="356"/>
      <c r="W92" s="423">
        <v>4950.43</v>
      </c>
      <c r="X92" s="356"/>
      <c r="Y92" s="420">
        <v>0.2</v>
      </c>
      <c r="Z92" s="356"/>
      <c r="AA92" s="423">
        <v>4950.43</v>
      </c>
      <c r="AB92" s="423">
        <v>5719.38</v>
      </c>
      <c r="AC92" s="423">
        <v>82.51</v>
      </c>
      <c r="AD92" s="423">
        <v>5801.89</v>
      </c>
    </row>
    <row r="93" spans="1:30" ht="15" customHeight="1">
      <c r="A93" s="369"/>
      <c r="B93" s="356"/>
      <c r="C93" s="356" t="s">
        <v>740</v>
      </c>
      <c r="D93" s="356" t="s">
        <v>754</v>
      </c>
      <c r="E93" s="423">
        <v>0</v>
      </c>
      <c r="F93" s="356"/>
      <c r="G93" s="423">
        <v>0</v>
      </c>
      <c r="H93" s="356"/>
      <c r="I93" s="423">
        <v>8502.15</v>
      </c>
      <c r="J93" s="356"/>
      <c r="K93" s="423">
        <v>4547.01</v>
      </c>
      <c r="L93" s="356"/>
      <c r="M93" s="423">
        <v>19.350000000000001</v>
      </c>
      <c r="N93" s="356"/>
      <c r="O93" s="423">
        <v>0</v>
      </c>
      <c r="P93" s="356"/>
      <c r="Q93" s="423">
        <v>0</v>
      </c>
      <c r="R93" s="356"/>
      <c r="S93" s="423">
        <v>0</v>
      </c>
      <c r="T93" s="356"/>
      <c r="U93" s="423">
        <v>0</v>
      </c>
      <c r="V93" s="356"/>
      <c r="W93" s="423">
        <v>13068.51</v>
      </c>
      <c r="X93" s="356"/>
      <c r="Y93" s="420">
        <v>0.2</v>
      </c>
      <c r="Z93" s="356"/>
      <c r="AA93" s="423">
        <v>13068.51</v>
      </c>
      <c r="AB93" s="423">
        <v>13388.36</v>
      </c>
      <c r="AC93" s="423">
        <v>217.81</v>
      </c>
      <c r="AD93" s="423">
        <v>13606.17</v>
      </c>
    </row>
    <row r="94" spans="1:30" ht="15" customHeight="1">
      <c r="A94" s="369"/>
      <c r="B94" s="356"/>
      <c r="C94" s="356" t="s">
        <v>740</v>
      </c>
      <c r="D94" s="356" t="s">
        <v>753</v>
      </c>
      <c r="E94" s="423">
        <v>0</v>
      </c>
      <c r="F94" s="356"/>
      <c r="G94" s="423">
        <v>0</v>
      </c>
      <c r="H94" s="356"/>
      <c r="I94" s="423">
        <v>0</v>
      </c>
      <c r="J94" s="356"/>
      <c r="K94" s="423">
        <v>0</v>
      </c>
      <c r="L94" s="356"/>
      <c r="M94" s="423">
        <v>8808.36</v>
      </c>
      <c r="N94" s="356"/>
      <c r="O94" s="423">
        <v>1859.51</v>
      </c>
      <c r="P94" s="356"/>
      <c r="Q94" s="423">
        <v>131.57</v>
      </c>
      <c r="R94" s="356"/>
      <c r="S94" s="423">
        <v>1.1200000000000001</v>
      </c>
      <c r="T94" s="356"/>
      <c r="U94" s="423">
        <v>0</v>
      </c>
      <c r="V94" s="356"/>
      <c r="W94" s="423">
        <v>10800.56</v>
      </c>
      <c r="X94" s="356"/>
      <c r="Y94" s="420">
        <v>0.2</v>
      </c>
      <c r="Z94" s="356"/>
      <c r="AA94" s="423">
        <v>10800.56</v>
      </c>
      <c r="AB94" s="423">
        <v>6948.43</v>
      </c>
      <c r="AC94" s="423">
        <v>180.01</v>
      </c>
      <c r="AD94" s="423">
        <v>7128.44</v>
      </c>
    </row>
    <row r="95" spans="1:30" ht="15" customHeight="1">
      <c r="A95" s="369"/>
      <c r="B95" s="356"/>
      <c r="C95" s="356" t="s">
        <v>740</v>
      </c>
      <c r="D95" s="356" t="s">
        <v>752</v>
      </c>
      <c r="E95" s="423">
        <v>0</v>
      </c>
      <c r="F95" s="356"/>
      <c r="G95" s="423">
        <v>0</v>
      </c>
      <c r="H95" s="356"/>
      <c r="I95" s="423">
        <v>0</v>
      </c>
      <c r="J95" s="356"/>
      <c r="K95" s="423">
        <v>0</v>
      </c>
      <c r="L95" s="356"/>
      <c r="M95" s="423">
        <v>10021.56</v>
      </c>
      <c r="N95" s="356"/>
      <c r="O95" s="423">
        <v>52.21</v>
      </c>
      <c r="P95" s="356"/>
      <c r="Q95" s="423">
        <v>0</v>
      </c>
      <c r="R95" s="356"/>
      <c r="S95" s="423">
        <v>0</v>
      </c>
      <c r="T95" s="356"/>
      <c r="U95" s="423">
        <v>0</v>
      </c>
      <c r="V95" s="356"/>
      <c r="W95" s="423">
        <v>10073.77</v>
      </c>
      <c r="X95" s="356"/>
      <c r="Y95" s="420">
        <v>0.2</v>
      </c>
      <c r="Z95" s="356"/>
      <c r="AA95" s="423">
        <v>10073.77</v>
      </c>
      <c r="AB95" s="423">
        <v>6880.65</v>
      </c>
      <c r="AC95" s="423">
        <v>167.9</v>
      </c>
      <c r="AD95" s="423">
        <v>7048.55</v>
      </c>
    </row>
    <row r="96" spans="1:30" ht="15" customHeight="1">
      <c r="A96" s="369"/>
      <c r="B96" s="356"/>
      <c r="C96" s="356" t="s">
        <v>740</v>
      </c>
      <c r="D96" s="356" t="s">
        <v>751</v>
      </c>
      <c r="E96" s="423">
        <v>0</v>
      </c>
      <c r="F96" s="356"/>
      <c r="G96" s="423">
        <v>0</v>
      </c>
      <c r="H96" s="356"/>
      <c r="I96" s="423">
        <v>0</v>
      </c>
      <c r="J96" s="356"/>
      <c r="K96" s="423">
        <v>0</v>
      </c>
      <c r="L96" s="356"/>
      <c r="M96" s="423">
        <v>0</v>
      </c>
      <c r="N96" s="356"/>
      <c r="O96" s="423">
        <v>1574.31</v>
      </c>
      <c r="P96" s="356"/>
      <c r="Q96" s="423">
        <v>328.91</v>
      </c>
      <c r="R96" s="356"/>
      <c r="S96" s="423">
        <v>0</v>
      </c>
      <c r="T96" s="356"/>
      <c r="U96" s="423">
        <v>0</v>
      </c>
      <c r="V96" s="356"/>
      <c r="W96" s="423">
        <v>1903.22</v>
      </c>
      <c r="X96" s="356"/>
      <c r="Y96" s="420">
        <v>0.2</v>
      </c>
      <c r="Z96" s="356"/>
      <c r="AA96" s="423">
        <v>1903.22</v>
      </c>
      <c r="AB96" s="423">
        <v>986.31</v>
      </c>
      <c r="AC96" s="423">
        <v>31.72</v>
      </c>
      <c r="AD96" s="423">
        <v>1018.03</v>
      </c>
    </row>
    <row r="97" spans="1:30" ht="15" customHeight="1">
      <c r="A97" s="369"/>
      <c r="B97" s="356"/>
      <c r="C97" s="356" t="s">
        <v>740</v>
      </c>
      <c r="D97" s="356" t="s">
        <v>750</v>
      </c>
      <c r="E97" s="356"/>
      <c r="F97" s="356"/>
      <c r="G97" s="356"/>
      <c r="H97" s="356"/>
      <c r="I97" s="356"/>
      <c r="J97" s="356"/>
      <c r="K97" s="356"/>
      <c r="L97" s="356"/>
      <c r="M97" s="423">
        <v>0</v>
      </c>
      <c r="N97" s="356"/>
      <c r="O97" s="423">
        <v>9118.9699999999993</v>
      </c>
      <c r="P97" s="356"/>
      <c r="Q97" s="423">
        <v>14.07</v>
      </c>
      <c r="R97" s="356"/>
      <c r="S97" s="423">
        <v>0</v>
      </c>
      <c r="T97" s="356"/>
      <c r="U97" s="423">
        <v>0</v>
      </c>
      <c r="V97" s="356"/>
      <c r="W97" s="423">
        <v>9133.0400000000009</v>
      </c>
      <c r="X97" s="356"/>
      <c r="Y97" s="420">
        <v>0.2</v>
      </c>
      <c r="Z97" s="356"/>
      <c r="AA97" s="423">
        <v>9133.0400000000009</v>
      </c>
      <c r="AB97" s="423">
        <v>5298.71</v>
      </c>
      <c r="AC97" s="423">
        <v>152.22</v>
      </c>
      <c r="AD97" s="423">
        <v>5450.93</v>
      </c>
    </row>
    <row r="98" spans="1:30" ht="15" customHeight="1">
      <c r="A98" s="369"/>
      <c r="B98" s="356"/>
      <c r="C98" s="356" t="s">
        <v>740</v>
      </c>
      <c r="D98" s="356" t="s">
        <v>749</v>
      </c>
      <c r="E98" s="356"/>
      <c r="F98" s="356"/>
      <c r="G98" s="356"/>
      <c r="H98" s="356"/>
      <c r="I98" s="356"/>
      <c r="J98" s="356"/>
      <c r="K98" s="356"/>
      <c r="L98" s="356"/>
      <c r="M98" s="423">
        <v>0</v>
      </c>
      <c r="N98" s="356"/>
      <c r="O98" s="423">
        <v>202.69</v>
      </c>
      <c r="P98" s="356"/>
      <c r="Q98" s="423">
        <v>0.67</v>
      </c>
      <c r="R98" s="356"/>
      <c r="S98" s="423">
        <v>0</v>
      </c>
      <c r="T98" s="356"/>
      <c r="U98" s="423">
        <v>0</v>
      </c>
      <c r="V98" s="356"/>
      <c r="W98" s="423">
        <v>203.36</v>
      </c>
      <c r="X98" s="356"/>
      <c r="Y98" s="420">
        <v>0.2</v>
      </c>
      <c r="Z98" s="356"/>
      <c r="AA98" s="423">
        <v>203.36</v>
      </c>
      <c r="AB98" s="423">
        <v>104.42</v>
      </c>
      <c r="AC98" s="423">
        <v>3.39</v>
      </c>
      <c r="AD98" s="423">
        <v>107.81</v>
      </c>
    </row>
    <row r="99" spans="1:30" ht="15" customHeight="1">
      <c r="A99" s="369"/>
      <c r="B99" s="356"/>
      <c r="C99" s="356" t="s">
        <v>740</v>
      </c>
      <c r="D99" s="356" t="s">
        <v>748</v>
      </c>
      <c r="E99" s="356"/>
      <c r="F99" s="356"/>
      <c r="G99" s="356"/>
      <c r="H99" s="356"/>
      <c r="I99" s="356"/>
      <c r="J99" s="356"/>
      <c r="K99" s="356"/>
      <c r="L99" s="356"/>
      <c r="M99" s="423">
        <v>0</v>
      </c>
      <c r="N99" s="356"/>
      <c r="O99" s="423">
        <v>575.71</v>
      </c>
      <c r="P99" s="356"/>
      <c r="Q99" s="423">
        <v>213.22</v>
      </c>
      <c r="R99" s="356"/>
      <c r="S99" s="423">
        <v>4.41</v>
      </c>
      <c r="T99" s="356"/>
      <c r="U99" s="423">
        <v>0</v>
      </c>
      <c r="V99" s="356"/>
      <c r="W99" s="423">
        <v>793.34</v>
      </c>
      <c r="X99" s="356"/>
      <c r="Y99" s="420">
        <v>0.2</v>
      </c>
      <c r="Z99" s="356"/>
      <c r="AA99" s="423">
        <v>793.34</v>
      </c>
      <c r="AB99" s="423">
        <v>370.31</v>
      </c>
      <c r="AC99" s="423">
        <v>13.22</v>
      </c>
      <c r="AD99" s="423">
        <v>383.53</v>
      </c>
    </row>
    <row r="100" spans="1:30" ht="15" customHeight="1">
      <c r="A100" s="369"/>
      <c r="B100" s="356"/>
      <c r="C100" s="356" t="s">
        <v>740</v>
      </c>
      <c r="D100" s="356" t="s">
        <v>747</v>
      </c>
      <c r="E100" s="356"/>
      <c r="F100" s="356"/>
      <c r="G100" s="356"/>
      <c r="H100" s="356"/>
      <c r="I100" s="356"/>
      <c r="J100" s="356"/>
      <c r="K100" s="356"/>
      <c r="L100" s="356"/>
      <c r="M100" s="356"/>
      <c r="N100" s="356"/>
      <c r="O100" s="423">
        <v>238.16</v>
      </c>
      <c r="P100" s="356"/>
      <c r="Q100" s="423">
        <v>302.77</v>
      </c>
      <c r="R100" s="356"/>
      <c r="S100" s="423">
        <v>0</v>
      </c>
      <c r="T100" s="356"/>
      <c r="U100" s="423">
        <v>0</v>
      </c>
      <c r="V100" s="356"/>
      <c r="W100" s="423">
        <v>540.92999999999995</v>
      </c>
      <c r="X100" s="356"/>
      <c r="Y100" s="420">
        <v>0.2</v>
      </c>
      <c r="Z100" s="356"/>
      <c r="AA100" s="423">
        <v>540.92999999999995</v>
      </c>
      <c r="AB100" s="423">
        <v>234.99</v>
      </c>
      <c r="AC100" s="423">
        <v>9.02</v>
      </c>
      <c r="AD100" s="423">
        <v>244.01</v>
      </c>
    </row>
    <row r="101" spans="1:30" ht="15" customHeight="1">
      <c r="A101" s="369"/>
      <c r="B101" s="356"/>
      <c r="C101" s="356" t="s">
        <v>740</v>
      </c>
      <c r="D101" s="356" t="s">
        <v>746</v>
      </c>
      <c r="E101" s="356"/>
      <c r="F101" s="356"/>
      <c r="G101" s="356"/>
      <c r="H101" s="356"/>
      <c r="I101" s="356"/>
      <c r="J101" s="356"/>
      <c r="K101" s="356"/>
      <c r="L101" s="356"/>
      <c r="M101" s="356"/>
      <c r="N101" s="356"/>
      <c r="O101" s="423">
        <v>205.85</v>
      </c>
      <c r="P101" s="356"/>
      <c r="Q101" s="423">
        <v>170.92</v>
      </c>
      <c r="R101" s="356"/>
      <c r="S101" s="423">
        <v>0</v>
      </c>
      <c r="T101" s="356"/>
      <c r="U101" s="423">
        <v>0</v>
      </c>
      <c r="V101" s="356"/>
      <c r="W101" s="423">
        <v>376.77</v>
      </c>
      <c r="X101" s="356"/>
      <c r="Y101" s="420">
        <v>0.2</v>
      </c>
      <c r="Z101" s="356"/>
      <c r="AA101" s="423">
        <v>376.77</v>
      </c>
      <c r="AB101" s="423">
        <v>157.25</v>
      </c>
      <c r="AC101" s="423">
        <v>6.28</v>
      </c>
      <c r="AD101" s="423">
        <v>163.53</v>
      </c>
    </row>
    <row r="102" spans="1:30" ht="15" customHeight="1">
      <c r="A102" s="369"/>
      <c r="B102" s="356"/>
      <c r="C102" s="356" t="s">
        <v>740</v>
      </c>
      <c r="D102" s="356" t="s">
        <v>745</v>
      </c>
      <c r="E102" s="356"/>
      <c r="F102" s="356"/>
      <c r="G102" s="356"/>
      <c r="H102" s="356"/>
      <c r="I102" s="356"/>
      <c r="J102" s="356"/>
      <c r="K102" s="356"/>
      <c r="L102" s="356"/>
      <c r="M102" s="356"/>
      <c r="N102" s="356"/>
      <c r="O102" s="423">
        <v>631.34</v>
      </c>
      <c r="P102" s="356"/>
      <c r="Q102" s="423">
        <v>165.1</v>
      </c>
      <c r="R102" s="356"/>
      <c r="S102" s="423">
        <v>0</v>
      </c>
      <c r="T102" s="356"/>
      <c r="U102" s="423">
        <v>0</v>
      </c>
      <c r="V102" s="356"/>
      <c r="W102" s="423">
        <v>796.44</v>
      </c>
      <c r="X102" s="356"/>
      <c r="Y102" s="420">
        <v>0.2</v>
      </c>
      <c r="Z102" s="356"/>
      <c r="AA102" s="423">
        <v>796.44</v>
      </c>
      <c r="AB102" s="423">
        <v>355.1</v>
      </c>
      <c r="AC102" s="423">
        <v>13.27</v>
      </c>
      <c r="AD102" s="423">
        <v>368.37</v>
      </c>
    </row>
    <row r="103" spans="1:30" ht="15" customHeight="1">
      <c r="A103" s="369"/>
      <c r="B103" s="356"/>
      <c r="C103" s="356" t="s">
        <v>740</v>
      </c>
      <c r="D103" s="356" t="s">
        <v>744</v>
      </c>
      <c r="E103" s="356"/>
      <c r="F103" s="356"/>
      <c r="G103" s="356"/>
      <c r="H103" s="356"/>
      <c r="I103" s="356"/>
      <c r="J103" s="356"/>
      <c r="K103" s="356"/>
      <c r="L103" s="356"/>
      <c r="M103" s="356"/>
      <c r="N103" s="356"/>
      <c r="O103" s="356"/>
      <c r="P103" s="356"/>
      <c r="Q103" s="423">
        <v>657.42</v>
      </c>
      <c r="R103" s="356"/>
      <c r="S103" s="423">
        <v>10.71</v>
      </c>
      <c r="T103" s="356"/>
      <c r="U103" s="423">
        <v>2.5099999999999998</v>
      </c>
      <c r="V103" s="356"/>
      <c r="W103" s="423">
        <v>670.64</v>
      </c>
      <c r="X103" s="356"/>
      <c r="Y103" s="420">
        <v>0.2</v>
      </c>
      <c r="Z103" s="356"/>
      <c r="AA103" s="423">
        <v>670.64</v>
      </c>
      <c r="AB103" s="423">
        <v>205.91</v>
      </c>
      <c r="AC103" s="423">
        <v>11.18</v>
      </c>
      <c r="AD103" s="423">
        <v>217.09</v>
      </c>
    </row>
    <row r="104" spans="1:30" ht="15" customHeight="1">
      <c r="A104" s="369"/>
      <c r="B104" s="356"/>
      <c r="C104" s="356" t="s">
        <v>740</v>
      </c>
      <c r="D104" s="356" t="s">
        <v>743</v>
      </c>
      <c r="E104" s="356"/>
      <c r="F104" s="356"/>
      <c r="G104" s="356"/>
      <c r="H104" s="356"/>
      <c r="I104" s="423">
        <v>0</v>
      </c>
      <c r="J104" s="356"/>
      <c r="K104" s="423">
        <v>0</v>
      </c>
      <c r="L104" s="356"/>
      <c r="M104" s="423">
        <v>0</v>
      </c>
      <c r="N104" s="356"/>
      <c r="O104" s="423">
        <v>3380.81</v>
      </c>
      <c r="P104" s="356"/>
      <c r="Q104" s="423">
        <v>651.04</v>
      </c>
      <c r="R104" s="356"/>
      <c r="S104" s="423">
        <v>127.41</v>
      </c>
      <c r="T104" s="356"/>
      <c r="U104" s="423">
        <v>0</v>
      </c>
      <c r="V104" s="356"/>
      <c r="W104" s="423">
        <v>4159.26</v>
      </c>
      <c r="X104" s="356"/>
      <c r="Y104" s="420">
        <v>0.2</v>
      </c>
      <c r="Z104" s="356"/>
      <c r="AA104" s="423">
        <v>4159.26</v>
      </c>
      <c r="AB104" s="423">
        <v>2041.29</v>
      </c>
      <c r="AC104" s="423">
        <v>69.319999999999993</v>
      </c>
      <c r="AD104" s="423">
        <v>2110.61</v>
      </c>
    </row>
    <row r="105" spans="1:30" ht="15" customHeight="1">
      <c r="A105" s="369"/>
      <c r="B105" s="356"/>
      <c r="C105" s="356" t="s">
        <v>740</v>
      </c>
      <c r="D105" s="356" t="s">
        <v>742</v>
      </c>
      <c r="E105" s="356"/>
      <c r="F105" s="356"/>
      <c r="G105" s="356"/>
      <c r="H105" s="356"/>
      <c r="I105" s="423">
        <v>0</v>
      </c>
      <c r="J105" s="356"/>
      <c r="K105" s="423">
        <v>0</v>
      </c>
      <c r="L105" s="356"/>
      <c r="M105" s="423">
        <v>0</v>
      </c>
      <c r="N105" s="356"/>
      <c r="O105" s="423">
        <v>0</v>
      </c>
      <c r="P105" s="356"/>
      <c r="Q105" s="423">
        <v>1210.3499999999999</v>
      </c>
      <c r="R105" s="356"/>
      <c r="S105" s="423">
        <v>130.85</v>
      </c>
      <c r="T105" s="356"/>
      <c r="U105" s="423">
        <v>0</v>
      </c>
      <c r="V105" s="356"/>
      <c r="W105" s="423">
        <v>1341.2</v>
      </c>
      <c r="X105" s="356"/>
      <c r="Y105" s="420">
        <v>0.2</v>
      </c>
      <c r="Z105" s="356"/>
      <c r="AA105" s="423">
        <v>1341.2</v>
      </c>
      <c r="AB105" s="423">
        <v>363.9</v>
      </c>
      <c r="AC105" s="423">
        <v>22.35</v>
      </c>
      <c r="AD105" s="423">
        <v>386.25</v>
      </c>
    </row>
    <row r="106" spans="1:30" ht="15" customHeight="1">
      <c r="A106" s="369"/>
      <c r="B106" s="356"/>
      <c r="C106" s="356" t="s">
        <v>740</v>
      </c>
      <c r="D106" s="356" t="s">
        <v>741</v>
      </c>
      <c r="E106" s="356"/>
      <c r="F106" s="356"/>
      <c r="G106" s="356"/>
      <c r="H106" s="356"/>
      <c r="I106" s="356"/>
      <c r="J106" s="356"/>
      <c r="K106" s="356"/>
      <c r="L106" s="356"/>
      <c r="M106" s="356"/>
      <c r="N106" s="356"/>
      <c r="O106" s="356"/>
      <c r="P106" s="356"/>
      <c r="Q106" s="423">
        <v>184.74</v>
      </c>
      <c r="R106" s="356"/>
      <c r="S106" s="423">
        <v>113.3</v>
      </c>
      <c r="T106" s="356"/>
      <c r="U106" s="423">
        <v>0</v>
      </c>
      <c r="V106" s="356"/>
      <c r="W106" s="423">
        <v>298.04000000000002</v>
      </c>
      <c r="X106" s="356"/>
      <c r="Y106" s="420">
        <v>0.2</v>
      </c>
      <c r="Z106" s="356"/>
      <c r="AA106" s="423">
        <v>298.04000000000002</v>
      </c>
      <c r="AB106" s="423">
        <v>72.78</v>
      </c>
      <c r="AC106" s="423">
        <v>4.97</v>
      </c>
      <c r="AD106" s="423">
        <v>77.75</v>
      </c>
    </row>
    <row r="107" spans="1:30" ht="15" customHeight="1">
      <c r="A107" s="369"/>
      <c r="B107" s="356"/>
      <c r="C107" s="356" t="s">
        <v>740</v>
      </c>
      <c r="D107" s="356" t="s">
        <v>739</v>
      </c>
      <c r="E107" s="356"/>
      <c r="F107" s="356"/>
      <c r="G107" s="356"/>
      <c r="H107" s="356"/>
      <c r="I107" s="356"/>
      <c r="J107" s="356"/>
      <c r="K107" s="356"/>
      <c r="L107" s="356"/>
      <c r="M107" s="356"/>
      <c r="N107" s="356"/>
      <c r="O107" s="356"/>
      <c r="P107" s="356"/>
      <c r="Q107" s="356"/>
      <c r="R107" s="356"/>
      <c r="S107" s="423">
        <v>12.39</v>
      </c>
      <c r="T107" s="356"/>
      <c r="U107" s="423">
        <v>18.920000000000002</v>
      </c>
      <c r="V107" s="356"/>
      <c r="W107" s="423">
        <v>31.31</v>
      </c>
      <c r="X107" s="356"/>
      <c r="Y107" s="420">
        <v>0.2</v>
      </c>
      <c r="Z107" s="356"/>
      <c r="AA107" s="423">
        <v>31.31</v>
      </c>
      <c r="AB107" s="423">
        <v>1.04</v>
      </c>
      <c r="AC107" s="423">
        <v>0.52</v>
      </c>
      <c r="AD107" s="423">
        <v>1.56</v>
      </c>
    </row>
    <row r="108" spans="1:30" ht="15" customHeight="1">
      <c r="A108" s="369"/>
      <c r="B108" s="356"/>
      <c r="C108" s="356" t="s">
        <v>738</v>
      </c>
      <c r="D108" s="356" t="s">
        <v>737</v>
      </c>
      <c r="E108" s="423">
        <v>0</v>
      </c>
      <c r="F108" s="356"/>
      <c r="G108" s="423">
        <v>0</v>
      </c>
      <c r="H108" s="356"/>
      <c r="I108" s="423">
        <v>51512.01</v>
      </c>
      <c r="J108" s="356"/>
      <c r="K108" s="423">
        <v>1252.71</v>
      </c>
      <c r="L108" s="356"/>
      <c r="M108" s="423">
        <v>0</v>
      </c>
      <c r="N108" s="356"/>
      <c r="O108" s="423">
        <v>0</v>
      </c>
      <c r="P108" s="356"/>
      <c r="Q108" s="423">
        <v>0</v>
      </c>
      <c r="R108" s="356"/>
      <c r="S108" s="423">
        <v>0</v>
      </c>
      <c r="T108" s="356"/>
      <c r="U108" s="423">
        <v>0</v>
      </c>
      <c r="V108" s="356"/>
      <c r="W108" s="423">
        <v>52764.72</v>
      </c>
      <c r="X108" s="356"/>
      <c r="Y108" s="420">
        <v>0.2</v>
      </c>
      <c r="Z108" s="356"/>
      <c r="AA108" s="423">
        <v>52764.72</v>
      </c>
      <c r="AB108" s="423">
        <v>59360.55</v>
      </c>
      <c r="AC108" s="423">
        <v>879.41</v>
      </c>
      <c r="AD108" s="423">
        <v>60239.96</v>
      </c>
    </row>
    <row r="109" spans="1:30" ht="15" customHeight="1">
      <c r="A109" s="369"/>
      <c r="B109" s="356"/>
      <c r="C109" s="356" t="s">
        <v>736</v>
      </c>
      <c r="D109" s="356" t="s">
        <v>735</v>
      </c>
      <c r="E109" s="423">
        <v>0</v>
      </c>
      <c r="F109" s="356"/>
      <c r="G109" s="423">
        <v>0</v>
      </c>
      <c r="H109" s="356"/>
      <c r="I109" s="423">
        <v>46558.22</v>
      </c>
      <c r="J109" s="356"/>
      <c r="K109" s="423">
        <v>1933.56</v>
      </c>
      <c r="L109" s="356"/>
      <c r="M109" s="423">
        <v>1714.32</v>
      </c>
      <c r="N109" s="356"/>
      <c r="O109" s="423">
        <v>613.48</v>
      </c>
      <c r="P109" s="356"/>
      <c r="Q109" s="423">
        <v>7.96</v>
      </c>
      <c r="R109" s="356"/>
      <c r="S109" s="423">
        <v>0</v>
      </c>
      <c r="T109" s="356"/>
      <c r="U109" s="423">
        <v>0</v>
      </c>
      <c r="V109" s="356"/>
      <c r="W109" s="423">
        <v>50827.54</v>
      </c>
      <c r="X109" s="356"/>
      <c r="Y109" s="420">
        <v>0.2</v>
      </c>
      <c r="Z109" s="356"/>
      <c r="AA109" s="423">
        <v>50827.54</v>
      </c>
      <c r="AB109" s="423">
        <v>55992.4</v>
      </c>
      <c r="AC109" s="423">
        <v>847.13</v>
      </c>
      <c r="AD109" s="423">
        <v>56839.53</v>
      </c>
    </row>
    <row r="110" spans="1:30" ht="15" customHeight="1">
      <c r="A110" s="369"/>
      <c r="B110" s="356"/>
      <c r="C110" s="356" t="s">
        <v>734</v>
      </c>
      <c r="D110" s="356" t="s">
        <v>733</v>
      </c>
      <c r="E110" s="423">
        <v>0</v>
      </c>
      <c r="F110" s="356"/>
      <c r="G110" s="423">
        <v>0</v>
      </c>
      <c r="H110" s="356"/>
      <c r="I110" s="423">
        <v>29844.66</v>
      </c>
      <c r="J110" s="356"/>
      <c r="K110" s="423">
        <v>28478.34</v>
      </c>
      <c r="L110" s="356"/>
      <c r="M110" s="423">
        <v>33626.379999999997</v>
      </c>
      <c r="N110" s="356"/>
      <c r="O110" s="423">
        <v>5171.28</v>
      </c>
      <c r="P110" s="356"/>
      <c r="Q110" s="423">
        <v>0</v>
      </c>
      <c r="R110" s="356"/>
      <c r="S110" s="423">
        <v>0</v>
      </c>
      <c r="T110" s="356"/>
      <c r="U110" s="423">
        <v>0</v>
      </c>
      <c r="V110" s="356"/>
      <c r="W110" s="423">
        <v>97120.66</v>
      </c>
      <c r="X110" s="356"/>
      <c r="Y110" s="420">
        <v>0.2</v>
      </c>
      <c r="Z110" s="356"/>
      <c r="AA110" s="423">
        <v>97120.66</v>
      </c>
      <c r="AB110" s="423">
        <v>85152.84</v>
      </c>
      <c r="AC110" s="423">
        <v>1618.68</v>
      </c>
      <c r="AD110" s="423">
        <v>86771.520000000004</v>
      </c>
    </row>
    <row r="111" spans="1:30" ht="15" customHeight="1">
      <c r="A111" s="369"/>
      <c r="B111" s="356"/>
      <c r="C111" s="356" t="s">
        <v>732</v>
      </c>
      <c r="D111" s="356" t="s">
        <v>731</v>
      </c>
      <c r="E111" s="423">
        <v>0</v>
      </c>
      <c r="F111" s="356"/>
      <c r="G111" s="423">
        <v>0</v>
      </c>
      <c r="H111" s="356"/>
      <c r="I111" s="423">
        <v>29908.21</v>
      </c>
      <c r="J111" s="356"/>
      <c r="K111" s="423">
        <v>2025.12</v>
      </c>
      <c r="L111" s="356"/>
      <c r="M111" s="423">
        <v>2351.5</v>
      </c>
      <c r="N111" s="356"/>
      <c r="O111" s="423">
        <v>2608.83</v>
      </c>
      <c r="P111" s="356"/>
      <c r="Q111" s="423">
        <v>0.48</v>
      </c>
      <c r="R111" s="356"/>
      <c r="S111" s="423">
        <v>0</v>
      </c>
      <c r="T111" s="356"/>
      <c r="U111" s="423">
        <v>0</v>
      </c>
      <c r="V111" s="356"/>
      <c r="W111" s="423">
        <v>36894.14</v>
      </c>
      <c r="X111" s="356"/>
      <c r="Y111" s="420">
        <v>0.2</v>
      </c>
      <c r="Z111" s="356"/>
      <c r="AA111" s="423">
        <v>36894.14</v>
      </c>
      <c r="AB111" s="423">
        <v>36204.730000000003</v>
      </c>
      <c r="AC111" s="423">
        <v>614.9</v>
      </c>
      <c r="AD111" s="423">
        <v>36819.629999999997</v>
      </c>
    </row>
    <row r="112" spans="1:30" ht="15" customHeight="1">
      <c r="A112" s="369"/>
      <c r="B112" s="356"/>
      <c r="C112" s="356" t="s">
        <v>730</v>
      </c>
      <c r="D112" s="356" t="s">
        <v>729</v>
      </c>
      <c r="E112" s="423">
        <v>0</v>
      </c>
      <c r="F112" s="356"/>
      <c r="G112" s="423">
        <v>0</v>
      </c>
      <c r="H112" s="356"/>
      <c r="I112" s="423">
        <v>68834.52</v>
      </c>
      <c r="J112" s="356"/>
      <c r="K112" s="423">
        <v>9812.82</v>
      </c>
      <c r="L112" s="356"/>
      <c r="M112" s="423">
        <v>149.31</v>
      </c>
      <c r="N112" s="356"/>
      <c r="O112" s="423">
        <v>0</v>
      </c>
      <c r="P112" s="356"/>
      <c r="Q112" s="423">
        <v>0</v>
      </c>
      <c r="R112" s="356"/>
      <c r="S112" s="423">
        <v>0</v>
      </c>
      <c r="T112" s="356"/>
      <c r="U112" s="423">
        <v>0</v>
      </c>
      <c r="V112" s="356"/>
      <c r="W112" s="423">
        <v>78796.649999999994</v>
      </c>
      <c r="X112" s="356"/>
      <c r="Y112" s="420">
        <v>0.2</v>
      </c>
      <c r="Z112" s="356"/>
      <c r="AA112" s="423">
        <v>78796.649999999994</v>
      </c>
      <c r="AB112" s="423">
        <v>86050.7</v>
      </c>
      <c r="AC112" s="423">
        <v>1313.28</v>
      </c>
      <c r="AD112" s="423">
        <v>87363.98</v>
      </c>
    </row>
    <row r="113" spans="1:30" ht="15" customHeight="1">
      <c r="A113" s="369"/>
      <c r="B113" s="356"/>
      <c r="C113" s="356" t="s">
        <v>728</v>
      </c>
      <c r="D113" s="356" t="s">
        <v>727</v>
      </c>
      <c r="E113" s="423">
        <v>0</v>
      </c>
      <c r="F113" s="356"/>
      <c r="G113" s="423">
        <v>0</v>
      </c>
      <c r="H113" s="356"/>
      <c r="I113" s="423">
        <v>66170.77</v>
      </c>
      <c r="J113" s="356"/>
      <c r="K113" s="423">
        <v>22260.9</v>
      </c>
      <c r="L113" s="356"/>
      <c r="M113" s="423">
        <v>46204.08</v>
      </c>
      <c r="N113" s="356"/>
      <c r="O113" s="423">
        <v>5841.13</v>
      </c>
      <c r="P113" s="356"/>
      <c r="Q113" s="423">
        <v>15.08</v>
      </c>
      <c r="R113" s="356"/>
      <c r="S113" s="423">
        <v>0</v>
      </c>
      <c r="T113" s="356"/>
      <c r="U113" s="423">
        <v>0</v>
      </c>
      <c r="V113" s="356"/>
      <c r="W113" s="423">
        <v>140491.96</v>
      </c>
      <c r="X113" s="356"/>
      <c r="Y113" s="420">
        <v>0.2</v>
      </c>
      <c r="Z113" s="356"/>
      <c r="AA113" s="423">
        <v>140491.96</v>
      </c>
      <c r="AB113" s="423">
        <v>125714.49</v>
      </c>
      <c r="AC113" s="423">
        <v>2341.5300000000002</v>
      </c>
      <c r="AD113" s="423">
        <v>128056.02</v>
      </c>
    </row>
    <row r="114" spans="1:30" ht="15" customHeight="1">
      <c r="A114" s="369"/>
      <c r="B114" s="356"/>
      <c r="C114" s="356" t="s">
        <v>726</v>
      </c>
      <c r="D114" s="356" t="s">
        <v>725</v>
      </c>
      <c r="E114" s="423">
        <v>0</v>
      </c>
      <c r="F114" s="356"/>
      <c r="G114" s="423">
        <v>0</v>
      </c>
      <c r="H114" s="356"/>
      <c r="I114" s="423">
        <v>11173.63</v>
      </c>
      <c r="J114" s="356"/>
      <c r="K114" s="423">
        <v>39175.86</v>
      </c>
      <c r="L114" s="356"/>
      <c r="M114" s="423">
        <v>3034.81</v>
      </c>
      <c r="N114" s="356"/>
      <c r="O114" s="423">
        <v>0</v>
      </c>
      <c r="P114" s="356"/>
      <c r="Q114" s="423">
        <v>0</v>
      </c>
      <c r="R114" s="356"/>
      <c r="S114" s="423">
        <v>0</v>
      </c>
      <c r="T114" s="356"/>
      <c r="U114" s="423">
        <v>0</v>
      </c>
      <c r="V114" s="356"/>
      <c r="W114" s="423">
        <v>53384.3</v>
      </c>
      <c r="X114" s="356"/>
      <c r="Y114" s="420">
        <v>0.2</v>
      </c>
      <c r="Z114" s="356"/>
      <c r="AA114" s="423">
        <v>53384.3</v>
      </c>
      <c r="AB114" s="423">
        <v>46960.5</v>
      </c>
      <c r="AC114" s="423">
        <v>889.74</v>
      </c>
      <c r="AD114" s="423">
        <v>47850.239999999998</v>
      </c>
    </row>
    <row r="115" spans="1:30" ht="15" customHeight="1">
      <c r="A115" s="369"/>
      <c r="B115" s="356"/>
      <c r="C115" s="356" t="s">
        <v>724</v>
      </c>
      <c r="D115" s="356" t="s">
        <v>723</v>
      </c>
      <c r="E115" s="423">
        <v>0</v>
      </c>
      <c r="F115" s="356"/>
      <c r="G115" s="423">
        <v>0</v>
      </c>
      <c r="H115" s="356"/>
      <c r="I115" s="423">
        <v>0</v>
      </c>
      <c r="J115" s="356"/>
      <c r="K115" s="423">
        <v>43771.31</v>
      </c>
      <c r="L115" s="356"/>
      <c r="M115" s="423">
        <v>316.76</v>
      </c>
      <c r="N115" s="356"/>
      <c r="O115" s="423">
        <v>0</v>
      </c>
      <c r="P115" s="356"/>
      <c r="Q115" s="423">
        <v>0</v>
      </c>
      <c r="R115" s="356"/>
      <c r="S115" s="423">
        <v>0</v>
      </c>
      <c r="T115" s="356"/>
      <c r="U115" s="423">
        <v>0</v>
      </c>
      <c r="V115" s="356"/>
      <c r="W115" s="423">
        <v>44088.07</v>
      </c>
      <c r="X115" s="356"/>
      <c r="Y115" s="420">
        <v>0.2</v>
      </c>
      <c r="Z115" s="356"/>
      <c r="AA115" s="423">
        <v>44088.07</v>
      </c>
      <c r="AB115" s="423">
        <v>37063.61</v>
      </c>
      <c r="AC115" s="423">
        <v>734.8</v>
      </c>
      <c r="AD115" s="423">
        <v>37798.410000000003</v>
      </c>
    </row>
    <row r="116" spans="1:30" ht="15" customHeight="1">
      <c r="A116" s="369"/>
      <c r="B116" s="356"/>
      <c r="C116" s="356" t="s">
        <v>722</v>
      </c>
      <c r="D116" s="356" t="s">
        <v>721</v>
      </c>
      <c r="E116" s="423">
        <v>0</v>
      </c>
      <c r="F116" s="356"/>
      <c r="G116" s="423">
        <v>0</v>
      </c>
      <c r="H116" s="356"/>
      <c r="I116" s="423">
        <v>0</v>
      </c>
      <c r="J116" s="356"/>
      <c r="K116" s="423">
        <v>181449.22</v>
      </c>
      <c r="L116" s="356"/>
      <c r="M116" s="423">
        <v>40048.199999999997</v>
      </c>
      <c r="N116" s="356"/>
      <c r="O116" s="423">
        <v>11856.45</v>
      </c>
      <c r="P116" s="356"/>
      <c r="Q116" s="423">
        <v>17.920000000000002</v>
      </c>
      <c r="R116" s="356"/>
      <c r="S116" s="423">
        <v>0.15</v>
      </c>
      <c r="T116" s="356"/>
      <c r="U116" s="423">
        <v>0</v>
      </c>
      <c r="V116" s="356"/>
      <c r="W116" s="423">
        <v>233371.94</v>
      </c>
      <c r="X116" s="356"/>
      <c r="Y116" s="420">
        <v>0.2</v>
      </c>
      <c r="Z116" s="356"/>
      <c r="AA116" s="423">
        <v>233371.94</v>
      </c>
      <c r="AB116" s="423">
        <v>222325.8</v>
      </c>
      <c r="AC116" s="423">
        <v>3889.53</v>
      </c>
      <c r="AD116" s="423">
        <v>226215.33</v>
      </c>
    </row>
    <row r="117" spans="1:30" ht="15" customHeight="1">
      <c r="A117" s="369"/>
      <c r="B117" s="356"/>
      <c r="C117" s="356" t="s">
        <v>720</v>
      </c>
      <c r="D117" s="356" t="s">
        <v>719</v>
      </c>
      <c r="E117" s="423">
        <v>0</v>
      </c>
      <c r="F117" s="356"/>
      <c r="G117" s="423">
        <v>0</v>
      </c>
      <c r="H117" s="356"/>
      <c r="I117" s="423">
        <v>0</v>
      </c>
      <c r="J117" s="356"/>
      <c r="K117" s="423">
        <v>83550.25</v>
      </c>
      <c r="L117" s="356"/>
      <c r="M117" s="423">
        <v>56137.75</v>
      </c>
      <c r="N117" s="356"/>
      <c r="O117" s="423">
        <v>1009.25</v>
      </c>
      <c r="P117" s="356"/>
      <c r="Q117" s="423">
        <v>0</v>
      </c>
      <c r="R117" s="356"/>
      <c r="S117" s="423">
        <v>0</v>
      </c>
      <c r="T117" s="356"/>
      <c r="U117" s="423">
        <v>0</v>
      </c>
      <c r="V117" s="356"/>
      <c r="W117" s="423">
        <v>140697.25</v>
      </c>
      <c r="X117" s="356"/>
      <c r="Y117" s="420">
        <v>0.2</v>
      </c>
      <c r="Z117" s="356"/>
      <c r="AA117" s="423">
        <v>140697.25</v>
      </c>
      <c r="AB117" s="423">
        <v>115412.83</v>
      </c>
      <c r="AC117" s="423">
        <v>2344.9499999999998</v>
      </c>
      <c r="AD117" s="423">
        <v>117757.78</v>
      </c>
    </row>
    <row r="118" spans="1:30" ht="15" customHeight="1">
      <c r="A118" s="369"/>
      <c r="B118" s="356"/>
      <c r="C118" s="356" t="s">
        <v>718</v>
      </c>
      <c r="D118" s="356" t="s">
        <v>717</v>
      </c>
      <c r="E118" s="423">
        <v>0</v>
      </c>
      <c r="F118" s="356"/>
      <c r="G118" s="423">
        <v>0</v>
      </c>
      <c r="H118" s="356"/>
      <c r="I118" s="423">
        <v>0</v>
      </c>
      <c r="J118" s="356"/>
      <c r="K118" s="423">
        <v>157296.85</v>
      </c>
      <c r="L118" s="356"/>
      <c r="M118" s="423">
        <v>41923.4</v>
      </c>
      <c r="N118" s="356"/>
      <c r="O118" s="423">
        <v>1652.83</v>
      </c>
      <c r="P118" s="356"/>
      <c r="Q118" s="423">
        <v>3.1</v>
      </c>
      <c r="R118" s="356"/>
      <c r="S118" s="423">
        <v>-0.91</v>
      </c>
      <c r="T118" s="356"/>
      <c r="U118" s="423">
        <v>0</v>
      </c>
      <c r="V118" s="356"/>
      <c r="W118" s="423">
        <v>200875.27</v>
      </c>
      <c r="X118" s="356"/>
      <c r="Y118" s="420">
        <v>0.2</v>
      </c>
      <c r="Z118" s="356"/>
      <c r="AA118" s="423">
        <v>200875.27</v>
      </c>
      <c r="AB118" s="423">
        <v>175217.53</v>
      </c>
      <c r="AC118" s="423">
        <v>3347.92</v>
      </c>
      <c r="AD118" s="423">
        <v>178565.45</v>
      </c>
    </row>
    <row r="119" spans="1:30" ht="15" customHeight="1">
      <c r="A119" s="369"/>
      <c r="B119" s="356"/>
      <c r="C119" s="356" t="s">
        <v>714</v>
      </c>
      <c r="D119" s="356" t="s">
        <v>716</v>
      </c>
      <c r="E119" s="423">
        <v>0</v>
      </c>
      <c r="F119" s="356"/>
      <c r="G119" s="423">
        <v>0</v>
      </c>
      <c r="H119" s="356"/>
      <c r="I119" s="423">
        <v>0</v>
      </c>
      <c r="J119" s="356"/>
      <c r="K119" s="423">
        <v>0</v>
      </c>
      <c r="L119" s="356"/>
      <c r="M119" s="423">
        <v>10559.54</v>
      </c>
      <c r="N119" s="356"/>
      <c r="O119" s="423">
        <v>13540.89</v>
      </c>
      <c r="P119" s="356"/>
      <c r="Q119" s="423">
        <v>507.51</v>
      </c>
      <c r="R119" s="356"/>
      <c r="S119" s="423">
        <v>-0.01</v>
      </c>
      <c r="T119" s="356"/>
      <c r="U119" s="423">
        <v>0</v>
      </c>
      <c r="V119" s="356"/>
      <c r="W119" s="423">
        <v>24607.93</v>
      </c>
      <c r="X119" s="356"/>
      <c r="Y119" s="420">
        <v>0.2</v>
      </c>
      <c r="Z119" s="356"/>
      <c r="AA119" s="423">
        <v>24607.93</v>
      </c>
      <c r="AB119" s="423">
        <v>15634.71</v>
      </c>
      <c r="AC119" s="423">
        <v>410.13</v>
      </c>
      <c r="AD119" s="423">
        <v>16044.84</v>
      </c>
    </row>
    <row r="120" spans="1:30" ht="15" customHeight="1">
      <c r="A120" s="369"/>
      <c r="B120" s="356"/>
      <c r="C120" s="356" t="s">
        <v>714</v>
      </c>
      <c r="D120" s="356" t="s">
        <v>715</v>
      </c>
      <c r="E120" s="423">
        <v>0</v>
      </c>
      <c r="F120" s="356"/>
      <c r="G120" s="423">
        <v>0</v>
      </c>
      <c r="H120" s="356"/>
      <c r="I120" s="423">
        <v>0</v>
      </c>
      <c r="J120" s="356"/>
      <c r="K120" s="423">
        <v>0</v>
      </c>
      <c r="L120" s="356"/>
      <c r="M120" s="423">
        <v>17238.509999999998</v>
      </c>
      <c r="N120" s="356"/>
      <c r="O120" s="423">
        <v>13908.05</v>
      </c>
      <c r="P120" s="356"/>
      <c r="Q120" s="423">
        <v>400.26</v>
      </c>
      <c r="R120" s="356"/>
      <c r="S120" s="423">
        <v>1.31</v>
      </c>
      <c r="T120" s="356"/>
      <c r="U120" s="423">
        <v>0</v>
      </c>
      <c r="V120" s="356"/>
      <c r="W120" s="423">
        <v>31548.13</v>
      </c>
      <c r="X120" s="356"/>
      <c r="Y120" s="420">
        <v>0.2</v>
      </c>
      <c r="Z120" s="356"/>
      <c r="AA120" s="423">
        <v>31548.13</v>
      </c>
      <c r="AB120" s="423">
        <v>21018.05</v>
      </c>
      <c r="AC120" s="423">
        <v>525.79999999999995</v>
      </c>
      <c r="AD120" s="423">
        <v>21543.85</v>
      </c>
    </row>
    <row r="121" spans="1:30" ht="15" customHeight="1">
      <c r="A121" s="369"/>
      <c r="B121" s="356"/>
      <c r="C121" s="356" t="s">
        <v>714</v>
      </c>
      <c r="D121" s="356" t="s">
        <v>713</v>
      </c>
      <c r="E121" s="423">
        <v>0</v>
      </c>
      <c r="F121" s="356"/>
      <c r="G121" s="423">
        <v>0</v>
      </c>
      <c r="H121" s="356"/>
      <c r="I121" s="423">
        <v>0</v>
      </c>
      <c r="J121" s="356"/>
      <c r="K121" s="423">
        <v>0</v>
      </c>
      <c r="L121" s="356"/>
      <c r="M121" s="423">
        <v>10406.61</v>
      </c>
      <c r="N121" s="356"/>
      <c r="O121" s="423">
        <v>7665.22</v>
      </c>
      <c r="P121" s="356"/>
      <c r="Q121" s="423">
        <v>161.63999999999999</v>
      </c>
      <c r="R121" s="356"/>
      <c r="S121" s="423">
        <v>0</v>
      </c>
      <c r="T121" s="356"/>
      <c r="U121" s="423">
        <v>0</v>
      </c>
      <c r="V121" s="356"/>
      <c r="W121" s="423">
        <v>18233.47</v>
      </c>
      <c r="X121" s="356"/>
      <c r="Y121" s="420">
        <v>0.2</v>
      </c>
      <c r="Z121" s="356"/>
      <c r="AA121" s="423">
        <v>18233.47</v>
      </c>
      <c r="AB121" s="423">
        <v>12059.74</v>
      </c>
      <c r="AC121" s="423">
        <v>303.89</v>
      </c>
      <c r="AD121" s="423">
        <v>12363.63</v>
      </c>
    </row>
    <row r="122" spans="1:30" ht="15" customHeight="1">
      <c r="A122" s="369"/>
      <c r="B122" s="356"/>
      <c r="C122" s="356" t="s">
        <v>712</v>
      </c>
      <c r="D122" s="356" t="s">
        <v>711</v>
      </c>
      <c r="E122" s="423">
        <v>0</v>
      </c>
      <c r="F122" s="356"/>
      <c r="G122" s="423">
        <v>0</v>
      </c>
      <c r="H122" s="356"/>
      <c r="I122" s="423">
        <v>0</v>
      </c>
      <c r="J122" s="356"/>
      <c r="K122" s="423">
        <v>0</v>
      </c>
      <c r="L122" s="356"/>
      <c r="M122" s="423">
        <v>148765.91</v>
      </c>
      <c r="N122" s="356"/>
      <c r="O122" s="423">
        <v>16184.53</v>
      </c>
      <c r="P122" s="356"/>
      <c r="Q122" s="423">
        <v>801.74</v>
      </c>
      <c r="R122" s="356"/>
      <c r="S122" s="423">
        <v>0.31</v>
      </c>
      <c r="T122" s="356"/>
      <c r="U122" s="423">
        <v>0</v>
      </c>
      <c r="V122" s="356"/>
      <c r="W122" s="423">
        <v>165752.49</v>
      </c>
      <c r="X122" s="356"/>
      <c r="Y122" s="420">
        <v>0.2</v>
      </c>
      <c r="Z122" s="356"/>
      <c r="AA122" s="423">
        <v>165752.49</v>
      </c>
      <c r="AB122" s="423">
        <v>115083.16</v>
      </c>
      <c r="AC122" s="423">
        <v>2762.54</v>
      </c>
      <c r="AD122" s="423">
        <v>117845.7</v>
      </c>
    </row>
    <row r="123" spans="1:30" ht="15" customHeight="1">
      <c r="A123" s="369"/>
      <c r="B123" s="356"/>
      <c r="C123" s="356" t="s">
        <v>710</v>
      </c>
      <c r="D123" s="356" t="s">
        <v>709</v>
      </c>
      <c r="E123" s="423">
        <v>0</v>
      </c>
      <c r="F123" s="356"/>
      <c r="G123" s="423">
        <v>0</v>
      </c>
      <c r="H123" s="356"/>
      <c r="I123" s="423">
        <v>0</v>
      </c>
      <c r="J123" s="356"/>
      <c r="K123" s="423">
        <v>28913.38</v>
      </c>
      <c r="L123" s="356"/>
      <c r="M123" s="423">
        <v>5601.86</v>
      </c>
      <c r="N123" s="356"/>
      <c r="O123" s="423">
        <v>0</v>
      </c>
      <c r="P123" s="356"/>
      <c r="Q123" s="423">
        <v>0</v>
      </c>
      <c r="R123" s="356"/>
      <c r="S123" s="423">
        <v>0</v>
      </c>
      <c r="T123" s="356"/>
      <c r="U123" s="423">
        <v>0</v>
      </c>
      <c r="V123" s="356"/>
      <c r="W123" s="423">
        <v>34515.24</v>
      </c>
      <c r="X123" s="356"/>
      <c r="Y123" s="420">
        <v>0.2</v>
      </c>
      <c r="Z123" s="356"/>
      <c r="AA123" s="423">
        <v>34515.24</v>
      </c>
      <c r="AB123" s="423">
        <v>32033.61</v>
      </c>
      <c r="AC123" s="423">
        <v>575.25</v>
      </c>
      <c r="AD123" s="423">
        <v>32608.86</v>
      </c>
    </row>
    <row r="124" spans="1:30" ht="15" customHeight="1">
      <c r="A124" s="369"/>
      <c r="B124" s="356"/>
      <c r="C124" s="356" t="s">
        <v>708</v>
      </c>
      <c r="D124" s="356" t="s">
        <v>707</v>
      </c>
      <c r="E124" s="423">
        <v>0</v>
      </c>
      <c r="F124" s="423">
        <v>0</v>
      </c>
      <c r="G124" s="423">
        <v>0</v>
      </c>
      <c r="H124" s="356"/>
      <c r="I124" s="423">
        <v>0</v>
      </c>
      <c r="J124" s="356"/>
      <c r="K124" s="423">
        <v>0</v>
      </c>
      <c r="L124" s="356"/>
      <c r="M124" s="423">
        <v>0</v>
      </c>
      <c r="N124" s="356"/>
      <c r="O124" s="423">
        <v>3528.57</v>
      </c>
      <c r="P124" s="356"/>
      <c r="Q124" s="423">
        <v>1573.83</v>
      </c>
      <c r="R124" s="356"/>
      <c r="S124" s="423">
        <v>-0.05</v>
      </c>
      <c r="T124" s="356"/>
      <c r="U124" s="423">
        <v>0</v>
      </c>
      <c r="V124" s="356"/>
      <c r="W124" s="423">
        <v>5102.3500000000004</v>
      </c>
      <c r="X124" s="356"/>
      <c r="Y124" s="420">
        <v>0.2</v>
      </c>
      <c r="Z124" s="356"/>
      <c r="AA124" s="423">
        <v>5102.3500000000004</v>
      </c>
      <c r="AB124" s="423">
        <v>2443.88</v>
      </c>
      <c r="AC124" s="423">
        <v>85.04</v>
      </c>
      <c r="AD124" s="423">
        <v>2528.92</v>
      </c>
    </row>
    <row r="125" spans="1:30" ht="15" customHeight="1">
      <c r="A125" s="369"/>
      <c r="B125" s="356"/>
      <c r="C125" s="356" t="s">
        <v>702</v>
      </c>
      <c r="D125" s="356" t="s">
        <v>701</v>
      </c>
      <c r="E125" s="423">
        <v>0</v>
      </c>
      <c r="F125" s="423">
        <v>0</v>
      </c>
      <c r="G125" s="423">
        <v>0</v>
      </c>
      <c r="H125" s="356"/>
      <c r="I125" s="423">
        <v>0</v>
      </c>
      <c r="J125" s="356"/>
      <c r="K125" s="423">
        <v>0</v>
      </c>
      <c r="L125" s="356"/>
      <c r="M125" s="423">
        <v>0</v>
      </c>
      <c r="N125" s="356"/>
      <c r="O125" s="423">
        <v>0</v>
      </c>
      <c r="P125" s="356"/>
      <c r="Q125" s="423">
        <v>562.28</v>
      </c>
      <c r="R125" s="356"/>
      <c r="S125" s="423">
        <v>220.09</v>
      </c>
      <c r="T125" s="356"/>
      <c r="U125" s="423">
        <v>0</v>
      </c>
      <c r="V125" s="356"/>
      <c r="W125" s="423">
        <v>782.37</v>
      </c>
      <c r="X125" s="356"/>
      <c r="Y125" s="420">
        <v>0.2</v>
      </c>
      <c r="Z125" s="356"/>
      <c r="AA125" s="423">
        <v>782.37</v>
      </c>
      <c r="AB125" s="423">
        <v>204.08</v>
      </c>
      <c r="AC125" s="423">
        <v>13.04</v>
      </c>
      <c r="AD125" s="423">
        <v>217.12</v>
      </c>
    </row>
    <row r="126" spans="1:30" ht="15" customHeight="1">
      <c r="A126" s="369"/>
      <c r="B126" s="356"/>
      <c r="C126" s="356" t="s">
        <v>704</v>
      </c>
      <c r="D126" s="356" t="s">
        <v>703</v>
      </c>
      <c r="E126" s="356"/>
      <c r="F126" s="356"/>
      <c r="G126" s="356"/>
      <c r="H126" s="356"/>
      <c r="I126" s="356"/>
      <c r="J126" s="356"/>
      <c r="K126" s="356"/>
      <c r="L126" s="356"/>
      <c r="M126" s="356"/>
      <c r="N126" s="356"/>
      <c r="O126" s="356"/>
      <c r="P126" s="356"/>
      <c r="Q126" s="356"/>
      <c r="R126" s="356"/>
      <c r="S126" s="423">
        <v>4861.32</v>
      </c>
      <c r="T126" s="356"/>
      <c r="U126" s="423">
        <v>147.36000000000001</v>
      </c>
      <c r="V126" s="356"/>
      <c r="W126" s="423">
        <v>5008.68</v>
      </c>
      <c r="X126" s="356"/>
      <c r="Y126" s="420">
        <v>0.2</v>
      </c>
      <c r="Z126" s="356"/>
      <c r="AA126" s="423">
        <v>5008.68</v>
      </c>
      <c r="AB126" s="423">
        <v>325.64</v>
      </c>
      <c r="AC126" s="423">
        <v>83.48</v>
      </c>
      <c r="AD126" s="423">
        <v>409.12</v>
      </c>
    </row>
    <row r="127" spans="1:30" ht="15" customHeight="1">
      <c r="A127" s="369"/>
      <c r="B127" s="356"/>
      <c r="C127" s="356" t="s">
        <v>706</v>
      </c>
      <c r="D127" s="356" t="s">
        <v>705</v>
      </c>
      <c r="E127" s="423">
        <v>0</v>
      </c>
      <c r="F127" s="356"/>
      <c r="G127" s="423">
        <v>0</v>
      </c>
      <c r="H127" s="356"/>
      <c r="I127" s="423">
        <v>0</v>
      </c>
      <c r="J127" s="356"/>
      <c r="K127" s="356"/>
      <c r="L127" s="356"/>
      <c r="M127" s="423">
        <v>103399.98</v>
      </c>
      <c r="N127" s="356"/>
      <c r="O127" s="423">
        <v>10880.91</v>
      </c>
      <c r="P127" s="356"/>
      <c r="Q127" s="423">
        <v>4361.5200000000004</v>
      </c>
      <c r="R127" s="356"/>
      <c r="S127" s="423">
        <v>22.05</v>
      </c>
      <c r="T127" s="356"/>
      <c r="U127" s="423">
        <v>0</v>
      </c>
      <c r="V127" s="356"/>
      <c r="W127" s="423">
        <v>118664.46</v>
      </c>
      <c r="X127" s="356"/>
      <c r="Y127" s="420">
        <v>0.2</v>
      </c>
      <c r="Z127" s="356"/>
      <c r="AA127" s="423">
        <v>118664.46</v>
      </c>
      <c r="AB127" s="423">
        <v>73905.09</v>
      </c>
      <c r="AC127" s="423">
        <v>1977.74</v>
      </c>
      <c r="AD127" s="423">
        <v>75882.83</v>
      </c>
    </row>
    <row r="128" spans="1:30" ht="15" customHeight="1">
      <c r="A128" s="369" t="s">
        <v>788</v>
      </c>
      <c r="B128" s="356"/>
      <c r="C128" s="356" t="s">
        <v>786</v>
      </c>
      <c r="D128" s="356" t="s">
        <v>787</v>
      </c>
      <c r="E128" s="423">
        <v>0</v>
      </c>
      <c r="F128" s="356"/>
      <c r="G128" s="423">
        <v>0</v>
      </c>
      <c r="H128" s="356"/>
      <c r="I128" s="423">
        <v>0</v>
      </c>
      <c r="J128" s="356"/>
      <c r="K128" s="423">
        <v>0</v>
      </c>
      <c r="L128" s="356"/>
      <c r="M128" s="423">
        <v>0</v>
      </c>
      <c r="N128" s="356"/>
      <c r="O128" s="423">
        <v>0</v>
      </c>
      <c r="P128" s="356"/>
      <c r="Q128" s="423">
        <v>0</v>
      </c>
      <c r="R128" s="356"/>
      <c r="S128" s="423">
        <v>0</v>
      </c>
      <c r="T128" s="356"/>
      <c r="U128" s="423">
        <v>0</v>
      </c>
      <c r="V128" s="356"/>
      <c r="W128" s="423">
        <v>0</v>
      </c>
      <c r="X128" s="356"/>
      <c r="Y128" s="420">
        <v>0.2</v>
      </c>
      <c r="Z128" s="356"/>
      <c r="AA128" s="423">
        <v>0</v>
      </c>
      <c r="AB128" s="423">
        <v>0</v>
      </c>
      <c r="AC128" s="423">
        <v>0</v>
      </c>
      <c r="AD128" s="423">
        <v>0</v>
      </c>
    </row>
    <row r="129" spans="1:30" ht="15" customHeight="1">
      <c r="A129" s="369"/>
      <c r="B129" s="356"/>
      <c r="C129" s="356" t="s">
        <v>786</v>
      </c>
      <c r="D129" s="356" t="s">
        <v>785</v>
      </c>
      <c r="E129" s="423">
        <v>0</v>
      </c>
      <c r="F129" s="356"/>
      <c r="G129" s="423">
        <v>0</v>
      </c>
      <c r="H129" s="356"/>
      <c r="I129" s="423">
        <v>0</v>
      </c>
      <c r="J129" s="356"/>
      <c r="K129" s="423">
        <v>0</v>
      </c>
      <c r="L129" s="356"/>
      <c r="M129" s="423">
        <v>0</v>
      </c>
      <c r="N129" s="356"/>
      <c r="O129" s="423">
        <v>0</v>
      </c>
      <c r="P129" s="356"/>
      <c r="Q129" s="423">
        <v>0</v>
      </c>
      <c r="R129" s="356"/>
      <c r="S129" s="423">
        <v>0</v>
      </c>
      <c r="T129" s="356"/>
      <c r="U129" s="423">
        <v>0</v>
      </c>
      <c r="V129" s="356"/>
      <c r="W129" s="423">
        <v>0</v>
      </c>
      <c r="X129" s="356"/>
      <c r="Y129" s="420">
        <v>0.2</v>
      </c>
      <c r="Z129" s="356"/>
      <c r="AA129" s="423">
        <v>0</v>
      </c>
      <c r="AB129" s="423">
        <v>0</v>
      </c>
      <c r="AC129" s="423">
        <v>0</v>
      </c>
      <c r="AD129" s="423">
        <v>0</v>
      </c>
    </row>
    <row r="130" spans="1:30" ht="15" customHeight="1">
      <c r="A130" s="369"/>
      <c r="B130" s="356"/>
      <c r="C130" s="356" t="s">
        <v>784</v>
      </c>
      <c r="D130" s="356" t="s">
        <v>783</v>
      </c>
      <c r="E130" s="423">
        <v>0</v>
      </c>
      <c r="F130" s="356"/>
      <c r="G130" s="423">
        <v>0</v>
      </c>
      <c r="H130" s="356"/>
      <c r="I130" s="423">
        <v>0</v>
      </c>
      <c r="J130" s="356"/>
      <c r="K130" s="423">
        <v>0</v>
      </c>
      <c r="L130" s="356"/>
      <c r="M130" s="423">
        <v>0</v>
      </c>
      <c r="N130" s="356"/>
      <c r="O130" s="423">
        <v>0</v>
      </c>
      <c r="P130" s="356"/>
      <c r="Q130" s="423">
        <v>0</v>
      </c>
      <c r="R130" s="356"/>
      <c r="S130" s="423">
        <v>0</v>
      </c>
      <c r="T130" s="356"/>
      <c r="U130" s="423">
        <v>0</v>
      </c>
      <c r="V130" s="356"/>
      <c r="W130" s="423">
        <v>0</v>
      </c>
      <c r="X130" s="356"/>
      <c r="Y130" s="420">
        <v>0.2</v>
      </c>
      <c r="Z130" s="356"/>
      <c r="AA130" s="423">
        <v>0</v>
      </c>
      <c r="AB130" s="423">
        <v>0</v>
      </c>
      <c r="AC130" s="423">
        <v>0</v>
      </c>
      <c r="AD130" s="423">
        <v>0</v>
      </c>
    </row>
    <row r="131" spans="1:30" ht="15" customHeight="1">
      <c r="A131" s="369"/>
      <c r="B131" s="356"/>
      <c r="C131" s="356" t="s">
        <v>774</v>
      </c>
      <c r="D131" s="356" t="s">
        <v>782</v>
      </c>
      <c r="E131" s="423">
        <v>282.93</v>
      </c>
      <c r="F131" s="356"/>
      <c r="G131" s="423">
        <v>0</v>
      </c>
      <c r="H131" s="356"/>
      <c r="I131" s="423">
        <v>0</v>
      </c>
      <c r="J131" s="356"/>
      <c r="K131" s="423">
        <v>0</v>
      </c>
      <c r="L131" s="356"/>
      <c r="M131" s="423">
        <v>0</v>
      </c>
      <c r="N131" s="356"/>
      <c r="O131" s="423">
        <v>0</v>
      </c>
      <c r="P131" s="356"/>
      <c r="Q131" s="423">
        <v>0</v>
      </c>
      <c r="R131" s="356"/>
      <c r="S131" s="423">
        <v>0</v>
      </c>
      <c r="T131" s="356"/>
      <c r="U131" s="423">
        <v>0</v>
      </c>
      <c r="V131" s="356"/>
      <c r="W131" s="423">
        <v>282.93</v>
      </c>
      <c r="X131" s="356"/>
      <c r="Y131" s="420">
        <v>0.2</v>
      </c>
      <c r="Z131" s="356"/>
      <c r="AA131" s="423">
        <v>282.93</v>
      </c>
      <c r="AB131" s="423">
        <v>415.36</v>
      </c>
      <c r="AC131" s="423">
        <v>4.72</v>
      </c>
      <c r="AD131" s="423">
        <v>420.08</v>
      </c>
    </row>
    <row r="132" spans="1:30" ht="15" customHeight="1">
      <c r="A132" s="369"/>
      <c r="B132" s="356"/>
      <c r="C132" s="356" t="s">
        <v>774</v>
      </c>
      <c r="D132" s="356" t="s">
        <v>781</v>
      </c>
      <c r="E132" s="423">
        <v>380.61</v>
      </c>
      <c r="F132" s="356"/>
      <c r="G132" s="423">
        <v>0</v>
      </c>
      <c r="H132" s="356"/>
      <c r="I132" s="423">
        <v>0</v>
      </c>
      <c r="J132" s="356"/>
      <c r="K132" s="423">
        <v>0</v>
      </c>
      <c r="L132" s="356"/>
      <c r="M132" s="423">
        <v>0</v>
      </c>
      <c r="N132" s="356"/>
      <c r="O132" s="423">
        <v>0</v>
      </c>
      <c r="P132" s="356"/>
      <c r="Q132" s="423">
        <v>0</v>
      </c>
      <c r="R132" s="356"/>
      <c r="S132" s="423">
        <v>0</v>
      </c>
      <c r="T132" s="356"/>
      <c r="U132" s="423">
        <v>0</v>
      </c>
      <c r="V132" s="356"/>
      <c r="W132" s="423">
        <v>380.61</v>
      </c>
      <c r="X132" s="356"/>
      <c r="Y132" s="420">
        <v>0.2</v>
      </c>
      <c r="Z132" s="356"/>
      <c r="AA132" s="423">
        <v>380.61</v>
      </c>
      <c r="AB132" s="423">
        <v>557.91999999999996</v>
      </c>
      <c r="AC132" s="423">
        <v>6.34</v>
      </c>
      <c r="AD132" s="423">
        <v>564.26</v>
      </c>
    </row>
    <row r="133" spans="1:30" ht="15" customHeight="1">
      <c r="A133" s="369"/>
      <c r="B133" s="356"/>
      <c r="C133" s="356" t="s">
        <v>774</v>
      </c>
      <c r="D133" s="356" t="s">
        <v>780</v>
      </c>
      <c r="E133" s="423">
        <v>0</v>
      </c>
      <c r="F133" s="356"/>
      <c r="G133" s="423">
        <v>0</v>
      </c>
      <c r="H133" s="356"/>
      <c r="I133" s="423">
        <v>0</v>
      </c>
      <c r="J133" s="356"/>
      <c r="K133" s="423">
        <v>0</v>
      </c>
      <c r="L133" s="356"/>
      <c r="M133" s="423">
        <v>0</v>
      </c>
      <c r="N133" s="356"/>
      <c r="O133" s="423">
        <v>0</v>
      </c>
      <c r="P133" s="356"/>
      <c r="Q133" s="423">
        <v>0</v>
      </c>
      <c r="R133" s="356"/>
      <c r="S133" s="423">
        <v>0</v>
      </c>
      <c r="T133" s="356"/>
      <c r="U133" s="423">
        <v>0</v>
      </c>
      <c r="V133" s="356"/>
      <c r="W133" s="423">
        <v>0</v>
      </c>
      <c r="X133" s="356"/>
      <c r="Y133" s="420">
        <v>0.2</v>
      </c>
      <c r="Z133" s="356"/>
      <c r="AA133" s="423">
        <v>0</v>
      </c>
      <c r="AB133" s="423">
        <v>0</v>
      </c>
      <c r="AC133" s="423">
        <v>0</v>
      </c>
      <c r="AD133" s="423">
        <v>0</v>
      </c>
    </row>
    <row r="134" spans="1:30" ht="15" customHeight="1">
      <c r="A134" s="369"/>
      <c r="B134" s="356"/>
      <c r="C134" s="356" t="s">
        <v>774</v>
      </c>
      <c r="D134" s="356" t="s">
        <v>779</v>
      </c>
      <c r="E134" s="423">
        <v>0.09</v>
      </c>
      <c r="F134" s="356"/>
      <c r="G134" s="423">
        <v>0</v>
      </c>
      <c r="H134" s="356"/>
      <c r="I134" s="423">
        <v>0</v>
      </c>
      <c r="J134" s="356"/>
      <c r="K134" s="423">
        <v>0</v>
      </c>
      <c r="L134" s="356"/>
      <c r="M134" s="423">
        <v>0</v>
      </c>
      <c r="N134" s="356"/>
      <c r="O134" s="423">
        <v>0</v>
      </c>
      <c r="P134" s="356"/>
      <c r="Q134" s="423">
        <v>0</v>
      </c>
      <c r="R134" s="356"/>
      <c r="S134" s="423">
        <v>0</v>
      </c>
      <c r="T134" s="356"/>
      <c r="U134" s="423">
        <v>0</v>
      </c>
      <c r="V134" s="356"/>
      <c r="W134" s="423">
        <v>0.09</v>
      </c>
      <c r="X134" s="356"/>
      <c r="Y134" s="420">
        <v>0.2</v>
      </c>
      <c r="Z134" s="356"/>
      <c r="AA134" s="423">
        <v>0.09</v>
      </c>
      <c r="AB134" s="423">
        <v>0</v>
      </c>
      <c r="AC134" s="423">
        <v>0</v>
      </c>
      <c r="AD134" s="423">
        <v>0</v>
      </c>
    </row>
    <row r="135" spans="1:30" ht="15" customHeight="1">
      <c r="A135" s="369"/>
      <c r="B135" s="356"/>
      <c r="C135" s="356" t="s">
        <v>774</v>
      </c>
      <c r="D135" s="356" t="s">
        <v>778</v>
      </c>
      <c r="E135" s="423">
        <v>531.57000000000005</v>
      </c>
      <c r="F135" s="356"/>
      <c r="G135" s="423">
        <v>0</v>
      </c>
      <c r="H135" s="356"/>
      <c r="I135" s="423">
        <v>0</v>
      </c>
      <c r="J135" s="356"/>
      <c r="K135" s="423">
        <v>0</v>
      </c>
      <c r="L135" s="356"/>
      <c r="M135" s="423">
        <v>0</v>
      </c>
      <c r="N135" s="356"/>
      <c r="O135" s="423">
        <v>0</v>
      </c>
      <c r="P135" s="356"/>
      <c r="Q135" s="423">
        <v>0</v>
      </c>
      <c r="R135" s="356"/>
      <c r="S135" s="423">
        <v>0</v>
      </c>
      <c r="T135" s="356"/>
      <c r="U135" s="423">
        <v>0</v>
      </c>
      <c r="V135" s="356"/>
      <c r="W135" s="423">
        <v>531.57000000000005</v>
      </c>
      <c r="X135" s="356"/>
      <c r="Y135" s="420">
        <v>0.2</v>
      </c>
      <c r="Z135" s="356"/>
      <c r="AA135" s="423">
        <v>531.57000000000005</v>
      </c>
      <c r="AB135" s="423">
        <v>779.68</v>
      </c>
      <c r="AC135" s="423">
        <v>8.86</v>
      </c>
      <c r="AD135" s="423">
        <v>788.54</v>
      </c>
    </row>
    <row r="136" spans="1:30" ht="15" customHeight="1">
      <c r="A136" s="369"/>
      <c r="B136" s="356"/>
      <c r="C136" s="356" t="s">
        <v>774</v>
      </c>
      <c r="D136" s="356" t="s">
        <v>777</v>
      </c>
      <c r="E136" s="423">
        <v>74.02</v>
      </c>
      <c r="F136" s="356"/>
      <c r="G136" s="423">
        <v>0</v>
      </c>
      <c r="H136" s="356"/>
      <c r="I136" s="423">
        <v>0</v>
      </c>
      <c r="J136" s="356"/>
      <c r="K136" s="423">
        <v>0</v>
      </c>
      <c r="L136" s="356"/>
      <c r="M136" s="423">
        <v>0</v>
      </c>
      <c r="N136" s="356"/>
      <c r="O136" s="423">
        <v>0</v>
      </c>
      <c r="P136" s="356"/>
      <c r="Q136" s="423">
        <v>0</v>
      </c>
      <c r="R136" s="356"/>
      <c r="S136" s="423">
        <v>0</v>
      </c>
      <c r="T136" s="356"/>
      <c r="U136" s="423">
        <v>0</v>
      </c>
      <c r="V136" s="356"/>
      <c r="W136" s="423">
        <v>74.02</v>
      </c>
      <c r="X136" s="356"/>
      <c r="Y136" s="420">
        <v>0.2</v>
      </c>
      <c r="Z136" s="356"/>
      <c r="AA136" s="423">
        <v>74.02</v>
      </c>
      <c r="AB136" s="423">
        <v>108.24</v>
      </c>
      <c r="AC136" s="423">
        <v>1.23</v>
      </c>
      <c r="AD136" s="423">
        <v>109.47</v>
      </c>
    </row>
    <row r="137" spans="1:30" ht="15" customHeight="1">
      <c r="A137" s="369"/>
      <c r="B137" s="356"/>
      <c r="C137" s="356" t="s">
        <v>774</v>
      </c>
      <c r="D137" s="356" t="s">
        <v>776</v>
      </c>
      <c r="E137" s="423">
        <v>48.36</v>
      </c>
      <c r="F137" s="356"/>
      <c r="G137" s="423">
        <v>0</v>
      </c>
      <c r="H137" s="356"/>
      <c r="I137" s="423">
        <v>0</v>
      </c>
      <c r="J137" s="356"/>
      <c r="K137" s="423">
        <v>0</v>
      </c>
      <c r="L137" s="356"/>
      <c r="M137" s="423">
        <v>0</v>
      </c>
      <c r="N137" s="356"/>
      <c r="O137" s="423">
        <v>0</v>
      </c>
      <c r="P137" s="356"/>
      <c r="Q137" s="423">
        <v>0</v>
      </c>
      <c r="R137" s="356"/>
      <c r="S137" s="423">
        <v>0</v>
      </c>
      <c r="T137" s="356"/>
      <c r="U137" s="423">
        <v>0</v>
      </c>
      <c r="V137" s="356"/>
      <c r="W137" s="423">
        <v>48.36</v>
      </c>
      <c r="X137" s="356"/>
      <c r="Y137" s="420">
        <v>0.2</v>
      </c>
      <c r="Z137" s="356"/>
      <c r="AA137" s="423">
        <v>48.36</v>
      </c>
      <c r="AB137" s="423">
        <v>71.28</v>
      </c>
      <c r="AC137" s="423">
        <v>0.81</v>
      </c>
      <c r="AD137" s="423">
        <v>72.09</v>
      </c>
    </row>
    <row r="138" spans="1:30" ht="15" customHeight="1">
      <c r="A138" s="369"/>
      <c r="B138" s="356"/>
      <c r="C138" s="356" t="s">
        <v>774</v>
      </c>
      <c r="D138" s="356" t="s">
        <v>775</v>
      </c>
      <c r="E138" s="423">
        <v>0</v>
      </c>
      <c r="F138" s="356"/>
      <c r="G138" s="423">
        <v>0</v>
      </c>
      <c r="H138" s="356"/>
      <c r="I138" s="423">
        <v>0</v>
      </c>
      <c r="J138" s="356"/>
      <c r="K138" s="423">
        <v>0</v>
      </c>
      <c r="L138" s="356"/>
      <c r="M138" s="423">
        <v>0</v>
      </c>
      <c r="N138" s="356"/>
      <c r="O138" s="423">
        <v>0</v>
      </c>
      <c r="P138" s="356"/>
      <c r="Q138" s="423">
        <v>0</v>
      </c>
      <c r="R138" s="356"/>
      <c r="S138" s="423">
        <v>0</v>
      </c>
      <c r="T138" s="356"/>
      <c r="U138" s="423">
        <v>0</v>
      </c>
      <c r="V138" s="356"/>
      <c r="W138" s="423">
        <v>0</v>
      </c>
      <c r="X138" s="356"/>
      <c r="Y138" s="420">
        <v>0.2</v>
      </c>
      <c r="Z138" s="356"/>
      <c r="AA138" s="423">
        <v>0</v>
      </c>
      <c r="AB138" s="423">
        <v>0</v>
      </c>
      <c r="AC138" s="423">
        <v>0</v>
      </c>
      <c r="AD138" s="423">
        <v>0</v>
      </c>
    </row>
    <row r="139" spans="1:30" ht="15" customHeight="1">
      <c r="A139" s="369"/>
      <c r="B139" s="356"/>
      <c r="C139" s="356" t="s">
        <v>774</v>
      </c>
      <c r="D139" s="356" t="s">
        <v>773</v>
      </c>
      <c r="E139" s="423">
        <v>0</v>
      </c>
      <c r="F139" s="356"/>
      <c r="G139" s="423">
        <v>0</v>
      </c>
      <c r="H139" s="356"/>
      <c r="I139" s="423">
        <v>0</v>
      </c>
      <c r="J139" s="356"/>
      <c r="K139" s="423">
        <v>0</v>
      </c>
      <c r="L139" s="356"/>
      <c r="M139" s="423">
        <v>0</v>
      </c>
      <c r="N139" s="356"/>
      <c r="O139" s="423">
        <v>0</v>
      </c>
      <c r="P139" s="356"/>
      <c r="Q139" s="423">
        <v>0</v>
      </c>
      <c r="R139" s="356"/>
      <c r="S139" s="423">
        <v>0</v>
      </c>
      <c r="T139" s="356"/>
      <c r="U139" s="423">
        <v>0</v>
      </c>
      <c r="V139" s="356"/>
      <c r="W139" s="423">
        <v>0</v>
      </c>
      <c r="X139" s="356"/>
      <c r="Y139" s="420">
        <v>0.2</v>
      </c>
      <c r="Z139" s="356"/>
      <c r="AA139" s="423">
        <v>0</v>
      </c>
      <c r="AB139" s="423">
        <v>0</v>
      </c>
      <c r="AC139" s="423">
        <v>0</v>
      </c>
      <c r="AD139" s="423">
        <v>0</v>
      </c>
    </row>
    <row r="140" spans="1:30" ht="15" customHeight="1">
      <c r="A140" s="369"/>
      <c r="B140" s="356"/>
      <c r="C140" s="356" t="s">
        <v>770</v>
      </c>
      <c r="D140" s="356" t="s">
        <v>772</v>
      </c>
      <c r="E140" s="423">
        <v>748.1</v>
      </c>
      <c r="F140" s="356"/>
      <c r="G140" s="423">
        <v>1801.15</v>
      </c>
      <c r="H140" s="356"/>
      <c r="I140" s="423">
        <v>-0.12</v>
      </c>
      <c r="J140" s="356"/>
      <c r="K140" s="423">
        <v>0</v>
      </c>
      <c r="L140" s="356"/>
      <c r="M140" s="423">
        <v>0</v>
      </c>
      <c r="N140" s="356"/>
      <c r="O140" s="423">
        <v>0</v>
      </c>
      <c r="P140" s="356"/>
      <c r="Q140" s="423">
        <v>0</v>
      </c>
      <c r="R140" s="356"/>
      <c r="S140" s="423">
        <v>0</v>
      </c>
      <c r="T140" s="356"/>
      <c r="U140" s="423">
        <v>0</v>
      </c>
      <c r="V140" s="356"/>
      <c r="W140" s="423">
        <v>2549.13</v>
      </c>
      <c r="X140" s="356"/>
      <c r="Y140" s="420">
        <v>0.2</v>
      </c>
      <c r="Z140" s="356"/>
      <c r="AA140" s="423">
        <v>2549.13</v>
      </c>
      <c r="AB140" s="423">
        <v>3585.09</v>
      </c>
      <c r="AC140" s="423">
        <v>42.49</v>
      </c>
      <c r="AD140" s="423">
        <v>3627.58</v>
      </c>
    </row>
    <row r="141" spans="1:30" ht="15" customHeight="1">
      <c r="A141" s="369"/>
      <c r="B141" s="356"/>
      <c r="C141" s="356" t="s">
        <v>770</v>
      </c>
      <c r="D141" s="356" t="s">
        <v>771</v>
      </c>
      <c r="E141" s="423">
        <v>1471.81</v>
      </c>
      <c r="F141" s="356"/>
      <c r="G141" s="423">
        <v>4.2</v>
      </c>
      <c r="H141" s="356"/>
      <c r="I141" s="423">
        <v>0</v>
      </c>
      <c r="J141" s="356"/>
      <c r="K141" s="423">
        <v>0</v>
      </c>
      <c r="L141" s="356"/>
      <c r="M141" s="423">
        <v>0</v>
      </c>
      <c r="N141" s="356"/>
      <c r="O141" s="423">
        <v>0</v>
      </c>
      <c r="P141" s="356"/>
      <c r="Q141" s="423">
        <v>0</v>
      </c>
      <c r="R141" s="356"/>
      <c r="S141" s="423">
        <v>0</v>
      </c>
      <c r="T141" s="356"/>
      <c r="U141" s="423">
        <v>0</v>
      </c>
      <c r="V141" s="356"/>
      <c r="W141" s="423">
        <v>1476.01</v>
      </c>
      <c r="X141" s="356"/>
      <c r="Y141" s="420">
        <v>0.2</v>
      </c>
      <c r="Z141" s="356"/>
      <c r="AA141" s="423">
        <v>1476.01</v>
      </c>
      <c r="AB141" s="423">
        <v>2164.2399999999998</v>
      </c>
      <c r="AC141" s="423">
        <v>24.6</v>
      </c>
      <c r="AD141" s="423">
        <v>2188.84</v>
      </c>
    </row>
    <row r="142" spans="1:30" ht="15" customHeight="1">
      <c r="A142" s="369"/>
      <c r="B142" s="356"/>
      <c r="C142" s="356" t="s">
        <v>770</v>
      </c>
      <c r="D142" s="356" t="s">
        <v>769</v>
      </c>
      <c r="E142" s="423">
        <v>33.22</v>
      </c>
      <c r="F142" s="356"/>
      <c r="G142" s="423">
        <v>7.06</v>
      </c>
      <c r="H142" s="356"/>
      <c r="I142" s="423">
        <v>0</v>
      </c>
      <c r="J142" s="356"/>
      <c r="K142" s="423">
        <v>0</v>
      </c>
      <c r="L142" s="356"/>
      <c r="M142" s="423">
        <v>0</v>
      </c>
      <c r="N142" s="356"/>
      <c r="O142" s="423">
        <v>0</v>
      </c>
      <c r="P142" s="356"/>
      <c r="Q142" s="423">
        <v>0</v>
      </c>
      <c r="R142" s="356"/>
      <c r="S142" s="423">
        <v>0</v>
      </c>
      <c r="T142" s="356"/>
      <c r="U142" s="423">
        <v>0</v>
      </c>
      <c r="V142" s="356"/>
      <c r="W142" s="423">
        <v>40.28</v>
      </c>
      <c r="X142" s="356"/>
      <c r="Y142" s="420">
        <v>0.2</v>
      </c>
      <c r="Z142" s="356"/>
      <c r="AA142" s="423">
        <v>40.28</v>
      </c>
      <c r="AB142" s="423">
        <v>58.38</v>
      </c>
      <c r="AC142" s="423">
        <v>0.67</v>
      </c>
      <c r="AD142" s="423">
        <v>59.05</v>
      </c>
    </row>
    <row r="143" spans="1:30" ht="15" customHeight="1">
      <c r="A143" s="369"/>
      <c r="B143" s="356"/>
      <c r="C143" s="356" t="s">
        <v>768</v>
      </c>
      <c r="D143" s="356" t="s">
        <v>767</v>
      </c>
      <c r="E143" s="423">
        <v>5437.19</v>
      </c>
      <c r="F143" s="356"/>
      <c r="G143" s="423">
        <v>697.37</v>
      </c>
      <c r="H143" s="356"/>
      <c r="I143" s="423">
        <v>0</v>
      </c>
      <c r="J143" s="356"/>
      <c r="K143" s="423">
        <v>0</v>
      </c>
      <c r="L143" s="356"/>
      <c r="M143" s="423">
        <v>0</v>
      </c>
      <c r="N143" s="356"/>
      <c r="O143" s="423">
        <v>0</v>
      </c>
      <c r="P143" s="356"/>
      <c r="Q143" s="423">
        <v>0</v>
      </c>
      <c r="R143" s="356"/>
      <c r="S143" s="423">
        <v>0</v>
      </c>
      <c r="T143" s="356"/>
      <c r="U143" s="423">
        <v>0</v>
      </c>
      <c r="V143" s="356"/>
      <c r="W143" s="423">
        <v>6134.56</v>
      </c>
      <c r="X143" s="356"/>
      <c r="Y143" s="420">
        <v>0.2</v>
      </c>
      <c r="Z143" s="356"/>
      <c r="AA143" s="423">
        <v>6134.56</v>
      </c>
      <c r="AB143" s="423">
        <v>8665.98</v>
      </c>
      <c r="AC143" s="423">
        <v>102.24</v>
      </c>
      <c r="AD143" s="423">
        <v>8768.2199999999993</v>
      </c>
    </row>
    <row r="144" spans="1:30" ht="15" customHeight="1">
      <c r="A144" s="369"/>
      <c r="B144" s="356"/>
      <c r="C144" s="356" t="s">
        <v>766</v>
      </c>
      <c r="D144" s="356" t="s">
        <v>765</v>
      </c>
      <c r="E144" s="423">
        <v>11975.48</v>
      </c>
      <c r="F144" s="356"/>
      <c r="G144" s="423">
        <v>4648.6899999999996</v>
      </c>
      <c r="H144" s="356"/>
      <c r="I144" s="423">
        <v>4064.96</v>
      </c>
      <c r="J144" s="356"/>
      <c r="K144" s="423">
        <v>60.5</v>
      </c>
      <c r="L144" s="356"/>
      <c r="M144" s="423">
        <v>28.68</v>
      </c>
      <c r="N144" s="356"/>
      <c r="O144" s="423">
        <v>0</v>
      </c>
      <c r="P144" s="356"/>
      <c r="Q144" s="423">
        <v>0</v>
      </c>
      <c r="R144" s="356"/>
      <c r="S144" s="423">
        <v>0</v>
      </c>
      <c r="T144" s="356"/>
      <c r="U144" s="423">
        <v>0</v>
      </c>
      <c r="V144" s="356"/>
      <c r="W144" s="423">
        <v>20778.310000000001</v>
      </c>
      <c r="X144" s="356"/>
      <c r="Y144" s="420">
        <v>0.2</v>
      </c>
      <c r="Z144" s="356"/>
      <c r="AA144" s="423">
        <v>20778.310000000001</v>
      </c>
      <c r="AB144" s="423">
        <v>28252.75</v>
      </c>
      <c r="AC144" s="423">
        <v>346.31</v>
      </c>
      <c r="AD144" s="423">
        <v>28599.06</v>
      </c>
    </row>
    <row r="145" spans="1:30" ht="15" customHeight="1">
      <c r="A145" s="369"/>
      <c r="B145" s="356"/>
      <c r="C145" s="356" t="s">
        <v>764</v>
      </c>
      <c r="D145" s="356" t="s">
        <v>763</v>
      </c>
      <c r="E145" s="423">
        <v>24929.05</v>
      </c>
      <c r="F145" s="356"/>
      <c r="G145" s="423">
        <v>14984.16</v>
      </c>
      <c r="H145" s="356"/>
      <c r="I145" s="423">
        <v>30012.85</v>
      </c>
      <c r="J145" s="356"/>
      <c r="K145" s="423">
        <v>10040.73</v>
      </c>
      <c r="L145" s="356"/>
      <c r="M145" s="423">
        <v>10173.1</v>
      </c>
      <c r="N145" s="356"/>
      <c r="O145" s="423">
        <v>0</v>
      </c>
      <c r="P145" s="356"/>
      <c r="Q145" s="423">
        <v>0</v>
      </c>
      <c r="R145" s="356"/>
      <c r="S145" s="423">
        <v>0</v>
      </c>
      <c r="T145" s="356"/>
      <c r="U145" s="423">
        <v>0</v>
      </c>
      <c r="V145" s="356"/>
      <c r="W145" s="423">
        <v>90139.89</v>
      </c>
      <c r="X145" s="356"/>
      <c r="Y145" s="420">
        <v>0.2</v>
      </c>
      <c r="Z145" s="356"/>
      <c r="AA145" s="423">
        <v>90139.89</v>
      </c>
      <c r="AB145" s="423">
        <v>107103.3</v>
      </c>
      <c r="AC145" s="423">
        <v>1502.33</v>
      </c>
      <c r="AD145" s="423">
        <v>108605.63</v>
      </c>
    </row>
    <row r="146" spans="1:30" ht="15" customHeight="1">
      <c r="A146" s="369"/>
      <c r="B146" s="356"/>
      <c r="C146" s="356" t="s">
        <v>762</v>
      </c>
      <c r="D146" s="356" t="s">
        <v>761</v>
      </c>
      <c r="E146" s="423">
        <v>0</v>
      </c>
      <c r="F146" s="356"/>
      <c r="G146" s="423">
        <v>1065.58</v>
      </c>
      <c r="H146" s="356"/>
      <c r="I146" s="423">
        <v>2269.71</v>
      </c>
      <c r="J146" s="356"/>
      <c r="K146" s="423">
        <v>1150.03</v>
      </c>
      <c r="L146" s="356"/>
      <c r="M146" s="423">
        <v>8.93</v>
      </c>
      <c r="N146" s="356"/>
      <c r="O146" s="423">
        <v>0</v>
      </c>
      <c r="P146" s="356"/>
      <c r="Q146" s="423">
        <v>0</v>
      </c>
      <c r="R146" s="356"/>
      <c r="S146" s="423">
        <v>0</v>
      </c>
      <c r="T146" s="356"/>
      <c r="U146" s="423">
        <v>0</v>
      </c>
      <c r="V146" s="356"/>
      <c r="W146" s="423">
        <v>4494.25</v>
      </c>
      <c r="X146" s="356"/>
      <c r="Y146" s="420">
        <v>0.2</v>
      </c>
      <c r="Z146" s="356"/>
      <c r="AA146" s="423">
        <v>4494.25</v>
      </c>
      <c r="AB146" s="423">
        <v>4989.04</v>
      </c>
      <c r="AC146" s="423">
        <v>74.900000000000006</v>
      </c>
      <c r="AD146" s="423">
        <v>5063.9399999999996</v>
      </c>
    </row>
    <row r="147" spans="1:30" ht="15" customHeight="1">
      <c r="A147" s="369"/>
      <c r="B147" s="356"/>
      <c r="C147" s="356" t="s">
        <v>760</v>
      </c>
      <c r="D147" s="356" t="s">
        <v>759</v>
      </c>
      <c r="E147" s="423">
        <v>0</v>
      </c>
      <c r="F147" s="356"/>
      <c r="G147" s="423">
        <v>5486.06</v>
      </c>
      <c r="H147" s="356"/>
      <c r="I147" s="423">
        <v>9747.43</v>
      </c>
      <c r="J147" s="356"/>
      <c r="K147" s="423">
        <v>351.95</v>
      </c>
      <c r="L147" s="356"/>
      <c r="M147" s="423">
        <v>0</v>
      </c>
      <c r="N147" s="356"/>
      <c r="O147" s="423">
        <v>0</v>
      </c>
      <c r="P147" s="356"/>
      <c r="Q147" s="423">
        <v>0</v>
      </c>
      <c r="R147" s="356"/>
      <c r="S147" s="423">
        <v>0</v>
      </c>
      <c r="T147" s="356"/>
      <c r="U147" s="423">
        <v>0</v>
      </c>
      <c r="V147" s="356"/>
      <c r="W147" s="423">
        <v>15585.44</v>
      </c>
      <c r="X147" s="356"/>
      <c r="Y147" s="420">
        <v>0.2</v>
      </c>
      <c r="Z147" s="356"/>
      <c r="AA147" s="423">
        <v>15585.44</v>
      </c>
      <c r="AB147" s="423">
        <v>18532.73</v>
      </c>
      <c r="AC147" s="423">
        <v>259.76</v>
      </c>
      <c r="AD147" s="423">
        <v>18792.490000000002</v>
      </c>
    </row>
    <row r="148" spans="1:30" ht="15" customHeight="1">
      <c r="A148" s="369"/>
      <c r="B148" s="356"/>
      <c r="C148" s="356" t="s">
        <v>740</v>
      </c>
      <c r="D148" s="356" t="s">
        <v>758</v>
      </c>
      <c r="E148" s="423">
        <v>0</v>
      </c>
      <c r="F148" s="356"/>
      <c r="G148" s="423">
        <v>1253.3699999999999</v>
      </c>
      <c r="H148" s="356"/>
      <c r="I148" s="423">
        <v>864.78</v>
      </c>
      <c r="J148" s="356"/>
      <c r="K148" s="423">
        <v>-110.44</v>
      </c>
      <c r="L148" s="356"/>
      <c r="M148" s="423">
        <v>0</v>
      </c>
      <c r="N148" s="356"/>
      <c r="O148" s="423">
        <v>0</v>
      </c>
      <c r="P148" s="356"/>
      <c r="Q148" s="423">
        <v>0</v>
      </c>
      <c r="R148" s="356"/>
      <c r="S148" s="423">
        <v>0</v>
      </c>
      <c r="T148" s="356"/>
      <c r="U148" s="423">
        <v>0</v>
      </c>
      <c r="V148" s="356"/>
      <c r="W148" s="423">
        <v>2007.71</v>
      </c>
      <c r="X148" s="356"/>
      <c r="Y148" s="420">
        <v>0.2</v>
      </c>
      <c r="Z148" s="356"/>
      <c r="AA148" s="423">
        <v>2007.71</v>
      </c>
      <c r="AB148" s="423">
        <v>2392.4499999999998</v>
      </c>
      <c r="AC148" s="423">
        <v>33.46</v>
      </c>
      <c r="AD148" s="423">
        <v>2425.91</v>
      </c>
    </row>
    <row r="149" spans="1:30" ht="15" customHeight="1">
      <c r="A149" s="369"/>
      <c r="B149" s="356"/>
      <c r="C149" s="356" t="s">
        <v>740</v>
      </c>
      <c r="D149" s="356" t="s">
        <v>757</v>
      </c>
      <c r="E149" s="423">
        <v>0</v>
      </c>
      <c r="F149" s="356"/>
      <c r="G149" s="423">
        <v>990.19</v>
      </c>
      <c r="H149" s="356"/>
      <c r="I149" s="423">
        <v>3023.46</v>
      </c>
      <c r="J149" s="356"/>
      <c r="K149" s="423">
        <v>678.73</v>
      </c>
      <c r="L149" s="356"/>
      <c r="M149" s="423">
        <v>6.23</v>
      </c>
      <c r="N149" s="356"/>
      <c r="O149" s="423">
        <v>0</v>
      </c>
      <c r="P149" s="356"/>
      <c r="Q149" s="423">
        <v>0</v>
      </c>
      <c r="R149" s="356"/>
      <c r="S149" s="423">
        <v>0</v>
      </c>
      <c r="T149" s="356"/>
      <c r="U149" s="423">
        <v>0</v>
      </c>
      <c r="V149" s="356"/>
      <c r="W149" s="423">
        <v>4698.6099999999997</v>
      </c>
      <c r="X149" s="356"/>
      <c r="Y149" s="420">
        <v>0.2</v>
      </c>
      <c r="Z149" s="356"/>
      <c r="AA149" s="423">
        <v>4698.6099999999997</v>
      </c>
      <c r="AB149" s="423">
        <v>5385.04</v>
      </c>
      <c r="AC149" s="423">
        <v>78.31</v>
      </c>
      <c r="AD149" s="423">
        <v>5463.35</v>
      </c>
    </row>
    <row r="150" spans="1:30" ht="15" customHeight="1">
      <c r="A150" s="369"/>
      <c r="B150" s="356"/>
      <c r="C150" s="356" t="s">
        <v>740</v>
      </c>
      <c r="D150" s="356" t="s">
        <v>756</v>
      </c>
      <c r="E150" s="423">
        <v>0</v>
      </c>
      <c r="F150" s="356"/>
      <c r="G150" s="423">
        <v>3543.69</v>
      </c>
      <c r="H150" s="356"/>
      <c r="I150" s="423">
        <v>2165.0300000000002</v>
      </c>
      <c r="J150" s="356"/>
      <c r="K150" s="423">
        <v>136.19</v>
      </c>
      <c r="L150" s="356"/>
      <c r="M150" s="423">
        <v>74.94</v>
      </c>
      <c r="N150" s="356"/>
      <c r="O150" s="423">
        <v>6274.72</v>
      </c>
      <c r="P150" s="356"/>
      <c r="Q150" s="423">
        <v>73.510000000000005</v>
      </c>
      <c r="R150" s="356"/>
      <c r="S150" s="423">
        <v>0</v>
      </c>
      <c r="T150" s="356"/>
      <c r="U150" s="423">
        <v>0</v>
      </c>
      <c r="V150" s="356"/>
      <c r="W150" s="423">
        <v>12268.08</v>
      </c>
      <c r="X150" s="356"/>
      <c r="Y150" s="420">
        <v>0.2</v>
      </c>
      <c r="Z150" s="356"/>
      <c r="AA150" s="423">
        <v>12268.08</v>
      </c>
      <c r="AB150" s="423">
        <v>10844.6</v>
      </c>
      <c r="AC150" s="423">
        <v>204.47</v>
      </c>
      <c r="AD150" s="423">
        <v>11049.07</v>
      </c>
    </row>
    <row r="151" spans="1:30" ht="15" customHeight="1">
      <c r="A151" s="369"/>
      <c r="B151" s="356"/>
      <c r="C151" s="356" t="s">
        <v>740</v>
      </c>
      <c r="D151" s="356" t="s">
        <v>755</v>
      </c>
      <c r="E151" s="423">
        <v>0</v>
      </c>
      <c r="F151" s="356"/>
      <c r="G151" s="423">
        <v>0</v>
      </c>
      <c r="H151" s="356"/>
      <c r="I151" s="423">
        <v>1414.19</v>
      </c>
      <c r="J151" s="356"/>
      <c r="K151" s="423">
        <v>0</v>
      </c>
      <c r="L151" s="356"/>
      <c r="M151" s="423">
        <v>0</v>
      </c>
      <c r="N151" s="356"/>
      <c r="O151" s="423">
        <v>0</v>
      </c>
      <c r="P151" s="356"/>
      <c r="Q151" s="423">
        <v>0</v>
      </c>
      <c r="R151" s="356"/>
      <c r="S151" s="423">
        <v>0</v>
      </c>
      <c r="T151" s="356"/>
      <c r="U151" s="423">
        <v>0</v>
      </c>
      <c r="V151" s="356"/>
      <c r="W151" s="423">
        <v>1414.19</v>
      </c>
      <c r="X151" s="356"/>
      <c r="Y151" s="420">
        <v>0.2</v>
      </c>
      <c r="Z151" s="356"/>
      <c r="AA151" s="423">
        <v>1414.19</v>
      </c>
      <c r="AB151" s="423">
        <v>1633.78</v>
      </c>
      <c r="AC151" s="423">
        <v>23.57</v>
      </c>
      <c r="AD151" s="423">
        <v>1657.35</v>
      </c>
    </row>
    <row r="152" spans="1:30" ht="15" customHeight="1">
      <c r="A152" s="369"/>
      <c r="B152" s="356"/>
      <c r="C152" s="356" t="s">
        <v>740</v>
      </c>
      <c r="D152" s="356" t="s">
        <v>754</v>
      </c>
      <c r="E152" s="423">
        <v>0</v>
      </c>
      <c r="F152" s="356"/>
      <c r="G152" s="423">
        <v>0</v>
      </c>
      <c r="H152" s="356"/>
      <c r="I152" s="423">
        <v>2465.96</v>
      </c>
      <c r="J152" s="356"/>
      <c r="K152" s="423">
        <v>1399.08</v>
      </c>
      <c r="L152" s="356"/>
      <c r="M152" s="423">
        <v>6.15</v>
      </c>
      <c r="N152" s="356"/>
      <c r="O152" s="423">
        <v>0</v>
      </c>
      <c r="P152" s="356"/>
      <c r="Q152" s="423">
        <v>0</v>
      </c>
      <c r="R152" s="356"/>
      <c r="S152" s="423">
        <v>0</v>
      </c>
      <c r="T152" s="356"/>
      <c r="U152" s="423">
        <v>0</v>
      </c>
      <c r="V152" s="356"/>
      <c r="W152" s="423">
        <v>3871.19</v>
      </c>
      <c r="X152" s="356"/>
      <c r="Y152" s="420">
        <v>0.2</v>
      </c>
      <c r="Z152" s="356"/>
      <c r="AA152" s="423">
        <v>3871.19</v>
      </c>
      <c r="AB152" s="423">
        <v>3949.34</v>
      </c>
      <c r="AC152" s="423">
        <v>64.52</v>
      </c>
      <c r="AD152" s="423">
        <v>4013.86</v>
      </c>
    </row>
    <row r="153" spans="1:30" ht="15" customHeight="1">
      <c r="A153" s="369"/>
      <c r="B153" s="356"/>
      <c r="C153" s="356" t="s">
        <v>740</v>
      </c>
      <c r="D153" s="356" t="s">
        <v>753</v>
      </c>
      <c r="E153" s="423">
        <v>0</v>
      </c>
      <c r="F153" s="356"/>
      <c r="G153" s="423">
        <v>0</v>
      </c>
      <c r="H153" s="356"/>
      <c r="I153" s="423">
        <v>0</v>
      </c>
      <c r="J153" s="356"/>
      <c r="K153" s="423">
        <v>0</v>
      </c>
      <c r="L153" s="356"/>
      <c r="M153" s="423">
        <v>2964.22</v>
      </c>
      <c r="N153" s="356"/>
      <c r="O153" s="423">
        <v>3244.56</v>
      </c>
      <c r="P153" s="356"/>
      <c r="Q153" s="423">
        <v>545.23</v>
      </c>
      <c r="R153" s="356"/>
      <c r="S153" s="423">
        <v>4.95</v>
      </c>
      <c r="T153" s="356"/>
      <c r="U153" s="423">
        <v>0</v>
      </c>
      <c r="V153" s="356"/>
      <c r="W153" s="423">
        <v>6758.96</v>
      </c>
      <c r="X153" s="356"/>
      <c r="Y153" s="420">
        <v>0.2</v>
      </c>
      <c r="Z153" s="356"/>
      <c r="AA153" s="423">
        <v>6758.96</v>
      </c>
      <c r="AB153" s="423">
        <v>3691.37</v>
      </c>
      <c r="AC153" s="423">
        <v>112.65</v>
      </c>
      <c r="AD153" s="423">
        <v>3804.02</v>
      </c>
    </row>
    <row r="154" spans="1:30" ht="15" customHeight="1">
      <c r="A154" s="369"/>
      <c r="B154" s="356"/>
      <c r="C154" s="356" t="s">
        <v>740</v>
      </c>
      <c r="D154" s="356" t="s">
        <v>752</v>
      </c>
      <c r="E154" s="423">
        <v>0</v>
      </c>
      <c r="F154" s="356"/>
      <c r="G154" s="423">
        <v>0</v>
      </c>
      <c r="H154" s="356"/>
      <c r="I154" s="423">
        <v>0</v>
      </c>
      <c r="J154" s="356"/>
      <c r="K154" s="423">
        <v>0</v>
      </c>
      <c r="L154" s="356"/>
      <c r="M154" s="423">
        <v>3357.13</v>
      </c>
      <c r="N154" s="356"/>
      <c r="O154" s="423">
        <v>17.86</v>
      </c>
      <c r="P154" s="356"/>
      <c r="Q154" s="423">
        <v>0</v>
      </c>
      <c r="R154" s="356"/>
      <c r="S154" s="423">
        <v>0</v>
      </c>
      <c r="T154" s="356"/>
      <c r="U154" s="423">
        <v>0</v>
      </c>
      <c r="V154" s="356"/>
      <c r="W154" s="423">
        <v>3374.99</v>
      </c>
      <c r="X154" s="356"/>
      <c r="Y154" s="420">
        <v>0.2</v>
      </c>
      <c r="Z154" s="356"/>
      <c r="AA154" s="423">
        <v>3374.99</v>
      </c>
      <c r="AB154" s="423">
        <v>2305.12</v>
      </c>
      <c r="AC154" s="423">
        <v>56.25</v>
      </c>
      <c r="AD154" s="423">
        <v>2361.37</v>
      </c>
    </row>
    <row r="155" spans="1:30" ht="15" customHeight="1">
      <c r="A155" s="369"/>
      <c r="B155" s="356"/>
      <c r="C155" s="356" t="s">
        <v>740</v>
      </c>
      <c r="D155" s="356" t="s">
        <v>751</v>
      </c>
      <c r="E155" s="423">
        <v>0</v>
      </c>
      <c r="F155" s="356"/>
      <c r="G155" s="423">
        <v>0</v>
      </c>
      <c r="H155" s="356"/>
      <c r="I155" s="423">
        <v>0</v>
      </c>
      <c r="J155" s="356"/>
      <c r="K155" s="423">
        <v>0</v>
      </c>
      <c r="L155" s="356"/>
      <c r="M155" s="423">
        <v>0</v>
      </c>
      <c r="N155" s="356"/>
      <c r="O155" s="423">
        <v>728.34</v>
      </c>
      <c r="P155" s="356"/>
      <c r="Q155" s="423">
        <v>1333.24</v>
      </c>
      <c r="R155" s="356"/>
      <c r="S155" s="423">
        <v>0</v>
      </c>
      <c r="T155" s="356"/>
      <c r="U155" s="423">
        <v>0</v>
      </c>
      <c r="V155" s="356"/>
      <c r="W155" s="423">
        <v>2061.58</v>
      </c>
      <c r="X155" s="356"/>
      <c r="Y155" s="420">
        <v>0.2</v>
      </c>
      <c r="Z155" s="356"/>
      <c r="AA155" s="423">
        <v>2061.58</v>
      </c>
      <c r="AB155" s="423">
        <v>899.42</v>
      </c>
      <c r="AC155" s="423">
        <v>34.36</v>
      </c>
      <c r="AD155" s="423">
        <v>933.78</v>
      </c>
    </row>
    <row r="156" spans="1:30" ht="15" customHeight="1">
      <c r="A156" s="369"/>
      <c r="B156" s="356"/>
      <c r="C156" s="356" t="s">
        <v>740</v>
      </c>
      <c r="D156" s="356" t="s">
        <v>750</v>
      </c>
      <c r="E156" s="423">
        <v>0</v>
      </c>
      <c r="F156" s="356"/>
      <c r="G156" s="423">
        <v>0</v>
      </c>
      <c r="H156" s="356"/>
      <c r="I156" s="423">
        <v>0</v>
      </c>
      <c r="J156" s="356"/>
      <c r="K156" s="423">
        <v>0</v>
      </c>
      <c r="L156" s="356"/>
      <c r="M156" s="423">
        <v>0</v>
      </c>
      <c r="N156" s="356"/>
      <c r="O156" s="423">
        <v>3367.33</v>
      </c>
      <c r="P156" s="356"/>
      <c r="Q156" s="423">
        <v>57.46</v>
      </c>
      <c r="R156" s="356"/>
      <c r="S156" s="423">
        <v>0</v>
      </c>
      <c r="T156" s="356"/>
      <c r="U156" s="423">
        <v>0</v>
      </c>
      <c r="V156" s="356"/>
      <c r="W156" s="423">
        <v>3424.79</v>
      </c>
      <c r="X156" s="356"/>
      <c r="Y156" s="420">
        <v>0.2</v>
      </c>
      <c r="Z156" s="356"/>
      <c r="AA156" s="423">
        <v>3424.79</v>
      </c>
      <c r="AB156" s="423">
        <v>1955</v>
      </c>
      <c r="AC156" s="423">
        <v>57.08</v>
      </c>
      <c r="AD156" s="423">
        <v>2012.08</v>
      </c>
    </row>
    <row r="157" spans="1:30" ht="15" customHeight="1">
      <c r="A157" s="369"/>
      <c r="B157" s="356"/>
      <c r="C157" s="356" t="s">
        <v>740</v>
      </c>
      <c r="D157" s="356" t="s">
        <v>749</v>
      </c>
      <c r="E157" s="423">
        <v>0</v>
      </c>
      <c r="F157" s="356"/>
      <c r="G157" s="423">
        <v>0</v>
      </c>
      <c r="H157" s="356"/>
      <c r="I157" s="423">
        <v>0</v>
      </c>
      <c r="J157" s="356"/>
      <c r="K157" s="423">
        <v>0</v>
      </c>
      <c r="L157" s="356"/>
      <c r="M157" s="423">
        <v>0</v>
      </c>
      <c r="N157" s="356"/>
      <c r="O157" s="423">
        <v>299.3</v>
      </c>
      <c r="P157" s="356"/>
      <c r="Q157" s="423">
        <v>2.65</v>
      </c>
      <c r="R157" s="356"/>
      <c r="S157" s="423">
        <v>0</v>
      </c>
      <c r="T157" s="356"/>
      <c r="U157" s="423">
        <v>0</v>
      </c>
      <c r="V157" s="356"/>
      <c r="W157" s="423">
        <v>301.95</v>
      </c>
      <c r="X157" s="356"/>
      <c r="Y157" s="420">
        <v>0.2</v>
      </c>
      <c r="Z157" s="356"/>
      <c r="AA157" s="423">
        <v>301.95</v>
      </c>
      <c r="AB157" s="423">
        <v>143.96</v>
      </c>
      <c r="AC157" s="423">
        <v>5.03</v>
      </c>
      <c r="AD157" s="423">
        <v>148.99</v>
      </c>
    </row>
    <row r="158" spans="1:30" ht="15" customHeight="1">
      <c r="A158" s="369"/>
      <c r="B158" s="356"/>
      <c r="C158" s="356" t="s">
        <v>740</v>
      </c>
      <c r="D158" s="356" t="s">
        <v>748</v>
      </c>
      <c r="E158" s="423">
        <v>0</v>
      </c>
      <c r="F158" s="356"/>
      <c r="G158" s="423">
        <v>0</v>
      </c>
      <c r="H158" s="356"/>
      <c r="I158" s="423">
        <v>0</v>
      </c>
      <c r="J158" s="356"/>
      <c r="K158" s="423">
        <v>0</v>
      </c>
      <c r="L158" s="356"/>
      <c r="M158" s="423">
        <v>0</v>
      </c>
      <c r="N158" s="356"/>
      <c r="O158" s="423">
        <v>609.54</v>
      </c>
      <c r="P158" s="356"/>
      <c r="Q158" s="423">
        <v>878.52</v>
      </c>
      <c r="R158" s="356"/>
      <c r="S158" s="423">
        <v>19.670000000000002</v>
      </c>
      <c r="T158" s="356"/>
      <c r="U158" s="423">
        <v>0</v>
      </c>
      <c r="V158" s="356"/>
      <c r="W158" s="423">
        <v>1507.73</v>
      </c>
      <c r="X158" s="356"/>
      <c r="Y158" s="420">
        <v>0.2</v>
      </c>
      <c r="Z158" s="356"/>
      <c r="AA158" s="423">
        <v>1507.73</v>
      </c>
      <c r="AB158" s="423">
        <v>602.04</v>
      </c>
      <c r="AC158" s="423">
        <v>25.13</v>
      </c>
      <c r="AD158" s="423">
        <v>627.16999999999996</v>
      </c>
    </row>
    <row r="159" spans="1:30" ht="15" customHeight="1">
      <c r="A159" s="369"/>
      <c r="B159" s="356"/>
      <c r="C159" s="356" t="s">
        <v>740</v>
      </c>
      <c r="D159" s="356" t="s">
        <v>747</v>
      </c>
      <c r="E159" s="356"/>
      <c r="F159" s="356"/>
      <c r="G159" s="356"/>
      <c r="H159" s="356"/>
      <c r="I159" s="423">
        <v>0</v>
      </c>
      <c r="J159" s="356"/>
      <c r="K159" s="423">
        <v>0</v>
      </c>
      <c r="L159" s="356"/>
      <c r="M159" s="356"/>
      <c r="N159" s="356"/>
      <c r="O159" s="423">
        <v>539.84</v>
      </c>
      <c r="P159" s="356"/>
      <c r="Q159" s="423">
        <v>1226.3599999999999</v>
      </c>
      <c r="R159" s="356"/>
      <c r="S159" s="423">
        <v>0</v>
      </c>
      <c r="T159" s="356"/>
      <c r="U159" s="423">
        <v>0</v>
      </c>
      <c r="V159" s="356"/>
      <c r="W159" s="423">
        <v>1766.2</v>
      </c>
      <c r="X159" s="356"/>
      <c r="Y159" s="420">
        <v>0.2</v>
      </c>
      <c r="Z159" s="356"/>
      <c r="AA159" s="423">
        <v>1766.2</v>
      </c>
      <c r="AB159" s="423">
        <v>732.52</v>
      </c>
      <c r="AC159" s="423">
        <v>29.44</v>
      </c>
      <c r="AD159" s="423">
        <v>761.96</v>
      </c>
    </row>
    <row r="160" spans="1:30" ht="15" customHeight="1">
      <c r="A160" s="369"/>
      <c r="B160" s="356"/>
      <c r="C160" s="356" t="s">
        <v>740</v>
      </c>
      <c r="D160" s="356" t="s">
        <v>746</v>
      </c>
      <c r="E160" s="356"/>
      <c r="F160" s="356"/>
      <c r="G160" s="356"/>
      <c r="H160" s="356"/>
      <c r="I160" s="356"/>
      <c r="J160" s="356"/>
      <c r="K160" s="356"/>
      <c r="L160" s="356"/>
      <c r="M160" s="356"/>
      <c r="N160" s="356"/>
      <c r="O160" s="423">
        <v>799.18</v>
      </c>
      <c r="P160" s="356"/>
      <c r="Q160" s="423">
        <v>705</v>
      </c>
      <c r="R160" s="356"/>
      <c r="S160" s="423">
        <v>0</v>
      </c>
      <c r="T160" s="356"/>
      <c r="U160" s="423">
        <v>0</v>
      </c>
      <c r="V160" s="356"/>
      <c r="W160" s="423">
        <v>1504.18</v>
      </c>
      <c r="X160" s="356"/>
      <c r="Y160" s="420">
        <v>0.2</v>
      </c>
      <c r="Z160" s="356"/>
      <c r="AA160" s="423">
        <v>1504.18</v>
      </c>
      <c r="AB160" s="423">
        <v>623.78</v>
      </c>
      <c r="AC160" s="423">
        <v>25.07</v>
      </c>
      <c r="AD160" s="423">
        <v>648.85</v>
      </c>
    </row>
    <row r="161" spans="1:30" ht="15" customHeight="1">
      <c r="A161" s="369"/>
      <c r="B161" s="356"/>
      <c r="C161" s="356" t="s">
        <v>740</v>
      </c>
      <c r="D161" s="356" t="s">
        <v>745</v>
      </c>
      <c r="E161" s="356"/>
      <c r="F161" s="356"/>
      <c r="G161" s="356"/>
      <c r="H161" s="356"/>
      <c r="I161" s="356"/>
      <c r="J161" s="356"/>
      <c r="K161" s="356"/>
      <c r="L161" s="356"/>
      <c r="M161" s="356"/>
      <c r="N161" s="356"/>
      <c r="O161" s="423">
        <v>2490.33</v>
      </c>
      <c r="P161" s="356"/>
      <c r="Q161" s="423">
        <v>662.24</v>
      </c>
      <c r="R161" s="356"/>
      <c r="S161" s="423">
        <v>0</v>
      </c>
      <c r="T161" s="356"/>
      <c r="U161" s="423">
        <v>0</v>
      </c>
      <c r="V161" s="356"/>
      <c r="W161" s="423">
        <v>3152.57</v>
      </c>
      <c r="X161" s="356"/>
      <c r="Y161" s="420">
        <v>0.2</v>
      </c>
      <c r="Z161" s="356"/>
      <c r="AA161" s="423">
        <v>3152.57</v>
      </c>
      <c r="AB161" s="423">
        <v>1405.73</v>
      </c>
      <c r="AC161" s="423">
        <v>52.54</v>
      </c>
      <c r="AD161" s="423">
        <v>1458.27</v>
      </c>
    </row>
    <row r="162" spans="1:30" ht="15" customHeight="1">
      <c r="A162" s="369"/>
      <c r="B162" s="356"/>
      <c r="C162" s="356" t="s">
        <v>740</v>
      </c>
      <c r="D162" s="356" t="s">
        <v>744</v>
      </c>
      <c r="E162" s="356"/>
      <c r="F162" s="356"/>
      <c r="G162" s="356"/>
      <c r="H162" s="356"/>
      <c r="I162" s="356"/>
      <c r="J162" s="356"/>
      <c r="K162" s="356"/>
      <c r="L162" s="356"/>
      <c r="M162" s="356"/>
      <c r="N162" s="356"/>
      <c r="O162" s="356"/>
      <c r="P162" s="356"/>
      <c r="Q162" s="423">
        <v>2746.64</v>
      </c>
      <c r="R162" s="356"/>
      <c r="S162" s="423">
        <v>48.61</v>
      </c>
      <c r="T162" s="356"/>
      <c r="U162" s="423">
        <v>11.26</v>
      </c>
      <c r="V162" s="356"/>
      <c r="W162" s="423">
        <v>2806.51</v>
      </c>
      <c r="X162" s="356"/>
      <c r="Y162" s="420">
        <v>0.2</v>
      </c>
      <c r="Z162" s="356"/>
      <c r="AA162" s="423">
        <v>2806.51</v>
      </c>
      <c r="AB162" s="423">
        <v>858.33</v>
      </c>
      <c r="AC162" s="423">
        <v>46.78</v>
      </c>
      <c r="AD162" s="423">
        <v>905.11</v>
      </c>
    </row>
    <row r="163" spans="1:30" ht="15" customHeight="1">
      <c r="A163" s="356"/>
      <c r="B163" s="356"/>
      <c r="C163" s="356" t="s">
        <v>740</v>
      </c>
      <c r="D163" s="356" t="s">
        <v>743</v>
      </c>
      <c r="E163" s="423">
        <v>0</v>
      </c>
      <c r="F163" s="356"/>
      <c r="G163" s="423">
        <v>0</v>
      </c>
      <c r="H163" s="356"/>
      <c r="I163" s="423">
        <v>0</v>
      </c>
      <c r="J163" s="356"/>
      <c r="K163" s="423">
        <v>0</v>
      </c>
      <c r="L163" s="356"/>
      <c r="M163" s="423">
        <v>0</v>
      </c>
      <c r="N163" s="356"/>
      <c r="O163" s="423">
        <v>2153.4499999999998</v>
      </c>
      <c r="P163" s="356"/>
      <c r="Q163" s="423">
        <v>2679.87</v>
      </c>
      <c r="R163" s="356"/>
      <c r="S163" s="423">
        <v>572.19000000000005</v>
      </c>
      <c r="T163" s="356"/>
      <c r="U163" s="423">
        <v>0</v>
      </c>
      <c r="V163" s="356"/>
      <c r="W163" s="423">
        <v>5405.51</v>
      </c>
      <c r="X163" s="356"/>
      <c r="Y163" s="420">
        <v>0.2</v>
      </c>
      <c r="Z163" s="356"/>
      <c r="AA163" s="423">
        <v>5405.51</v>
      </c>
      <c r="AB163" s="423">
        <v>2142.15</v>
      </c>
      <c r="AC163" s="423">
        <v>90.09</v>
      </c>
      <c r="AD163" s="423">
        <v>2232.2399999999998</v>
      </c>
    </row>
    <row r="164" spans="1:30" ht="15" customHeight="1">
      <c r="A164" s="356"/>
      <c r="B164" s="356"/>
      <c r="C164" s="356" t="s">
        <v>740</v>
      </c>
      <c r="D164" s="356" t="s">
        <v>742</v>
      </c>
      <c r="E164" s="423">
        <v>0</v>
      </c>
      <c r="F164" s="356"/>
      <c r="G164" s="423">
        <v>0</v>
      </c>
      <c r="H164" s="356"/>
      <c r="I164" s="423">
        <v>0</v>
      </c>
      <c r="J164" s="356"/>
      <c r="K164" s="423">
        <v>0</v>
      </c>
      <c r="L164" s="356"/>
      <c r="M164" s="423">
        <v>0</v>
      </c>
      <c r="N164" s="356"/>
      <c r="O164" s="423">
        <v>0</v>
      </c>
      <c r="P164" s="356"/>
      <c r="Q164" s="423">
        <v>5113.1899999999996</v>
      </c>
      <c r="R164" s="356"/>
      <c r="S164" s="423">
        <v>586.75</v>
      </c>
      <c r="T164" s="356"/>
      <c r="U164" s="423">
        <v>0</v>
      </c>
      <c r="V164" s="356"/>
      <c r="W164" s="423">
        <v>5699.94</v>
      </c>
      <c r="X164" s="356"/>
      <c r="Y164" s="420">
        <v>0.2</v>
      </c>
      <c r="Z164" s="356"/>
      <c r="AA164" s="423">
        <v>5699.94</v>
      </c>
      <c r="AB164" s="423">
        <v>1543.45</v>
      </c>
      <c r="AC164" s="423">
        <v>95</v>
      </c>
      <c r="AD164" s="423">
        <v>1638.45</v>
      </c>
    </row>
    <row r="165" spans="1:30" ht="15" customHeight="1">
      <c r="A165" s="356"/>
      <c r="B165" s="356"/>
      <c r="C165" s="356" t="s">
        <v>740</v>
      </c>
      <c r="D165" s="356" t="s">
        <v>741</v>
      </c>
      <c r="E165" s="356"/>
      <c r="F165" s="356"/>
      <c r="G165" s="356"/>
      <c r="H165" s="356"/>
      <c r="I165" s="356"/>
      <c r="J165" s="356"/>
      <c r="K165" s="356"/>
      <c r="L165" s="356"/>
      <c r="M165" s="356"/>
      <c r="N165" s="356"/>
      <c r="O165" s="356"/>
      <c r="P165" s="356"/>
      <c r="Q165" s="423">
        <v>786.74</v>
      </c>
      <c r="R165" s="356"/>
      <c r="S165" s="423">
        <v>507.31</v>
      </c>
      <c r="T165" s="356"/>
      <c r="U165" s="423">
        <v>0</v>
      </c>
      <c r="V165" s="356"/>
      <c r="W165" s="423">
        <v>1294.05</v>
      </c>
      <c r="X165" s="356"/>
      <c r="Y165" s="420">
        <v>0.2</v>
      </c>
      <c r="Z165" s="356"/>
      <c r="AA165" s="423">
        <v>1294.05</v>
      </c>
      <c r="AB165" s="423">
        <v>314.93</v>
      </c>
      <c r="AC165" s="423">
        <v>21.57</v>
      </c>
      <c r="AD165" s="423">
        <v>336.5</v>
      </c>
    </row>
    <row r="166" spans="1:30" ht="15" customHeight="1">
      <c r="A166" s="356"/>
      <c r="B166" s="356"/>
      <c r="C166" s="356" t="s">
        <v>740</v>
      </c>
      <c r="D166" s="356" t="s">
        <v>739</v>
      </c>
      <c r="E166" s="356"/>
      <c r="F166" s="356"/>
      <c r="G166" s="356"/>
      <c r="H166" s="356"/>
      <c r="I166" s="356"/>
      <c r="J166" s="356"/>
      <c r="K166" s="356"/>
      <c r="L166" s="356"/>
      <c r="M166" s="356"/>
      <c r="N166" s="356"/>
      <c r="O166" s="356"/>
      <c r="P166" s="356"/>
      <c r="Q166" s="356"/>
      <c r="R166" s="356"/>
      <c r="S166" s="423">
        <v>55.68</v>
      </c>
      <c r="T166" s="356"/>
      <c r="U166" s="423">
        <v>85.24</v>
      </c>
      <c r="V166" s="356"/>
      <c r="W166" s="423">
        <v>140.91999999999999</v>
      </c>
      <c r="X166" s="356"/>
      <c r="Y166" s="420">
        <v>0.2</v>
      </c>
      <c r="Z166" s="356"/>
      <c r="AA166" s="423">
        <v>140.91999999999999</v>
      </c>
      <c r="AB166" s="423">
        <v>4.7</v>
      </c>
      <c r="AC166" s="423">
        <v>2.35</v>
      </c>
      <c r="AD166" s="423">
        <v>7.05</v>
      </c>
    </row>
    <row r="167" spans="1:30" ht="15" customHeight="1">
      <c r="A167" s="356"/>
      <c r="B167" s="356"/>
      <c r="C167" s="356" t="s">
        <v>738</v>
      </c>
      <c r="D167" s="356" t="s">
        <v>737</v>
      </c>
      <c r="E167" s="423">
        <v>0</v>
      </c>
      <c r="F167" s="356"/>
      <c r="G167" s="423">
        <v>0</v>
      </c>
      <c r="H167" s="356"/>
      <c r="I167" s="423">
        <v>14869.23</v>
      </c>
      <c r="J167" s="356"/>
      <c r="K167" s="423">
        <v>377.59</v>
      </c>
      <c r="L167" s="356"/>
      <c r="M167" s="423">
        <v>0</v>
      </c>
      <c r="N167" s="356"/>
      <c r="O167" s="423">
        <v>0</v>
      </c>
      <c r="P167" s="356"/>
      <c r="Q167" s="423">
        <v>0</v>
      </c>
      <c r="R167" s="356"/>
      <c r="S167" s="423">
        <v>0</v>
      </c>
      <c r="T167" s="356"/>
      <c r="U167" s="423">
        <v>0</v>
      </c>
      <c r="V167" s="356"/>
      <c r="W167" s="423">
        <v>15246.82</v>
      </c>
      <c r="X167" s="356"/>
      <c r="Y167" s="420">
        <v>0.2</v>
      </c>
      <c r="Z167" s="356"/>
      <c r="AA167" s="423">
        <v>15246.82</v>
      </c>
      <c r="AB167" s="423">
        <v>17147.669999999998</v>
      </c>
      <c r="AC167" s="423">
        <v>254.11</v>
      </c>
      <c r="AD167" s="423">
        <v>17401.78</v>
      </c>
    </row>
    <row r="168" spans="1:30" ht="15" customHeight="1">
      <c r="A168" s="356"/>
      <c r="B168" s="356"/>
      <c r="C168" s="356" t="s">
        <v>736</v>
      </c>
      <c r="D168" s="356" t="s">
        <v>735</v>
      </c>
      <c r="E168" s="423">
        <v>0</v>
      </c>
      <c r="F168" s="356"/>
      <c r="G168" s="423">
        <v>0</v>
      </c>
      <c r="H168" s="356"/>
      <c r="I168" s="423">
        <v>13436.74</v>
      </c>
      <c r="J168" s="356"/>
      <c r="K168" s="423">
        <v>597.76</v>
      </c>
      <c r="L168" s="356"/>
      <c r="M168" s="423">
        <v>560.54</v>
      </c>
      <c r="N168" s="356"/>
      <c r="O168" s="423">
        <v>261.06</v>
      </c>
      <c r="P168" s="356"/>
      <c r="Q168" s="423">
        <v>32.47</v>
      </c>
      <c r="R168" s="356"/>
      <c r="S168" s="423">
        <v>0</v>
      </c>
      <c r="T168" s="356"/>
      <c r="U168" s="423">
        <v>0</v>
      </c>
      <c r="V168" s="356"/>
      <c r="W168" s="423">
        <v>14888.57</v>
      </c>
      <c r="X168" s="356"/>
      <c r="Y168" s="420">
        <v>0.2</v>
      </c>
      <c r="Z168" s="356"/>
      <c r="AA168" s="423">
        <v>14888.57</v>
      </c>
      <c r="AB168" s="423">
        <v>16296.07</v>
      </c>
      <c r="AC168" s="423">
        <v>248.14</v>
      </c>
      <c r="AD168" s="423">
        <v>16544.21</v>
      </c>
    </row>
    <row r="169" spans="1:30" ht="15" customHeight="1">
      <c r="A169" s="356"/>
      <c r="B169" s="356"/>
      <c r="C169" s="356" t="s">
        <v>734</v>
      </c>
      <c r="D169" s="356" t="s">
        <v>733</v>
      </c>
      <c r="E169" s="423">
        <v>0</v>
      </c>
      <c r="F169" s="356"/>
      <c r="G169" s="423">
        <v>0</v>
      </c>
      <c r="H169" s="356"/>
      <c r="I169" s="423">
        <v>8709.17</v>
      </c>
      <c r="J169" s="356"/>
      <c r="K169" s="423">
        <v>8819.49</v>
      </c>
      <c r="L169" s="356"/>
      <c r="M169" s="423">
        <v>11021.02</v>
      </c>
      <c r="N169" s="356"/>
      <c r="O169" s="423">
        <v>1776.92</v>
      </c>
      <c r="P169" s="356"/>
      <c r="Q169" s="423">
        <v>0</v>
      </c>
      <c r="R169" s="356"/>
      <c r="S169" s="423">
        <v>0</v>
      </c>
      <c r="T169" s="356"/>
      <c r="U169" s="423">
        <v>0</v>
      </c>
      <c r="V169" s="356"/>
      <c r="W169" s="423">
        <v>30326.6</v>
      </c>
      <c r="X169" s="356"/>
      <c r="Y169" s="420">
        <v>0.2</v>
      </c>
      <c r="Z169" s="356"/>
      <c r="AA169" s="422">
        <v>30326.6</v>
      </c>
      <c r="AB169" s="422">
        <v>26324.7</v>
      </c>
      <c r="AC169" s="422">
        <v>505.44</v>
      </c>
      <c r="AD169" s="422">
        <v>26830.14</v>
      </c>
    </row>
    <row r="170" spans="1:30" ht="15" customHeight="1">
      <c r="A170" s="356"/>
      <c r="B170" s="356"/>
      <c r="C170" s="356" t="s">
        <v>732</v>
      </c>
      <c r="D170" s="356" t="s">
        <v>731</v>
      </c>
      <c r="E170" s="423">
        <v>0</v>
      </c>
      <c r="F170" s="356"/>
      <c r="G170" s="423">
        <v>0</v>
      </c>
      <c r="H170" s="356"/>
      <c r="I170" s="423">
        <v>8889.24</v>
      </c>
      <c r="J170" s="356"/>
      <c r="K170" s="423">
        <v>627.99</v>
      </c>
      <c r="L170" s="356"/>
      <c r="M170" s="423">
        <v>766.92</v>
      </c>
      <c r="N170" s="356"/>
      <c r="O170" s="423">
        <v>1003.64</v>
      </c>
      <c r="P170" s="356"/>
      <c r="Q170" s="423">
        <v>1.88</v>
      </c>
      <c r="R170" s="356"/>
      <c r="S170" s="423">
        <v>0</v>
      </c>
      <c r="T170" s="356"/>
      <c r="U170" s="423">
        <v>0</v>
      </c>
      <c r="V170" s="356"/>
      <c r="W170" s="423">
        <v>11289.67</v>
      </c>
      <c r="X170" s="356"/>
      <c r="Y170" s="420">
        <v>0.2</v>
      </c>
      <c r="Z170" s="356"/>
      <c r="AA170" s="422">
        <v>11289.67</v>
      </c>
      <c r="AB170" s="422">
        <v>10951.28</v>
      </c>
      <c r="AC170" s="422">
        <v>188.16</v>
      </c>
      <c r="AD170" s="422">
        <v>11139.44</v>
      </c>
    </row>
    <row r="171" spans="1:30" ht="15" customHeight="1">
      <c r="A171" s="356"/>
      <c r="B171" s="356"/>
      <c r="C171" s="356" t="s">
        <v>730</v>
      </c>
      <c r="D171" s="356" t="s">
        <v>729</v>
      </c>
      <c r="E171" s="423">
        <v>0</v>
      </c>
      <c r="F171" s="356"/>
      <c r="G171" s="423">
        <v>0</v>
      </c>
      <c r="H171" s="356"/>
      <c r="I171" s="423">
        <v>20461.46</v>
      </c>
      <c r="J171" s="356"/>
      <c r="K171" s="423">
        <v>2915.79</v>
      </c>
      <c r="L171" s="356"/>
      <c r="M171" s="423">
        <v>48.45</v>
      </c>
      <c r="N171" s="356"/>
      <c r="O171" s="423">
        <v>0</v>
      </c>
      <c r="P171" s="356"/>
      <c r="Q171" s="423">
        <v>0</v>
      </c>
      <c r="R171" s="356"/>
      <c r="S171" s="423">
        <v>0</v>
      </c>
      <c r="T171" s="356"/>
      <c r="U171" s="423">
        <v>0</v>
      </c>
      <c r="V171" s="356"/>
      <c r="W171" s="423">
        <v>23425.7</v>
      </c>
      <c r="X171" s="356"/>
      <c r="Y171" s="420">
        <v>0.2</v>
      </c>
      <c r="Z171" s="356"/>
      <c r="AA171" s="422">
        <v>23425.7</v>
      </c>
      <c r="AB171" s="422">
        <v>25589.97</v>
      </c>
      <c r="AC171" s="422">
        <v>390.43</v>
      </c>
      <c r="AD171" s="422">
        <v>25980.400000000001</v>
      </c>
    </row>
    <row r="172" spans="1:30" ht="15" customHeight="1">
      <c r="A172" s="356"/>
      <c r="B172" s="356"/>
      <c r="C172" s="356" t="s">
        <v>728</v>
      </c>
      <c r="D172" s="356" t="s">
        <v>727</v>
      </c>
      <c r="E172" s="423">
        <v>0</v>
      </c>
      <c r="F172" s="356"/>
      <c r="G172" s="423">
        <v>0</v>
      </c>
      <c r="H172" s="356"/>
      <c r="I172" s="423">
        <v>19672.25</v>
      </c>
      <c r="J172" s="356"/>
      <c r="K172" s="423">
        <v>6806.96</v>
      </c>
      <c r="L172" s="356"/>
      <c r="M172" s="423">
        <v>15258.68</v>
      </c>
      <c r="N172" s="356"/>
      <c r="O172" s="423">
        <v>2066.7800000000002</v>
      </c>
      <c r="P172" s="356"/>
      <c r="Q172" s="423">
        <v>61.86</v>
      </c>
      <c r="R172" s="356"/>
      <c r="S172" s="423">
        <v>0</v>
      </c>
      <c r="T172" s="356"/>
      <c r="U172" s="423">
        <v>0</v>
      </c>
      <c r="V172" s="356"/>
      <c r="W172" s="423">
        <v>43866.53</v>
      </c>
      <c r="X172" s="356"/>
      <c r="Y172" s="420">
        <v>0.2</v>
      </c>
      <c r="Z172" s="356"/>
      <c r="AA172" s="422">
        <v>43866.53</v>
      </c>
      <c r="AB172" s="422">
        <v>38828.699999999997</v>
      </c>
      <c r="AC172" s="422">
        <v>731.11</v>
      </c>
      <c r="AD172" s="422">
        <v>39559.81</v>
      </c>
    </row>
    <row r="173" spans="1:30" ht="15" customHeight="1">
      <c r="A173" s="356"/>
      <c r="B173" s="356"/>
      <c r="C173" s="356" t="s">
        <v>726</v>
      </c>
      <c r="D173" s="356" t="s">
        <v>725</v>
      </c>
      <c r="E173" s="423">
        <v>0</v>
      </c>
      <c r="F173" s="356"/>
      <c r="G173" s="423">
        <v>0</v>
      </c>
      <c r="H173" s="356"/>
      <c r="I173" s="423">
        <v>3321.88</v>
      </c>
      <c r="J173" s="356"/>
      <c r="K173" s="423">
        <v>12049.5</v>
      </c>
      <c r="L173" s="356"/>
      <c r="M173" s="423">
        <v>970</v>
      </c>
      <c r="N173" s="356"/>
      <c r="O173" s="423">
        <v>0</v>
      </c>
      <c r="P173" s="356"/>
      <c r="Q173" s="423">
        <v>0</v>
      </c>
      <c r="R173" s="356"/>
      <c r="S173" s="423">
        <v>0</v>
      </c>
      <c r="T173" s="356"/>
      <c r="U173" s="423">
        <v>0</v>
      </c>
      <c r="V173" s="356"/>
      <c r="W173" s="423">
        <v>16341.38</v>
      </c>
      <c r="X173" s="356"/>
      <c r="Y173" s="420">
        <v>0.2</v>
      </c>
      <c r="Z173" s="356"/>
      <c r="AA173" s="422">
        <v>16341.38</v>
      </c>
      <c r="AB173" s="422">
        <v>14352.34</v>
      </c>
      <c r="AC173" s="422">
        <v>272.36</v>
      </c>
      <c r="AD173" s="422">
        <v>14624.7</v>
      </c>
    </row>
    <row r="174" spans="1:30" ht="15" customHeight="1">
      <c r="A174" s="356"/>
      <c r="B174" s="356"/>
      <c r="C174" s="356" t="s">
        <v>724</v>
      </c>
      <c r="D174" s="356" t="s">
        <v>723</v>
      </c>
      <c r="E174" s="423">
        <v>0</v>
      </c>
      <c r="F174" s="356"/>
      <c r="G174" s="423">
        <v>0</v>
      </c>
      <c r="H174" s="356"/>
      <c r="I174" s="423">
        <v>0</v>
      </c>
      <c r="J174" s="356"/>
      <c r="K174" s="423">
        <v>13481.19</v>
      </c>
      <c r="L174" s="356"/>
      <c r="M174" s="423">
        <v>100.56</v>
      </c>
      <c r="N174" s="356"/>
      <c r="O174" s="423">
        <v>0</v>
      </c>
      <c r="P174" s="356"/>
      <c r="Q174" s="423">
        <v>0</v>
      </c>
      <c r="R174" s="356"/>
      <c r="S174" s="423">
        <v>0</v>
      </c>
      <c r="T174" s="356"/>
      <c r="U174" s="423">
        <v>0</v>
      </c>
      <c r="V174" s="356"/>
      <c r="W174" s="423">
        <v>13581.75</v>
      </c>
      <c r="X174" s="356"/>
      <c r="Y174" s="420">
        <v>0.2</v>
      </c>
      <c r="Z174" s="356"/>
      <c r="AA174" s="422">
        <v>13581.75</v>
      </c>
      <c r="AB174" s="422">
        <v>11414.71</v>
      </c>
      <c r="AC174" s="422">
        <v>226.36</v>
      </c>
      <c r="AD174" s="422">
        <v>11641.07</v>
      </c>
    </row>
    <row r="175" spans="1:30" ht="15" customHeight="1">
      <c r="A175" s="356"/>
      <c r="B175" s="356"/>
      <c r="C175" s="356" t="s">
        <v>722</v>
      </c>
      <c r="D175" s="356" t="s">
        <v>721</v>
      </c>
      <c r="E175" s="423">
        <v>0</v>
      </c>
      <c r="F175" s="356"/>
      <c r="G175" s="423">
        <v>0</v>
      </c>
      <c r="H175" s="356"/>
      <c r="I175" s="423">
        <v>0</v>
      </c>
      <c r="J175" s="356"/>
      <c r="K175" s="423">
        <v>53724.17</v>
      </c>
      <c r="L175" s="356"/>
      <c r="M175" s="423">
        <v>13108.94</v>
      </c>
      <c r="N175" s="356"/>
      <c r="O175" s="423">
        <v>5458.93</v>
      </c>
      <c r="P175" s="356"/>
      <c r="Q175" s="423">
        <v>73.25</v>
      </c>
      <c r="R175" s="356"/>
      <c r="S175" s="423">
        <v>0.64</v>
      </c>
      <c r="T175" s="356"/>
      <c r="U175" s="423">
        <v>0</v>
      </c>
      <c r="V175" s="356"/>
      <c r="W175" s="423">
        <v>72365.929999999993</v>
      </c>
      <c r="X175" s="356"/>
      <c r="Y175" s="420">
        <v>0.2</v>
      </c>
      <c r="Z175" s="356"/>
      <c r="AA175" s="422">
        <v>72365.929999999993</v>
      </c>
      <c r="AB175" s="422">
        <v>69665.91</v>
      </c>
      <c r="AC175" s="422">
        <v>1206.0999999999999</v>
      </c>
      <c r="AD175" s="422">
        <v>70872.009999999995</v>
      </c>
    </row>
    <row r="176" spans="1:30" ht="15" customHeight="1">
      <c r="A176" s="356"/>
      <c r="B176" s="356"/>
      <c r="C176" s="356" t="s">
        <v>720</v>
      </c>
      <c r="D176" s="356" t="s">
        <v>719</v>
      </c>
      <c r="E176" s="423">
        <v>0</v>
      </c>
      <c r="F176" s="356"/>
      <c r="G176" s="423">
        <v>0</v>
      </c>
      <c r="H176" s="356"/>
      <c r="I176" s="423">
        <v>0</v>
      </c>
      <c r="J176" s="356"/>
      <c r="K176" s="423">
        <v>26119.11</v>
      </c>
      <c r="L176" s="356"/>
      <c r="M176" s="423">
        <v>18550.82</v>
      </c>
      <c r="N176" s="356"/>
      <c r="O176" s="423">
        <v>345.61</v>
      </c>
      <c r="P176" s="356"/>
      <c r="Q176" s="423">
        <v>0</v>
      </c>
      <c r="R176" s="356"/>
      <c r="S176" s="423">
        <v>0</v>
      </c>
      <c r="T176" s="356"/>
      <c r="U176" s="423">
        <v>0</v>
      </c>
      <c r="V176" s="356"/>
      <c r="W176" s="423">
        <v>45015.54</v>
      </c>
      <c r="X176" s="356"/>
      <c r="Y176" s="420">
        <v>0.2</v>
      </c>
      <c r="Z176" s="356"/>
      <c r="AA176" s="422">
        <v>45015.54</v>
      </c>
      <c r="AB176" s="422">
        <v>36785.339999999997</v>
      </c>
      <c r="AC176" s="422">
        <v>750.26</v>
      </c>
      <c r="AD176" s="422">
        <v>37535.599999999999</v>
      </c>
    </row>
    <row r="177" spans="1:30" ht="15" customHeight="1">
      <c r="A177" s="356"/>
      <c r="B177" s="356"/>
      <c r="C177" s="356" t="s">
        <v>718</v>
      </c>
      <c r="D177" s="356" t="s">
        <v>717</v>
      </c>
      <c r="E177" s="423">
        <v>0</v>
      </c>
      <c r="F177" s="356"/>
      <c r="G177" s="423">
        <v>0</v>
      </c>
      <c r="H177" s="356"/>
      <c r="I177" s="423">
        <v>0</v>
      </c>
      <c r="J177" s="356"/>
      <c r="K177" s="423">
        <v>48997.2</v>
      </c>
      <c r="L177" s="356"/>
      <c r="M177" s="423">
        <v>13604.83</v>
      </c>
      <c r="N177" s="356"/>
      <c r="O177" s="423">
        <v>618</v>
      </c>
      <c r="P177" s="356"/>
      <c r="Q177" s="423">
        <v>12.77</v>
      </c>
      <c r="R177" s="356"/>
      <c r="S177" s="423">
        <v>-3.99</v>
      </c>
      <c r="T177" s="356"/>
      <c r="U177" s="423">
        <v>0</v>
      </c>
      <c r="V177" s="356"/>
      <c r="W177" s="423">
        <v>63228.81</v>
      </c>
      <c r="X177" s="356"/>
      <c r="Y177" s="420">
        <v>0.2</v>
      </c>
      <c r="Z177" s="356"/>
      <c r="AA177" s="422">
        <v>63228.81</v>
      </c>
      <c r="AB177" s="422">
        <v>55032.91</v>
      </c>
      <c r="AC177" s="422">
        <v>1053.81</v>
      </c>
      <c r="AD177" s="422">
        <v>56086.720000000001</v>
      </c>
    </row>
    <row r="178" spans="1:30" ht="15" customHeight="1">
      <c r="A178" s="356"/>
      <c r="B178" s="356"/>
      <c r="C178" s="356" t="s">
        <v>714</v>
      </c>
      <c r="D178" s="356" t="s">
        <v>716</v>
      </c>
      <c r="E178" s="423">
        <v>0</v>
      </c>
      <c r="F178" s="356"/>
      <c r="G178" s="423">
        <v>0</v>
      </c>
      <c r="H178" s="356"/>
      <c r="I178" s="423">
        <v>0</v>
      </c>
      <c r="J178" s="356"/>
      <c r="K178" s="423">
        <v>0</v>
      </c>
      <c r="L178" s="356"/>
      <c r="M178" s="423">
        <v>3424.97</v>
      </c>
      <c r="N178" s="356"/>
      <c r="O178" s="423">
        <v>10867.88</v>
      </c>
      <c r="P178" s="356"/>
      <c r="Q178" s="423">
        <v>2030.72</v>
      </c>
      <c r="R178" s="356"/>
      <c r="S178" s="423">
        <v>-0.03</v>
      </c>
      <c r="T178" s="356"/>
      <c r="U178" s="423">
        <v>0</v>
      </c>
      <c r="V178" s="356"/>
      <c r="W178" s="423">
        <v>16323.54</v>
      </c>
      <c r="X178" s="356"/>
      <c r="Y178" s="420">
        <v>0.2</v>
      </c>
      <c r="Z178" s="356"/>
      <c r="AA178" s="422">
        <v>16323.54</v>
      </c>
      <c r="AB178" s="422">
        <v>8969</v>
      </c>
      <c r="AC178" s="422">
        <v>272.06</v>
      </c>
      <c r="AD178" s="422">
        <v>9241.06</v>
      </c>
    </row>
    <row r="179" spans="1:30" ht="15" customHeight="1">
      <c r="A179" s="356"/>
      <c r="B179" s="356"/>
      <c r="C179" s="356" t="s">
        <v>714</v>
      </c>
      <c r="D179" s="356" t="s">
        <v>715</v>
      </c>
      <c r="E179" s="423">
        <v>0</v>
      </c>
      <c r="F179" s="356"/>
      <c r="G179" s="423">
        <v>0</v>
      </c>
      <c r="H179" s="356"/>
      <c r="I179" s="423">
        <v>0</v>
      </c>
      <c r="J179" s="356"/>
      <c r="K179" s="423">
        <v>0</v>
      </c>
      <c r="L179" s="356"/>
      <c r="M179" s="423">
        <v>5678.86</v>
      </c>
      <c r="N179" s="356"/>
      <c r="O179" s="423">
        <v>6800.74</v>
      </c>
      <c r="P179" s="356"/>
      <c r="Q179" s="423">
        <v>1580.3</v>
      </c>
      <c r="R179" s="356"/>
      <c r="S179" s="423">
        <v>-2.97</v>
      </c>
      <c r="T179" s="356"/>
      <c r="U179" s="423">
        <v>0</v>
      </c>
      <c r="V179" s="356"/>
      <c r="W179" s="423">
        <v>14056.93</v>
      </c>
      <c r="X179" s="356"/>
      <c r="Y179" s="420">
        <v>0.2</v>
      </c>
      <c r="Z179" s="356"/>
      <c r="AA179" s="422">
        <v>14056.93</v>
      </c>
      <c r="AB179" s="422">
        <v>8762.4699999999993</v>
      </c>
      <c r="AC179" s="422">
        <v>234.28</v>
      </c>
      <c r="AD179" s="422">
        <v>8996.75</v>
      </c>
    </row>
    <row r="180" spans="1:30" ht="15" customHeight="1">
      <c r="A180" s="356"/>
      <c r="B180" s="356"/>
      <c r="C180" s="356" t="s">
        <v>714</v>
      </c>
      <c r="D180" s="356" t="s">
        <v>713</v>
      </c>
      <c r="E180" s="423">
        <v>0</v>
      </c>
      <c r="F180" s="356"/>
      <c r="G180" s="423">
        <v>0</v>
      </c>
      <c r="H180" s="356"/>
      <c r="I180" s="423">
        <v>0</v>
      </c>
      <c r="J180" s="356"/>
      <c r="K180" s="423">
        <v>0</v>
      </c>
      <c r="L180" s="356"/>
      <c r="M180" s="423">
        <v>3427.58</v>
      </c>
      <c r="N180" s="356"/>
      <c r="O180" s="423">
        <v>3688.91</v>
      </c>
      <c r="P180" s="356"/>
      <c r="Q180" s="423">
        <v>654.78</v>
      </c>
      <c r="R180" s="356"/>
      <c r="S180" s="423">
        <v>0</v>
      </c>
      <c r="T180" s="356"/>
      <c r="U180" s="423">
        <v>0</v>
      </c>
      <c r="V180" s="356"/>
      <c r="W180" s="423">
        <v>7771.27</v>
      </c>
      <c r="X180" s="356"/>
      <c r="Y180" s="420">
        <v>0.2</v>
      </c>
      <c r="Z180" s="356"/>
      <c r="AA180" s="422">
        <v>7771.27</v>
      </c>
      <c r="AB180" s="422">
        <v>4770.75</v>
      </c>
      <c r="AC180" s="422">
        <v>129.52000000000001</v>
      </c>
      <c r="AD180" s="422">
        <v>4900.2700000000004</v>
      </c>
    </row>
    <row r="181" spans="1:30" ht="15" customHeight="1">
      <c r="A181" s="356"/>
      <c r="B181" s="356"/>
      <c r="C181" s="356" t="s">
        <v>712</v>
      </c>
      <c r="D181" s="356" t="s">
        <v>711</v>
      </c>
      <c r="E181" s="423">
        <v>0</v>
      </c>
      <c r="F181" s="356"/>
      <c r="G181" s="423">
        <v>0</v>
      </c>
      <c r="H181" s="356"/>
      <c r="I181" s="423">
        <v>0</v>
      </c>
      <c r="J181" s="356"/>
      <c r="K181" s="423">
        <v>0</v>
      </c>
      <c r="L181" s="356"/>
      <c r="M181" s="423">
        <v>49439.27</v>
      </c>
      <c r="N181" s="356"/>
      <c r="O181" s="423">
        <v>1834.47</v>
      </c>
      <c r="P181" s="356"/>
      <c r="Q181" s="423">
        <v>3281.29</v>
      </c>
      <c r="R181" s="356"/>
      <c r="S181" s="423">
        <v>1.4</v>
      </c>
      <c r="T181" s="356"/>
      <c r="U181" s="423">
        <v>0</v>
      </c>
      <c r="V181" s="356"/>
      <c r="W181" s="423">
        <v>54556.43</v>
      </c>
      <c r="X181" s="356"/>
      <c r="Y181" s="420">
        <v>0.2</v>
      </c>
      <c r="Z181" s="356"/>
      <c r="AA181" s="422">
        <v>54556.43</v>
      </c>
      <c r="AB181" s="422">
        <v>37511.279999999999</v>
      </c>
      <c r="AC181" s="422">
        <v>909.27</v>
      </c>
      <c r="AD181" s="422">
        <v>38420.550000000003</v>
      </c>
    </row>
    <row r="182" spans="1:30" ht="15" customHeight="1">
      <c r="A182" s="356"/>
      <c r="B182" s="356"/>
      <c r="C182" s="356" t="s">
        <v>710</v>
      </c>
      <c r="D182" s="356" t="s">
        <v>709</v>
      </c>
      <c r="E182" s="423">
        <v>0</v>
      </c>
      <c r="F182" s="356"/>
      <c r="G182" s="423">
        <v>0</v>
      </c>
      <c r="H182" s="356"/>
      <c r="I182" s="423">
        <v>0</v>
      </c>
      <c r="J182" s="356"/>
      <c r="K182" s="423">
        <v>9158.82</v>
      </c>
      <c r="L182" s="356"/>
      <c r="M182" s="423">
        <v>1904.21</v>
      </c>
      <c r="N182" s="356"/>
      <c r="O182" s="423">
        <v>0</v>
      </c>
      <c r="P182" s="356"/>
      <c r="Q182" s="423">
        <v>0</v>
      </c>
      <c r="R182" s="356"/>
      <c r="S182" s="423">
        <v>0</v>
      </c>
      <c r="T182" s="356"/>
      <c r="U182" s="423">
        <v>0</v>
      </c>
      <c r="V182" s="356"/>
      <c r="W182" s="423">
        <v>11063.03</v>
      </c>
      <c r="X182" s="356"/>
      <c r="Y182" s="420">
        <v>0.2</v>
      </c>
      <c r="Z182" s="356"/>
      <c r="AA182" s="422">
        <v>11063.03</v>
      </c>
      <c r="AB182" s="422">
        <v>10338.11</v>
      </c>
      <c r="AC182" s="422">
        <v>184.38</v>
      </c>
      <c r="AD182" s="422">
        <v>10522.49</v>
      </c>
    </row>
    <row r="183" spans="1:30" ht="15" customHeight="1">
      <c r="A183" s="356"/>
      <c r="B183" s="356"/>
      <c r="C183" s="356" t="s">
        <v>708</v>
      </c>
      <c r="D183" s="356" t="s">
        <v>707</v>
      </c>
      <c r="E183" s="356"/>
      <c r="F183" s="356"/>
      <c r="G183" s="423">
        <v>0</v>
      </c>
      <c r="H183" s="356"/>
      <c r="I183" s="423">
        <v>0</v>
      </c>
      <c r="J183" s="356"/>
      <c r="K183" s="423">
        <v>0</v>
      </c>
      <c r="L183" s="356"/>
      <c r="M183" s="423">
        <v>0</v>
      </c>
      <c r="N183" s="356"/>
      <c r="O183" s="423">
        <v>5230.96</v>
      </c>
      <c r="P183" s="356"/>
      <c r="Q183" s="423">
        <v>6384.13</v>
      </c>
      <c r="R183" s="356"/>
      <c r="S183" s="423">
        <v>-0.19</v>
      </c>
      <c r="T183" s="356"/>
      <c r="U183" s="423">
        <v>0</v>
      </c>
      <c r="V183" s="356"/>
      <c r="W183" s="423">
        <v>11614.9</v>
      </c>
      <c r="X183" s="356"/>
      <c r="Y183" s="420">
        <v>0.2</v>
      </c>
      <c r="Z183" s="356"/>
      <c r="AA183" s="422">
        <v>11614.9</v>
      </c>
      <c r="AB183" s="422">
        <v>5018.5200000000004</v>
      </c>
      <c r="AC183" s="422">
        <v>193.58</v>
      </c>
      <c r="AD183" s="422">
        <v>5212.1000000000004</v>
      </c>
    </row>
    <row r="184" spans="1:30" ht="15" customHeight="1">
      <c r="A184" s="356"/>
      <c r="B184" s="356"/>
      <c r="C184" s="356" t="s">
        <v>706</v>
      </c>
      <c r="D184" s="356" t="s">
        <v>705</v>
      </c>
      <c r="E184" s="423">
        <v>0</v>
      </c>
      <c r="F184" s="356"/>
      <c r="G184" s="423">
        <v>0</v>
      </c>
      <c r="H184" s="356"/>
      <c r="I184" s="423">
        <v>0</v>
      </c>
      <c r="J184" s="356"/>
      <c r="K184" s="356"/>
      <c r="L184" s="356"/>
      <c r="M184" s="423">
        <v>35159.82</v>
      </c>
      <c r="N184" s="356"/>
      <c r="O184" s="423">
        <v>31112.3</v>
      </c>
      <c r="P184" s="356"/>
      <c r="Q184" s="423">
        <v>18025.55</v>
      </c>
      <c r="R184" s="356"/>
      <c r="S184" s="423">
        <v>97.53</v>
      </c>
      <c r="T184" s="356"/>
      <c r="U184" s="423">
        <v>0</v>
      </c>
      <c r="V184" s="356"/>
      <c r="W184" s="423">
        <v>84395.199999999997</v>
      </c>
      <c r="X184" s="356"/>
      <c r="Y184" s="420">
        <v>0.2</v>
      </c>
      <c r="Z184" s="356"/>
      <c r="AA184" s="422">
        <v>84395.199999999997</v>
      </c>
      <c r="AB184" s="422">
        <v>43715.55</v>
      </c>
      <c r="AC184" s="422">
        <v>1406.59</v>
      </c>
      <c r="AD184" s="422">
        <v>45122.14</v>
      </c>
    </row>
    <row r="185" spans="1:30" ht="15" customHeight="1">
      <c r="A185" s="356"/>
      <c r="B185" s="356"/>
      <c r="C185" s="356" t="s">
        <v>704</v>
      </c>
      <c r="D185" s="356" t="s">
        <v>703</v>
      </c>
      <c r="E185" s="356"/>
      <c r="F185" s="356"/>
      <c r="G185" s="356"/>
      <c r="H185" s="356"/>
      <c r="I185" s="356"/>
      <c r="J185" s="356"/>
      <c r="K185" s="356"/>
      <c r="L185" s="356"/>
      <c r="M185" s="356"/>
      <c r="N185" s="356"/>
      <c r="O185" s="356"/>
      <c r="P185" s="356"/>
      <c r="Q185" s="356"/>
      <c r="R185" s="356"/>
      <c r="S185" s="423">
        <v>21907.919999999998</v>
      </c>
      <c r="T185" s="356"/>
      <c r="U185" s="423">
        <v>664.88</v>
      </c>
      <c r="V185" s="356"/>
      <c r="W185" s="423">
        <v>22572.799999999999</v>
      </c>
      <c r="X185" s="356"/>
      <c r="Y185" s="420">
        <v>0.2</v>
      </c>
      <c r="AA185" s="422">
        <v>22572.799999999999</v>
      </c>
      <c r="AB185" s="422">
        <v>1467.56</v>
      </c>
      <c r="AC185" s="422">
        <v>376.21</v>
      </c>
      <c r="AD185" s="422">
        <v>1843.77</v>
      </c>
    </row>
    <row r="186" spans="1:30" ht="15" customHeight="1">
      <c r="A186" s="356"/>
      <c r="B186" s="356"/>
      <c r="C186" s="356" t="s">
        <v>702</v>
      </c>
      <c r="D186" s="356" t="s">
        <v>701</v>
      </c>
      <c r="E186" s="421">
        <v>0</v>
      </c>
      <c r="F186" s="356"/>
      <c r="G186" s="421">
        <v>0</v>
      </c>
      <c r="H186" s="356"/>
      <c r="I186" s="421">
        <v>0</v>
      </c>
      <c r="J186" s="356"/>
      <c r="K186" s="365"/>
      <c r="L186" s="356"/>
      <c r="M186" s="421">
        <v>0</v>
      </c>
      <c r="N186" s="356"/>
      <c r="O186" s="421">
        <v>0</v>
      </c>
      <c r="P186" s="356"/>
      <c r="Q186" s="421">
        <v>2375.8000000000002</v>
      </c>
      <c r="R186" s="356"/>
      <c r="S186" s="421">
        <v>985.75</v>
      </c>
      <c r="T186" s="356"/>
      <c r="U186" s="421">
        <v>0</v>
      </c>
      <c r="V186" s="356"/>
      <c r="W186" s="421">
        <v>3361.55</v>
      </c>
      <c r="X186" s="356"/>
      <c r="Y186" s="420">
        <v>0.2</v>
      </c>
      <c r="AA186" s="419">
        <v>3361.55</v>
      </c>
      <c r="AB186" s="419">
        <v>873.34</v>
      </c>
      <c r="AC186" s="419">
        <v>56.03</v>
      </c>
      <c r="AD186" s="419">
        <v>929.37</v>
      </c>
    </row>
    <row r="187" spans="1:30" ht="15" customHeight="1" thickBot="1">
      <c r="A187" s="356"/>
      <c r="B187" s="356"/>
      <c r="C187" s="356" t="s">
        <v>88</v>
      </c>
      <c r="D187" s="356"/>
      <c r="E187" s="418">
        <v>288410.62</v>
      </c>
      <c r="F187" s="356"/>
      <c r="G187" s="418">
        <v>209240.05</v>
      </c>
      <c r="H187" s="356"/>
      <c r="I187" s="418">
        <v>788347.58</v>
      </c>
      <c r="J187" s="356"/>
      <c r="K187" s="418">
        <v>1156549.56</v>
      </c>
      <c r="L187" s="356"/>
      <c r="M187" s="418">
        <v>1042123.16</v>
      </c>
      <c r="N187" s="356"/>
      <c r="O187" s="418">
        <v>343401.83</v>
      </c>
      <c r="P187" s="356"/>
      <c r="Q187" s="418">
        <v>136775.07999999999</v>
      </c>
      <c r="R187" s="356"/>
      <c r="S187" s="418">
        <v>64235.96</v>
      </c>
      <c r="T187" s="356"/>
      <c r="U187" s="418">
        <v>1958.81</v>
      </c>
      <c r="V187" s="356"/>
      <c r="W187" s="418">
        <v>4031042.65</v>
      </c>
      <c r="X187" s="356"/>
      <c r="Y187" s="356"/>
      <c r="AA187" s="417">
        <v>4031042.65</v>
      </c>
      <c r="AB187" s="417">
        <v>3622701.09</v>
      </c>
      <c r="AC187" s="417">
        <v>67184.039999999994</v>
      </c>
      <c r="AD187" s="417">
        <v>3689885.13</v>
      </c>
    </row>
    <row r="188" spans="1:30" ht="15" customHeight="1" thickTop="1">
      <c r="A188" s="356"/>
      <c r="B188" s="356"/>
      <c r="C188" s="356"/>
      <c r="D188" s="356"/>
      <c r="E188" s="351"/>
      <c r="F188" s="356"/>
      <c r="G188" s="351"/>
      <c r="H188" s="356"/>
      <c r="I188" s="351"/>
      <c r="J188" s="356"/>
      <c r="K188" s="351"/>
      <c r="L188" s="356"/>
      <c r="M188" s="351"/>
      <c r="N188" s="356"/>
      <c r="O188" s="351"/>
      <c r="P188" s="356"/>
      <c r="Q188" s="351"/>
      <c r="R188" s="356"/>
      <c r="S188" s="351"/>
      <c r="T188" s="356"/>
      <c r="U188" s="351"/>
      <c r="V188" s="356"/>
      <c r="W188" s="351"/>
      <c r="X188" s="356"/>
      <c r="Y188" s="356"/>
      <c r="AA188" s="416"/>
      <c r="AB188" s="416"/>
      <c r="AC188" s="416"/>
      <c r="AD188" s="416"/>
    </row>
    <row r="189" spans="1:30" ht="15" customHeight="1">
      <c r="AA189" s="368"/>
      <c r="AB189" s="368"/>
      <c r="AC189" s="368"/>
      <c r="AD189" s="368"/>
    </row>
    <row r="190" spans="1:30" ht="15" customHeight="1">
      <c r="P190" s="763" t="s">
        <v>700</v>
      </c>
      <c r="Q190" s="761"/>
      <c r="R190" s="761"/>
      <c r="S190" s="761"/>
      <c r="T190" s="761"/>
      <c r="U190" s="761"/>
      <c r="V190" s="761"/>
      <c r="W190" s="761"/>
      <c r="X190" s="761"/>
      <c r="Y190" s="761"/>
      <c r="AA190" s="415">
        <f>AA187-(AD187)</f>
        <v>341157.52</v>
      </c>
      <c r="AB190" s="368"/>
      <c r="AC190" s="368"/>
      <c r="AD190" s="368"/>
    </row>
    <row r="191" spans="1:30" ht="15" customHeight="1"/>
    <row r="192" spans="1:30" ht="15" customHeight="1"/>
    <row r="193" spans="1:3" ht="15" customHeight="1">
      <c r="A193" s="350" t="s">
        <v>53</v>
      </c>
      <c r="C193" s="350" t="s">
        <v>54</v>
      </c>
    </row>
    <row r="194" spans="1:3" ht="15" customHeight="1"/>
  </sheetData>
  <mergeCells count="5">
    <mergeCell ref="A1:C1"/>
    <mergeCell ref="A3:G3"/>
    <mergeCell ref="A4:G4"/>
    <mergeCell ref="A2:I2"/>
    <mergeCell ref="P190:Y19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4F77-F3AF-4437-A4A7-1AC130FE4945}">
  <sheetPr transitionEvaluation="1">
    <pageSetUpPr autoPageBreaks="0" fitToPage="1"/>
  </sheetPr>
  <dimension ref="A1:G45"/>
  <sheetViews>
    <sheetView showGridLines="0" defaultGridColor="0" colorId="22" zoomScale="110" zoomScaleNormal="110" zoomScaleSheetLayoutView="130" workbookViewId="0">
      <pane ySplit="5" topLeftCell="A6" activePane="bottomLeft" state="frozen"/>
      <selection activeCell="P32" sqref="P32:P34"/>
      <selection pane="bottomLeft" activeCell="C21" sqref="C21"/>
    </sheetView>
  </sheetViews>
  <sheetFormatPr defaultColWidth="21" defaultRowHeight="12.5"/>
  <cols>
    <col min="1" max="1" width="10.26953125" style="29" customWidth="1"/>
    <col min="2" max="2" width="102.26953125" style="29" bestFit="1" customWidth="1"/>
    <col min="3" max="3" width="13.7265625" style="29" bestFit="1" customWidth="1"/>
    <col min="4" max="4" width="21.453125" style="29" customWidth="1"/>
    <col min="5" max="5" width="39.54296875" style="29" bestFit="1" customWidth="1"/>
    <col min="6" max="16384" width="21" style="29"/>
  </cols>
  <sheetData>
    <row r="1" spans="1:7" ht="13">
      <c r="A1" s="676" t="s">
        <v>51</v>
      </c>
      <c r="B1" s="676"/>
      <c r="C1" s="676"/>
      <c r="D1" s="676"/>
    </row>
    <row r="2" spans="1:7" ht="13">
      <c r="A2" s="676" t="s">
        <v>29</v>
      </c>
      <c r="B2" s="676"/>
      <c r="C2" s="676"/>
      <c r="D2" s="676"/>
    </row>
    <row r="3" spans="1:7" ht="13">
      <c r="A3" s="676" t="s">
        <v>83</v>
      </c>
      <c r="B3" s="676"/>
      <c r="C3" s="676"/>
      <c r="D3" s="676"/>
    </row>
    <row r="5" spans="1:7" ht="24.75" customHeight="1">
      <c r="A5" s="30" t="s">
        <v>103</v>
      </c>
      <c r="B5" s="31" t="s">
        <v>104</v>
      </c>
      <c r="C5" s="31" t="s">
        <v>105</v>
      </c>
      <c r="D5" s="31" t="s">
        <v>106</v>
      </c>
      <c r="E5" s="32"/>
    </row>
    <row r="6" spans="1:7" ht="13">
      <c r="A6" s="33">
        <v>1</v>
      </c>
      <c r="B6" s="34" t="s">
        <v>107</v>
      </c>
      <c r="C6" s="35"/>
      <c r="D6" s="36"/>
    </row>
    <row r="7" spans="1:7">
      <c r="A7" s="33">
        <v>2</v>
      </c>
      <c r="B7" s="37" t="s">
        <v>108</v>
      </c>
      <c r="C7" s="33" t="s">
        <v>55</v>
      </c>
      <c r="D7" s="38">
        <f>-'[3]PPA_RIDER JE Detail'!P6-D8</f>
        <v>-14265129.262761442</v>
      </c>
    </row>
    <row r="8" spans="1:7">
      <c r="A8" s="33"/>
      <c r="B8" s="37" t="s">
        <v>109</v>
      </c>
      <c r="C8" s="33"/>
      <c r="D8" s="38">
        <v>-2506318</v>
      </c>
    </row>
    <row r="9" spans="1:7" ht="13">
      <c r="A9" s="33">
        <v>3</v>
      </c>
      <c r="B9" s="39" t="s">
        <v>110</v>
      </c>
      <c r="C9" s="35"/>
      <c r="D9" s="40">
        <f>SUM(D7:D8)</f>
        <v>-16771447.262761442</v>
      </c>
    </row>
    <row r="10" spans="1:7">
      <c r="A10" s="33"/>
      <c r="B10" s="37"/>
      <c r="C10" s="41"/>
      <c r="D10" s="42"/>
    </row>
    <row r="11" spans="1:7" ht="13">
      <c r="A11" s="33">
        <v>4</v>
      </c>
      <c r="B11" s="34" t="s">
        <v>111</v>
      </c>
      <c r="C11" s="33"/>
      <c r="D11" s="43"/>
      <c r="F11" s="44"/>
      <c r="G11" s="44"/>
    </row>
    <row r="12" spans="1:7">
      <c r="A12" s="33">
        <f>A11+1</f>
        <v>5</v>
      </c>
      <c r="B12" s="29" t="s">
        <v>112</v>
      </c>
      <c r="C12" s="33">
        <v>5550.1530000000002</v>
      </c>
      <c r="D12" s="45">
        <f>-'[3]PPA_RIDER JE Detail'!P61</f>
        <v>0</v>
      </c>
      <c r="F12" s="44"/>
      <c r="G12" s="44"/>
    </row>
    <row r="13" spans="1:7">
      <c r="A13" s="33">
        <f t="shared" ref="A13:A16" si="0">A12+1</f>
        <v>6</v>
      </c>
      <c r="B13" s="29" t="s">
        <v>113</v>
      </c>
      <c r="C13" s="33">
        <v>555</v>
      </c>
      <c r="D13" s="46">
        <f>-'[3]PPA_RIDER JE Detail'!P49</f>
        <v>3880378.59</v>
      </c>
      <c r="F13" s="44"/>
      <c r="G13" s="44"/>
    </row>
    <row r="14" spans="1:7">
      <c r="A14" s="33">
        <f t="shared" si="0"/>
        <v>7</v>
      </c>
      <c r="B14" s="29" t="s">
        <v>114</v>
      </c>
      <c r="C14" s="33">
        <v>555</v>
      </c>
      <c r="D14" s="42">
        <f>-'[3]PPA_RIDER JE Detail'!P38</f>
        <v>-3268780.34</v>
      </c>
      <c r="F14" s="44"/>
      <c r="G14" s="44"/>
    </row>
    <row r="15" spans="1:7">
      <c r="A15" s="33">
        <f t="shared" si="0"/>
        <v>8</v>
      </c>
      <c r="B15" s="29" t="s">
        <v>115</v>
      </c>
      <c r="C15" s="33">
        <v>566</v>
      </c>
      <c r="D15" s="42">
        <f>'[3]PPA_RIDER JE Detail'!P53</f>
        <v>-4174374.152761437</v>
      </c>
      <c r="F15" s="44"/>
      <c r="G15" s="44"/>
    </row>
    <row r="16" spans="1:7" ht="13">
      <c r="A16" s="33">
        <f t="shared" si="0"/>
        <v>9</v>
      </c>
      <c r="B16" s="39" t="s">
        <v>116</v>
      </c>
      <c r="C16" s="47"/>
      <c r="D16" s="40">
        <f>SUM(D12:D15)</f>
        <v>-3562775.902761437</v>
      </c>
    </row>
    <row r="17" spans="1:5" ht="13">
      <c r="A17" s="48"/>
      <c r="B17" s="49"/>
      <c r="C17" s="49"/>
      <c r="D17" s="50"/>
    </row>
    <row r="18" spans="1:5" ht="13">
      <c r="A18" s="48"/>
      <c r="B18" s="49"/>
      <c r="C18" s="49"/>
      <c r="D18" s="50"/>
    </row>
    <row r="19" spans="1:5" ht="13">
      <c r="A19" s="48">
        <f>1+A16</f>
        <v>10</v>
      </c>
      <c r="B19" s="51" t="s">
        <v>117</v>
      </c>
      <c r="C19" s="49"/>
      <c r="D19" s="50"/>
    </row>
    <row r="20" spans="1:5">
      <c r="A20" s="48">
        <f>A19+1</f>
        <v>11</v>
      </c>
      <c r="B20" s="52" t="s">
        <v>118</v>
      </c>
      <c r="C20" s="33" t="s">
        <v>119</v>
      </c>
      <c r="D20" s="53">
        <f>-D16</f>
        <v>3562775.902761437</v>
      </c>
    </row>
    <row r="21" spans="1:5">
      <c r="A21" s="48">
        <f>1+A20</f>
        <v>12</v>
      </c>
      <c r="B21" s="52" t="s">
        <v>120</v>
      </c>
      <c r="C21" s="33" t="s">
        <v>121</v>
      </c>
      <c r="D21" s="53">
        <f>+'[3]PPA_RIDER JE Detail'!P26-'[3]PPA_RIDER JE Detail'!P28</f>
        <v>0</v>
      </c>
    </row>
    <row r="22" spans="1:5">
      <c r="A22" s="48">
        <f>+A21+1</f>
        <v>13</v>
      </c>
      <c r="B22" s="52" t="s">
        <v>122</v>
      </c>
      <c r="C22" s="33" t="s">
        <v>55</v>
      </c>
      <c r="D22" s="54">
        <f>'[3]PPA_RIDER JE Detail'!P32</f>
        <v>11027802.960000005</v>
      </c>
    </row>
    <row r="23" spans="1:5">
      <c r="A23" s="48">
        <f>A22+1</f>
        <v>14</v>
      </c>
      <c r="B23" s="52" t="s">
        <v>123</v>
      </c>
      <c r="C23" s="48">
        <v>431</v>
      </c>
      <c r="D23" s="54">
        <f>'[3]PPA_RIDER JE Detail'!P59</f>
        <v>0</v>
      </c>
    </row>
    <row r="24" spans="1:5">
      <c r="A24" s="48">
        <f t="shared" ref="A24:A28" si="1">A23+1</f>
        <v>15</v>
      </c>
      <c r="B24" s="52" t="s">
        <v>124</v>
      </c>
      <c r="C24" s="48" t="s">
        <v>55</v>
      </c>
      <c r="D24" s="54">
        <f>'[3]PPA_RIDER JE Detail'!P60</f>
        <v>0</v>
      </c>
    </row>
    <row r="25" spans="1:5">
      <c r="A25" s="48">
        <f t="shared" si="1"/>
        <v>16</v>
      </c>
      <c r="B25" s="52" t="s">
        <v>125</v>
      </c>
      <c r="C25" s="48">
        <v>431</v>
      </c>
      <c r="D25" s="54">
        <f>'[3]PPA_RIDER JE Detail'!P62</f>
        <v>0</v>
      </c>
    </row>
    <row r="26" spans="1:5">
      <c r="A26" s="48">
        <f t="shared" si="1"/>
        <v>17</v>
      </c>
      <c r="B26" s="52" t="s">
        <v>126</v>
      </c>
      <c r="C26" s="48" t="s">
        <v>55</v>
      </c>
      <c r="D26" s="54">
        <f>'[3]PPA_RIDER JE Detail'!P63</f>
        <v>0</v>
      </c>
    </row>
    <row r="27" spans="1:5">
      <c r="A27" s="48">
        <f t="shared" si="1"/>
        <v>18</v>
      </c>
      <c r="B27" s="52" t="s">
        <v>127</v>
      </c>
      <c r="C27" s="48" t="s">
        <v>55</v>
      </c>
      <c r="D27" s="55">
        <f>'[3]PPA_RIDER JE Detail'!P40</f>
        <v>-325449.60000000003</v>
      </c>
    </row>
    <row r="28" spans="1:5" s="49" customFormat="1">
      <c r="A28" s="48">
        <f t="shared" si="1"/>
        <v>19</v>
      </c>
      <c r="B28" s="52" t="s">
        <v>128</v>
      </c>
      <c r="C28" s="33" t="s">
        <v>55</v>
      </c>
      <c r="D28" s="56">
        <f>'[3]PPA_RIDER JE Detail'!P34</f>
        <v>2506318</v>
      </c>
    </row>
    <row r="29" spans="1:5">
      <c r="A29" s="48">
        <f>1+A28</f>
        <v>20</v>
      </c>
      <c r="B29" s="49" t="s">
        <v>129</v>
      </c>
      <c r="C29" s="49"/>
      <c r="D29" s="57">
        <f>SUM(D19:D28)</f>
        <v>16771447.262761442</v>
      </c>
    </row>
    <row r="30" spans="1:5">
      <c r="A30" s="48">
        <f>1+A29</f>
        <v>21</v>
      </c>
      <c r="B30" s="49"/>
      <c r="C30" s="49"/>
      <c r="D30" s="57"/>
    </row>
    <row r="31" spans="1:5">
      <c r="A31" s="48">
        <f>A30+1</f>
        <v>22</v>
      </c>
      <c r="B31" s="49" t="s">
        <v>130</v>
      </c>
      <c r="C31" s="49"/>
      <c r="D31" s="57">
        <f>+D9</f>
        <v>-16771447.262761442</v>
      </c>
      <c r="E31" s="45"/>
    </row>
    <row r="32" spans="1:5">
      <c r="A32" s="49"/>
      <c r="B32" s="49"/>
      <c r="C32" s="49"/>
      <c r="D32" s="57"/>
    </row>
    <row r="33" spans="1:4">
      <c r="A33" s="48">
        <v>22</v>
      </c>
      <c r="B33" s="58" t="s">
        <v>131</v>
      </c>
      <c r="C33" s="58"/>
      <c r="D33" s="59">
        <f>+D29+D31</f>
        <v>0</v>
      </c>
    </row>
    <row r="34" spans="1:4">
      <c r="A34" s="60"/>
      <c r="B34" s="60"/>
      <c r="C34" s="60"/>
      <c r="D34" s="43"/>
    </row>
    <row r="35" spans="1:4">
      <c r="A35" s="61"/>
      <c r="B35" s="60"/>
      <c r="C35" s="60"/>
      <c r="D35" s="58"/>
    </row>
    <row r="36" spans="1:4">
      <c r="A36" s="62"/>
      <c r="B36" s="60"/>
      <c r="C36" s="60"/>
      <c r="D36" s="60"/>
    </row>
    <row r="37" spans="1:4">
      <c r="A37" s="60"/>
      <c r="B37" s="60"/>
      <c r="C37" s="60"/>
      <c r="D37" s="60"/>
    </row>
    <row r="38" spans="1:4">
      <c r="A38" s="60"/>
      <c r="B38" s="60"/>
      <c r="C38" s="60"/>
      <c r="D38" s="60"/>
    </row>
    <row r="39" spans="1:4">
      <c r="A39" s="60"/>
      <c r="B39" s="60"/>
      <c r="C39" s="60"/>
      <c r="D39" s="60"/>
    </row>
    <row r="40" spans="1:4">
      <c r="A40" s="60"/>
      <c r="B40" s="63"/>
      <c r="C40" s="63"/>
      <c r="D40" s="60"/>
    </row>
    <row r="41" spans="1:4">
      <c r="A41" s="677"/>
      <c r="B41" s="677"/>
      <c r="C41" s="64"/>
      <c r="D41" s="65"/>
    </row>
    <row r="42" spans="1:4">
      <c r="A42" s="677"/>
      <c r="B42" s="677"/>
      <c r="C42" s="64"/>
      <c r="D42" s="57"/>
    </row>
    <row r="43" spans="1:4">
      <c r="A43" s="49"/>
      <c r="B43" s="49"/>
      <c r="C43" s="49"/>
      <c r="D43" s="60"/>
    </row>
    <row r="44" spans="1:4">
      <c r="D44" s="42"/>
    </row>
    <row r="45" spans="1:4">
      <c r="D45" s="49"/>
    </row>
  </sheetData>
  <mergeCells count="4">
    <mergeCell ref="A1:D1"/>
    <mergeCell ref="A2:D2"/>
    <mergeCell ref="A3:D3"/>
    <mergeCell ref="A41:B42"/>
  </mergeCells>
  <pageMargins left="0.6" right="0.5" top="0.5" bottom="0.5" header="0.18" footer="0.15"/>
  <pageSetup fitToHeight="0" orientation="portrait" r:id="rId1"/>
  <headerFooter alignWithMargins="0">
    <oddFooter>&amp;C&amp;"Calibri,Regular"&amp;11&amp;B&amp;K000000AEP CONFIDENTIAL</oddFooter>
    <evenFooter>&amp;C&amp;"Calibri,Regular"&amp;11&amp;B&amp;K000000AEP CONFIDENTIAL</evenFooter>
    <firstFooter>&amp;C&amp;"Calibri,Regular"&amp;11&amp;B&amp;K000000AEP CONFIDENTIAL</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614D-E307-4AEF-8946-30D4B1D6C388}">
  <sheetPr>
    <pageSetUpPr autoPageBreaks="0"/>
  </sheetPr>
  <dimension ref="A1:R79"/>
  <sheetViews>
    <sheetView zoomScale="80" zoomScaleNormal="80" workbookViewId="0">
      <pane xSplit="3" ySplit="5" topLeftCell="L33" activePane="bottomRight" state="frozen"/>
      <selection activeCell="D27" sqref="D27"/>
      <selection pane="topRight" activeCell="D27" sqref="D27"/>
      <selection pane="bottomLeft" activeCell="D27" sqref="D27"/>
      <selection pane="bottomRight" activeCell="P78" sqref="P78"/>
    </sheetView>
  </sheetViews>
  <sheetFormatPr defaultColWidth="9.1796875" defaultRowHeight="15.5"/>
  <cols>
    <col min="1" max="1" width="27.26953125" style="67" bestFit="1" customWidth="1"/>
    <col min="2" max="2" width="13.81640625" style="67" bestFit="1" customWidth="1"/>
    <col min="3" max="3" width="113.26953125" style="49" customWidth="1"/>
    <col min="4" max="4" width="15.1796875" style="49" customWidth="1"/>
    <col min="5" max="9" width="15.81640625" style="49" customWidth="1"/>
    <col min="10" max="15" width="16.7265625" style="49" customWidth="1"/>
    <col min="16" max="16" width="16.7265625" style="49" bestFit="1" customWidth="1"/>
    <col min="17" max="17" width="69.7265625" style="67" bestFit="1" customWidth="1"/>
    <col min="18" max="18" width="18.54296875" style="67" bestFit="1" customWidth="1"/>
    <col min="19" max="16384" width="9.1796875" style="67"/>
  </cols>
  <sheetData>
    <row r="1" spans="1:17">
      <c r="A1" s="66" t="s">
        <v>132</v>
      </c>
    </row>
    <row r="2" spans="1:17">
      <c r="A2" s="66" t="s">
        <v>133</v>
      </c>
    </row>
    <row r="3" spans="1:17" ht="16" thickBot="1">
      <c r="A3" s="66" t="s">
        <v>134</v>
      </c>
    </row>
    <row r="4" spans="1:17" ht="16" thickBot="1">
      <c r="D4" s="49" t="s">
        <v>135</v>
      </c>
      <c r="E4" s="49" t="s">
        <v>135</v>
      </c>
      <c r="F4" s="49" t="s">
        <v>135</v>
      </c>
      <c r="G4" s="49" t="s">
        <v>135</v>
      </c>
      <c r="H4" s="49" t="s">
        <v>135</v>
      </c>
      <c r="I4" s="49" t="s">
        <v>135</v>
      </c>
      <c r="J4" s="49" t="s">
        <v>135</v>
      </c>
      <c r="K4" s="49" t="s">
        <v>135</v>
      </c>
      <c r="L4" s="49" t="s">
        <v>135</v>
      </c>
      <c r="M4" s="49" t="s">
        <v>135</v>
      </c>
      <c r="N4" s="49" t="s">
        <v>135</v>
      </c>
      <c r="O4" s="49" t="s">
        <v>135</v>
      </c>
      <c r="P4" s="68" t="s">
        <v>136</v>
      </c>
      <c r="Q4" s="68" t="s">
        <v>137</v>
      </c>
    </row>
    <row r="5" spans="1:17">
      <c r="A5" s="49"/>
      <c r="B5" s="49"/>
      <c r="C5" s="69" t="s">
        <v>132</v>
      </c>
      <c r="D5" s="70" t="s">
        <v>138</v>
      </c>
      <c r="E5" s="70" t="s">
        <v>139</v>
      </c>
      <c r="F5" s="70" t="s">
        <v>140</v>
      </c>
      <c r="G5" s="70" t="s">
        <v>141</v>
      </c>
      <c r="H5" s="70" t="s">
        <v>142</v>
      </c>
      <c r="I5" s="70" t="s">
        <v>143</v>
      </c>
      <c r="J5" s="70" t="s">
        <v>144</v>
      </c>
      <c r="K5" s="70" t="s">
        <v>145</v>
      </c>
      <c r="L5" s="70" t="s">
        <v>146</v>
      </c>
      <c r="M5" s="70" t="s">
        <v>147</v>
      </c>
      <c r="N5" s="70" t="s">
        <v>148</v>
      </c>
      <c r="O5" s="70" t="s">
        <v>149</v>
      </c>
      <c r="P5" s="70"/>
    </row>
    <row r="6" spans="1:17">
      <c r="A6" s="69" t="s">
        <v>150</v>
      </c>
      <c r="B6" s="49"/>
      <c r="C6" s="49" t="s">
        <v>151</v>
      </c>
      <c r="D6" s="71">
        <v>1837660</v>
      </c>
      <c r="E6" s="71">
        <v>1900304</v>
      </c>
      <c r="F6" s="71">
        <v>2161703</v>
      </c>
      <c r="G6" s="71">
        <v>1589248</v>
      </c>
      <c r="H6" s="71">
        <v>1354668</v>
      </c>
      <c r="I6" s="71">
        <v>336655</v>
      </c>
      <c r="J6" s="71">
        <f>1012944+5639218</f>
        <v>6652162</v>
      </c>
      <c r="K6" s="71">
        <f>1020074.72131628-626580</f>
        <v>393494.72131627996</v>
      </c>
      <c r="L6" s="71">
        <f>947830.969718166-626580</f>
        <v>321250.96971816604</v>
      </c>
      <c r="M6" s="71">
        <f>781018.95551442-626580</f>
        <v>154438.95551442006</v>
      </c>
      <c r="N6" s="71">
        <f>749458.957139138-626580</f>
        <v>122878.95713913802</v>
      </c>
      <c r="O6" s="71">
        <f>573563.65907344-626580</f>
        <v>-53016.340926559991</v>
      </c>
      <c r="P6" s="71">
        <f>SUM(D6:O6)</f>
        <v>16771447.262761442</v>
      </c>
      <c r="Q6" s="72"/>
    </row>
    <row r="7" spans="1:17">
      <c r="A7" s="49"/>
      <c r="B7" s="49"/>
      <c r="C7" s="47"/>
      <c r="D7" s="73">
        <f t="shared" ref="D7:O7" si="0">+D6</f>
        <v>1837660</v>
      </c>
      <c r="E7" s="73">
        <f t="shared" si="0"/>
        <v>1900304</v>
      </c>
      <c r="F7" s="73">
        <f t="shared" si="0"/>
        <v>2161703</v>
      </c>
      <c r="G7" s="73">
        <f t="shared" si="0"/>
        <v>1589248</v>
      </c>
      <c r="H7" s="73">
        <f t="shared" si="0"/>
        <v>1354668</v>
      </c>
      <c r="I7" s="73">
        <f t="shared" si="0"/>
        <v>336655</v>
      </c>
      <c r="J7" s="73">
        <f t="shared" si="0"/>
        <v>6652162</v>
      </c>
      <c r="K7" s="73">
        <f t="shared" si="0"/>
        <v>393494.72131627996</v>
      </c>
      <c r="L7" s="73">
        <f t="shared" si="0"/>
        <v>321250.96971816604</v>
      </c>
      <c r="M7" s="73">
        <f t="shared" si="0"/>
        <v>154438.95551442006</v>
      </c>
      <c r="N7" s="73">
        <f t="shared" si="0"/>
        <v>122878.95713913802</v>
      </c>
      <c r="O7" s="73">
        <f t="shared" si="0"/>
        <v>-53016.340926559991</v>
      </c>
      <c r="P7" s="73">
        <f>SUM(D7:O7)</f>
        <v>16771447.262761442</v>
      </c>
      <c r="Q7" s="67" t="s">
        <v>152</v>
      </c>
    </row>
    <row r="8" spans="1:17">
      <c r="A8" s="49"/>
      <c r="B8" s="49"/>
      <c r="C8" s="69"/>
    </row>
    <row r="9" spans="1:17" hidden="1">
      <c r="A9" s="69" t="s">
        <v>153</v>
      </c>
      <c r="B9" s="74"/>
      <c r="C9" s="47" t="s">
        <v>154</v>
      </c>
      <c r="D9" s="75">
        <v>0</v>
      </c>
      <c r="E9" s="75">
        <v>0</v>
      </c>
      <c r="F9" s="75">
        <v>0</v>
      </c>
      <c r="G9" s="75">
        <v>0</v>
      </c>
      <c r="H9" s="75">
        <v>0</v>
      </c>
      <c r="I9" s="75">
        <v>0</v>
      </c>
      <c r="J9" s="75">
        <v>0</v>
      </c>
      <c r="K9" s="75">
        <v>0</v>
      </c>
      <c r="L9" s="75">
        <v>0</v>
      </c>
      <c r="M9" s="75">
        <v>0</v>
      </c>
      <c r="N9" s="75">
        <v>0</v>
      </c>
      <c r="O9" s="75">
        <v>0</v>
      </c>
      <c r="P9" s="75">
        <f>SUM(D9:O9)</f>
        <v>0</v>
      </c>
      <c r="Q9" s="76"/>
    </row>
    <row r="10" spans="1:17" hidden="1">
      <c r="A10" s="49"/>
      <c r="B10" s="49"/>
      <c r="C10" s="69"/>
    </row>
    <row r="11" spans="1:17" hidden="1">
      <c r="A11" s="69" t="s">
        <v>155</v>
      </c>
      <c r="B11" s="36" t="s">
        <v>156</v>
      </c>
      <c r="C11" s="69" t="s">
        <v>157</v>
      </c>
    </row>
    <row r="12" spans="1:17" hidden="1">
      <c r="A12" s="49"/>
      <c r="B12" s="48">
        <v>5650021</v>
      </c>
      <c r="C12" s="58" t="s">
        <v>158</v>
      </c>
      <c r="D12" s="77">
        <v>0</v>
      </c>
      <c r="E12" s="77">
        <v>0</v>
      </c>
      <c r="F12" s="77">
        <v>0</v>
      </c>
      <c r="G12" s="77">
        <v>0</v>
      </c>
      <c r="H12" s="77">
        <v>0</v>
      </c>
      <c r="I12" s="77">
        <v>0</v>
      </c>
      <c r="J12" s="77">
        <v>0</v>
      </c>
      <c r="K12" s="77">
        <v>0</v>
      </c>
      <c r="L12" s="77">
        <v>0</v>
      </c>
      <c r="M12" s="77">
        <v>0</v>
      </c>
      <c r="N12" s="77">
        <v>0</v>
      </c>
      <c r="O12" s="77">
        <v>0</v>
      </c>
      <c r="P12" s="75">
        <f t="shared" ref="P12:P22" si="1">SUM(D12:O12)</f>
        <v>0</v>
      </c>
      <c r="Q12" s="78"/>
    </row>
    <row r="13" spans="1:17" hidden="1">
      <c r="A13" s="49"/>
      <c r="B13" s="48">
        <v>5650015</v>
      </c>
      <c r="C13" s="58" t="s">
        <v>159</v>
      </c>
      <c r="D13" s="77">
        <v>0</v>
      </c>
      <c r="E13" s="77">
        <v>0</v>
      </c>
      <c r="F13" s="77">
        <v>0</v>
      </c>
      <c r="G13" s="77">
        <v>0</v>
      </c>
      <c r="H13" s="77">
        <v>0</v>
      </c>
      <c r="I13" s="77">
        <v>0</v>
      </c>
      <c r="J13" s="77">
        <v>0</v>
      </c>
      <c r="K13" s="77">
        <v>0</v>
      </c>
      <c r="L13" s="77">
        <v>0</v>
      </c>
      <c r="M13" s="77">
        <v>0</v>
      </c>
      <c r="N13" s="77">
        <v>0</v>
      </c>
      <c r="O13" s="77">
        <v>0</v>
      </c>
      <c r="P13" s="75">
        <f t="shared" si="1"/>
        <v>0</v>
      </c>
      <c r="Q13" s="78"/>
    </row>
    <row r="14" spans="1:17" hidden="1">
      <c r="A14" s="49"/>
      <c r="B14" s="48">
        <v>4561005</v>
      </c>
      <c r="C14" s="58" t="s">
        <v>160</v>
      </c>
      <c r="D14" s="77">
        <v>0</v>
      </c>
      <c r="E14" s="77">
        <v>0</v>
      </c>
      <c r="F14" s="77">
        <v>0</v>
      </c>
      <c r="G14" s="77">
        <v>0</v>
      </c>
      <c r="H14" s="77">
        <v>0</v>
      </c>
      <c r="I14" s="77">
        <v>0</v>
      </c>
      <c r="J14" s="77">
        <v>0</v>
      </c>
      <c r="K14" s="77">
        <v>0</v>
      </c>
      <c r="L14" s="77">
        <v>0</v>
      </c>
      <c r="M14" s="77">
        <v>0</v>
      </c>
      <c r="N14" s="77">
        <v>0</v>
      </c>
      <c r="O14" s="77">
        <v>0</v>
      </c>
      <c r="P14" s="75">
        <f t="shared" si="1"/>
        <v>0</v>
      </c>
      <c r="Q14" s="78"/>
    </row>
    <row r="15" spans="1:17" hidden="1">
      <c r="A15" s="49"/>
      <c r="B15" s="48">
        <v>4561002</v>
      </c>
      <c r="C15" s="58" t="s">
        <v>161</v>
      </c>
      <c r="D15" s="77">
        <v>0</v>
      </c>
      <c r="E15" s="77">
        <v>0</v>
      </c>
      <c r="F15" s="77">
        <v>0</v>
      </c>
      <c r="G15" s="77">
        <v>0</v>
      </c>
      <c r="H15" s="77">
        <v>0</v>
      </c>
      <c r="I15" s="77">
        <v>0</v>
      </c>
      <c r="J15" s="77">
        <v>0</v>
      </c>
      <c r="K15" s="77">
        <v>0</v>
      </c>
      <c r="L15" s="77">
        <v>0</v>
      </c>
      <c r="M15" s="77">
        <v>0</v>
      </c>
      <c r="N15" s="77">
        <v>0</v>
      </c>
      <c r="O15" s="77">
        <v>0</v>
      </c>
      <c r="P15" s="75">
        <f t="shared" si="1"/>
        <v>0</v>
      </c>
      <c r="Q15" s="78"/>
    </row>
    <row r="16" spans="1:17" hidden="1">
      <c r="A16" s="49"/>
      <c r="B16" s="48">
        <v>5550155</v>
      </c>
      <c r="C16" s="58" t="s">
        <v>162</v>
      </c>
      <c r="D16" s="77">
        <v>0</v>
      </c>
      <c r="E16" s="77">
        <v>0</v>
      </c>
      <c r="F16" s="77">
        <v>0</v>
      </c>
      <c r="G16" s="77">
        <v>0</v>
      </c>
      <c r="H16" s="77">
        <v>0</v>
      </c>
      <c r="I16" s="77">
        <v>0</v>
      </c>
      <c r="J16" s="77">
        <v>0</v>
      </c>
      <c r="K16" s="77">
        <v>0</v>
      </c>
      <c r="L16" s="77">
        <v>0</v>
      </c>
      <c r="M16" s="77">
        <v>0</v>
      </c>
      <c r="N16" s="77">
        <v>0</v>
      </c>
      <c r="O16" s="77">
        <v>0</v>
      </c>
      <c r="P16" s="75">
        <f t="shared" si="1"/>
        <v>0</v>
      </c>
      <c r="Q16" s="78"/>
    </row>
    <row r="17" spans="1:18" hidden="1">
      <c r="A17" s="49"/>
      <c r="B17" s="48">
        <v>4561035</v>
      </c>
      <c r="C17" s="49" t="s">
        <v>163</v>
      </c>
      <c r="D17" s="77">
        <v>0</v>
      </c>
      <c r="E17" s="77">
        <v>0</v>
      </c>
      <c r="F17" s="77">
        <v>0</v>
      </c>
      <c r="G17" s="77">
        <v>0</v>
      </c>
      <c r="H17" s="77">
        <v>0</v>
      </c>
      <c r="I17" s="77">
        <v>0</v>
      </c>
      <c r="J17" s="77">
        <v>0</v>
      </c>
      <c r="K17" s="77">
        <v>0</v>
      </c>
      <c r="L17" s="77">
        <v>0</v>
      </c>
      <c r="M17" s="77">
        <v>0</v>
      </c>
      <c r="N17" s="77">
        <v>0</v>
      </c>
      <c r="O17" s="77">
        <v>0</v>
      </c>
      <c r="P17" s="75">
        <f t="shared" si="1"/>
        <v>0</v>
      </c>
      <c r="Q17" s="78"/>
    </row>
    <row r="18" spans="1:18" hidden="1">
      <c r="A18" s="49"/>
      <c r="B18" s="48">
        <v>4561036</v>
      </c>
      <c r="C18" s="58" t="s">
        <v>164</v>
      </c>
      <c r="D18" s="77">
        <v>0</v>
      </c>
      <c r="E18" s="77">
        <v>0</v>
      </c>
      <c r="F18" s="77">
        <v>0</v>
      </c>
      <c r="G18" s="77">
        <v>0</v>
      </c>
      <c r="H18" s="77">
        <v>0</v>
      </c>
      <c r="I18" s="77">
        <v>0</v>
      </c>
      <c r="J18" s="77">
        <v>0</v>
      </c>
      <c r="K18" s="77">
        <v>0</v>
      </c>
      <c r="L18" s="77">
        <v>0</v>
      </c>
      <c r="M18" s="77">
        <v>0</v>
      </c>
      <c r="N18" s="77">
        <v>0</v>
      </c>
      <c r="O18" s="77">
        <v>0</v>
      </c>
      <c r="P18" s="75">
        <f t="shared" si="1"/>
        <v>0</v>
      </c>
      <c r="Q18" s="78"/>
    </row>
    <row r="19" spans="1:18" hidden="1">
      <c r="A19" s="49"/>
      <c r="B19" s="48">
        <v>4561060</v>
      </c>
      <c r="C19" s="58" t="s">
        <v>165</v>
      </c>
      <c r="D19" s="77">
        <v>0</v>
      </c>
      <c r="E19" s="77">
        <v>0</v>
      </c>
      <c r="F19" s="77">
        <v>0</v>
      </c>
      <c r="G19" s="77">
        <v>0</v>
      </c>
      <c r="H19" s="77">
        <v>0</v>
      </c>
      <c r="I19" s="77">
        <v>0</v>
      </c>
      <c r="J19" s="77">
        <v>0</v>
      </c>
      <c r="K19" s="77">
        <v>0</v>
      </c>
      <c r="L19" s="77">
        <v>0</v>
      </c>
      <c r="M19" s="77">
        <v>0</v>
      </c>
      <c r="N19" s="77">
        <v>0</v>
      </c>
      <c r="O19" s="77">
        <v>0</v>
      </c>
      <c r="P19" s="75">
        <f t="shared" si="1"/>
        <v>0</v>
      </c>
      <c r="Q19" s="78"/>
    </row>
    <row r="20" spans="1:18" hidden="1">
      <c r="A20" s="49"/>
      <c r="B20" s="48">
        <v>5650012</v>
      </c>
      <c r="C20" s="58" t="s">
        <v>165</v>
      </c>
      <c r="D20" s="77">
        <v>0</v>
      </c>
      <c r="E20" s="77">
        <v>0</v>
      </c>
      <c r="F20" s="77">
        <v>0</v>
      </c>
      <c r="G20" s="77">
        <v>0</v>
      </c>
      <c r="H20" s="77">
        <v>0</v>
      </c>
      <c r="I20" s="77">
        <v>0</v>
      </c>
      <c r="J20" s="77">
        <v>0</v>
      </c>
      <c r="K20" s="77">
        <v>0</v>
      </c>
      <c r="L20" s="77">
        <v>0</v>
      </c>
      <c r="M20" s="77">
        <v>0</v>
      </c>
      <c r="N20" s="77">
        <v>0</v>
      </c>
      <c r="O20" s="77">
        <v>0</v>
      </c>
      <c r="P20" s="75">
        <f t="shared" si="1"/>
        <v>0</v>
      </c>
      <c r="Q20" s="78"/>
    </row>
    <row r="21" spans="1:18" hidden="1">
      <c r="A21" s="49"/>
      <c r="B21" s="48">
        <v>5650016</v>
      </c>
      <c r="C21" s="49" t="s">
        <v>166</v>
      </c>
      <c r="D21" s="77">
        <v>0</v>
      </c>
      <c r="E21" s="77">
        <v>0</v>
      </c>
      <c r="F21" s="77">
        <v>0</v>
      </c>
      <c r="G21" s="77">
        <v>0</v>
      </c>
      <c r="H21" s="77">
        <v>0</v>
      </c>
      <c r="I21" s="77">
        <v>0</v>
      </c>
      <c r="J21" s="77">
        <v>0</v>
      </c>
      <c r="K21" s="77">
        <v>0</v>
      </c>
      <c r="L21" s="77">
        <v>0</v>
      </c>
      <c r="M21" s="77">
        <v>0</v>
      </c>
      <c r="N21" s="77">
        <v>0</v>
      </c>
      <c r="O21" s="77">
        <v>0</v>
      </c>
      <c r="P21" s="75">
        <f t="shared" si="1"/>
        <v>0</v>
      </c>
      <c r="Q21" s="78"/>
    </row>
    <row r="22" spans="1:18" hidden="1">
      <c r="A22" s="49"/>
      <c r="B22" s="48">
        <v>5650019</v>
      </c>
      <c r="C22" s="58" t="s">
        <v>165</v>
      </c>
      <c r="D22" s="77">
        <v>0</v>
      </c>
      <c r="E22" s="77">
        <v>0</v>
      </c>
      <c r="F22" s="77">
        <v>0</v>
      </c>
      <c r="G22" s="77">
        <v>0</v>
      </c>
      <c r="H22" s="77">
        <v>0</v>
      </c>
      <c r="I22" s="77">
        <v>0</v>
      </c>
      <c r="J22" s="77">
        <v>0</v>
      </c>
      <c r="K22" s="77">
        <v>0</v>
      </c>
      <c r="L22" s="77">
        <v>0</v>
      </c>
      <c r="M22" s="77">
        <v>0</v>
      </c>
      <c r="N22" s="77">
        <v>0</v>
      </c>
      <c r="O22" s="77">
        <v>0</v>
      </c>
      <c r="P22" s="75">
        <f t="shared" si="1"/>
        <v>0</v>
      </c>
      <c r="Q22" s="79"/>
    </row>
    <row r="23" spans="1:18" hidden="1">
      <c r="A23" s="49"/>
      <c r="B23" s="48"/>
      <c r="C23" s="80"/>
      <c r="D23" s="77"/>
      <c r="E23" s="77"/>
      <c r="F23" s="77"/>
      <c r="G23" s="77"/>
      <c r="H23" s="77"/>
      <c r="I23" s="77"/>
      <c r="J23" s="77"/>
      <c r="K23" s="77"/>
      <c r="L23" s="77"/>
      <c r="M23" s="77"/>
      <c r="N23" s="77"/>
      <c r="O23" s="77"/>
      <c r="P23" s="75"/>
    </row>
    <row r="24" spans="1:18" hidden="1">
      <c r="A24" s="49"/>
      <c r="B24" s="49"/>
      <c r="C24" s="47"/>
      <c r="D24" s="81">
        <v>0</v>
      </c>
      <c r="E24" s="81">
        <v>0</v>
      </c>
      <c r="F24" s="81">
        <v>0</v>
      </c>
      <c r="G24" s="81">
        <v>0</v>
      </c>
      <c r="H24" s="81">
        <v>0</v>
      </c>
      <c r="I24" s="81">
        <v>0</v>
      </c>
      <c r="J24" s="81">
        <v>0</v>
      </c>
      <c r="K24" s="81">
        <v>0</v>
      </c>
      <c r="L24" s="81">
        <v>0</v>
      </c>
      <c r="M24" s="81">
        <v>0</v>
      </c>
      <c r="N24" s="81">
        <v>0</v>
      </c>
      <c r="O24" s="81">
        <v>0</v>
      </c>
      <c r="P24" s="81">
        <f>SUM(P12:P23)</f>
        <v>0</v>
      </c>
      <c r="Q24" s="79"/>
    </row>
    <row r="25" spans="1:18" hidden="1">
      <c r="A25" s="49"/>
      <c r="B25" s="48"/>
      <c r="C25" s="82"/>
      <c r="P25" s="83"/>
      <c r="R25" s="84"/>
    </row>
    <row r="26" spans="1:18" hidden="1">
      <c r="A26" s="49"/>
      <c r="B26" s="48"/>
      <c r="C26" s="47" t="s">
        <v>167</v>
      </c>
      <c r="D26" s="85">
        <f t="shared" ref="D26:O26" si="2">+D24-D9</f>
        <v>0</v>
      </c>
      <c r="E26" s="85">
        <f t="shared" si="2"/>
        <v>0</v>
      </c>
      <c r="F26" s="85">
        <f t="shared" si="2"/>
        <v>0</v>
      </c>
      <c r="G26" s="85">
        <f t="shared" si="2"/>
        <v>0</v>
      </c>
      <c r="H26" s="85">
        <f t="shared" si="2"/>
        <v>0</v>
      </c>
      <c r="I26" s="85">
        <f t="shared" si="2"/>
        <v>0</v>
      </c>
      <c r="J26" s="85">
        <f t="shared" si="2"/>
        <v>0</v>
      </c>
      <c r="K26" s="85">
        <f t="shared" si="2"/>
        <v>0</v>
      </c>
      <c r="L26" s="85">
        <f t="shared" si="2"/>
        <v>0</v>
      </c>
      <c r="M26" s="85">
        <f t="shared" si="2"/>
        <v>0</v>
      </c>
      <c r="N26" s="85">
        <f t="shared" si="2"/>
        <v>0</v>
      </c>
      <c r="O26" s="85">
        <f t="shared" si="2"/>
        <v>0</v>
      </c>
      <c r="P26" s="75">
        <f>P24-P9</f>
        <v>0</v>
      </c>
      <c r="Q26" s="67" t="s">
        <v>152</v>
      </c>
      <c r="R26" s="84"/>
    </row>
    <row r="27" spans="1:18" hidden="1">
      <c r="A27" s="74"/>
      <c r="B27" s="74"/>
      <c r="C27" s="82"/>
    </row>
    <row r="28" spans="1:18">
      <c r="A28" s="74"/>
      <c r="B28" s="74"/>
      <c r="C28" s="47" t="s">
        <v>168</v>
      </c>
      <c r="D28" s="86">
        <v>0</v>
      </c>
      <c r="E28" s="86">
        <v>0</v>
      </c>
      <c r="F28" s="86">
        <v>0</v>
      </c>
      <c r="G28" s="86">
        <v>0</v>
      </c>
      <c r="H28" s="86">
        <v>0</v>
      </c>
      <c r="I28" s="86">
        <v>0</v>
      </c>
      <c r="J28" s="86">
        <v>0</v>
      </c>
      <c r="K28" s="86">
        <v>0</v>
      </c>
      <c r="L28" s="86">
        <v>0</v>
      </c>
      <c r="M28" s="86">
        <v>0</v>
      </c>
      <c r="N28" s="86">
        <v>0</v>
      </c>
      <c r="O28" s="86">
        <v>0</v>
      </c>
      <c r="P28" s="75">
        <f>SUM(D28:O28)</f>
        <v>0</v>
      </c>
      <c r="Q28" s="67" t="s">
        <v>152</v>
      </c>
    </row>
    <row r="29" spans="1:18">
      <c r="A29" s="74"/>
      <c r="B29" s="74"/>
      <c r="C29" s="82"/>
    </row>
    <row r="30" spans="1:18">
      <c r="A30" s="74"/>
      <c r="B30" s="74"/>
      <c r="C30" s="47" t="s">
        <v>169</v>
      </c>
      <c r="D30" s="86">
        <v>0</v>
      </c>
      <c r="E30" s="86">
        <v>0</v>
      </c>
      <c r="F30" s="86">
        <v>0</v>
      </c>
      <c r="G30" s="86">
        <v>0</v>
      </c>
      <c r="H30" s="86">
        <v>0</v>
      </c>
      <c r="I30" s="86">
        <v>0</v>
      </c>
      <c r="J30" s="86">
        <v>0</v>
      </c>
      <c r="K30" s="86">
        <v>0</v>
      </c>
      <c r="L30" s="86">
        <v>0</v>
      </c>
      <c r="M30" s="86">
        <v>0</v>
      </c>
      <c r="N30" s="86">
        <v>0</v>
      </c>
      <c r="O30" s="86">
        <v>0</v>
      </c>
      <c r="P30" s="75">
        <f>SUM(D30:O30)</f>
        <v>0</v>
      </c>
      <c r="Q30" s="87" t="s">
        <v>170</v>
      </c>
    </row>
    <row r="31" spans="1:18">
      <c r="A31" s="74"/>
      <c r="B31" s="74"/>
      <c r="C31" s="47"/>
    </row>
    <row r="32" spans="1:18">
      <c r="A32" s="74"/>
      <c r="B32" s="74"/>
      <c r="C32" s="47" t="s">
        <v>122</v>
      </c>
      <c r="D32" s="86">
        <v>1503791.32</v>
      </c>
      <c r="E32" s="86">
        <v>1503791.32</v>
      </c>
      <c r="F32" s="86">
        <v>1503791.32</v>
      </c>
      <c r="G32" s="86">
        <v>1503791.32</v>
      </c>
      <c r="H32" s="86">
        <v>626579.71</v>
      </c>
      <c r="I32" s="86">
        <v>626579.71</v>
      </c>
      <c r="J32" s="86">
        <v>626579.71</v>
      </c>
      <c r="K32" s="86">
        <v>626579.71</v>
      </c>
      <c r="L32" s="86">
        <v>626579.71</v>
      </c>
      <c r="M32" s="86">
        <v>626579.71</v>
      </c>
      <c r="N32" s="86">
        <v>626579.71</v>
      </c>
      <c r="O32" s="86">
        <v>626579.71</v>
      </c>
      <c r="P32" s="75">
        <f>SUM(D32:O32)</f>
        <v>11027802.960000005</v>
      </c>
      <c r="Q32" s="67" t="s">
        <v>171</v>
      </c>
    </row>
    <row r="33" spans="1:18">
      <c r="A33" s="74"/>
      <c r="B33" s="74"/>
      <c r="C33" s="47"/>
    </row>
    <row r="34" spans="1:18">
      <c r="A34" s="74"/>
      <c r="B34" s="74"/>
      <c r="C34" s="47" t="s">
        <v>172</v>
      </c>
      <c r="D34" s="86">
        <v>0</v>
      </c>
      <c r="E34" s="86">
        <v>0</v>
      </c>
      <c r="F34" s="86">
        <v>0</v>
      </c>
      <c r="G34" s="86">
        <v>0</v>
      </c>
      <c r="H34" s="86">
        <v>0</v>
      </c>
      <c r="I34" s="86">
        <v>0</v>
      </c>
      <c r="J34" s="86">
        <v>5639218</v>
      </c>
      <c r="K34" s="86">
        <v>-626580</v>
      </c>
      <c r="L34" s="86">
        <v>-626580</v>
      </c>
      <c r="M34" s="86">
        <v>-626580</v>
      </c>
      <c r="N34" s="86">
        <v>-626580</v>
      </c>
      <c r="O34" s="86">
        <v>-626580</v>
      </c>
      <c r="P34" s="75">
        <f>SUM(D34:O34)</f>
        <v>2506318</v>
      </c>
      <c r="Q34" s="67" t="s">
        <v>173</v>
      </c>
    </row>
    <row r="35" spans="1:18">
      <c r="A35" s="74"/>
      <c r="B35" s="74"/>
      <c r="C35" s="47"/>
      <c r="D35" s="86"/>
      <c r="E35" s="86"/>
      <c r="F35" s="86"/>
      <c r="G35" s="86"/>
      <c r="H35" s="86"/>
      <c r="I35" s="86"/>
      <c r="J35" s="86"/>
      <c r="K35" s="86"/>
      <c r="L35" s="86"/>
      <c r="M35" s="86"/>
      <c r="N35" s="86"/>
      <c r="O35" s="86"/>
      <c r="P35" s="75"/>
    </row>
    <row r="36" spans="1:18">
      <c r="A36" s="74"/>
      <c r="B36" s="74"/>
      <c r="C36" s="47" t="s">
        <v>174</v>
      </c>
      <c r="D36" s="86">
        <v>0</v>
      </c>
      <c r="E36" s="86">
        <v>0</v>
      </c>
      <c r="F36" s="86">
        <v>0</v>
      </c>
      <c r="G36" s="86">
        <v>0</v>
      </c>
      <c r="H36" s="86">
        <v>0</v>
      </c>
      <c r="I36" s="86">
        <v>0</v>
      </c>
      <c r="J36" s="86">
        <v>0</v>
      </c>
      <c r="K36" s="86">
        <v>0</v>
      </c>
      <c r="L36" s="86">
        <v>0</v>
      </c>
      <c r="M36" s="86">
        <v>0</v>
      </c>
      <c r="N36" s="86">
        <v>0</v>
      </c>
      <c r="O36" s="86">
        <v>0</v>
      </c>
      <c r="P36" s="75">
        <f>SUM(D36:O36)</f>
        <v>0</v>
      </c>
    </row>
    <row r="37" spans="1:18">
      <c r="A37" s="74"/>
      <c r="B37" s="74"/>
      <c r="C37" s="47"/>
      <c r="D37" s="86"/>
      <c r="E37" s="86"/>
      <c r="F37" s="86"/>
      <c r="G37" s="86"/>
      <c r="H37" s="86"/>
      <c r="I37" s="86"/>
      <c r="J37" s="86"/>
      <c r="K37" s="86"/>
      <c r="L37" s="86"/>
      <c r="M37" s="86"/>
      <c r="N37" s="86"/>
      <c r="O37" s="86"/>
      <c r="P37" s="75"/>
    </row>
    <row r="38" spans="1:18">
      <c r="A38" s="74"/>
      <c r="B38" s="74"/>
      <c r="C38" s="47" t="s">
        <v>175</v>
      </c>
      <c r="D38" s="86">
        <v>220058.25</v>
      </c>
      <c r="E38" s="86">
        <v>191456.44</v>
      </c>
      <c r="F38" s="86">
        <v>201548.44</v>
      </c>
      <c r="G38" s="86">
        <v>201548.44</v>
      </c>
      <c r="H38" s="86">
        <v>201548.44</v>
      </c>
      <c r="I38" s="86">
        <v>201548.44</v>
      </c>
      <c r="J38" s="86">
        <v>201548.44</v>
      </c>
      <c r="K38" s="86">
        <v>201548.44</v>
      </c>
      <c r="L38" s="86">
        <v>201548.44</v>
      </c>
      <c r="M38" s="86">
        <v>201548.44</v>
      </c>
      <c r="N38" s="86">
        <v>201548.44</v>
      </c>
      <c r="O38" s="86">
        <v>1043329.69</v>
      </c>
      <c r="P38" s="75">
        <f>SUM(D38:O38)</f>
        <v>3268780.34</v>
      </c>
      <c r="Q38" s="67" t="s">
        <v>152</v>
      </c>
    </row>
    <row r="39" spans="1:18">
      <c r="A39" s="74"/>
      <c r="B39" s="74"/>
      <c r="C39" s="47"/>
      <c r="P39" s="83"/>
    </row>
    <row r="40" spans="1:18">
      <c r="A40" s="74"/>
      <c r="B40" s="74"/>
      <c r="C40" s="47" t="s">
        <v>127</v>
      </c>
      <c r="D40" s="88">
        <v>0</v>
      </c>
      <c r="E40" s="88">
        <v>0</v>
      </c>
      <c r="F40" s="88">
        <v>0</v>
      </c>
      <c r="G40" s="88">
        <v>0</v>
      </c>
      <c r="H40" s="55">
        <v>-40681.199999999997</v>
      </c>
      <c r="I40" s="55">
        <v>-40681.199999999997</v>
      </c>
      <c r="J40" s="55">
        <v>-40681.199999999997</v>
      </c>
      <c r="K40" s="55">
        <v>-40681.199999999997</v>
      </c>
      <c r="L40" s="55">
        <v>-40681.199999999997</v>
      </c>
      <c r="M40" s="55">
        <v>-40681.199999999997</v>
      </c>
      <c r="N40" s="55">
        <v>-40681.199999999997</v>
      </c>
      <c r="O40" s="55">
        <v>-40681.199999999997</v>
      </c>
      <c r="P40" s="75">
        <f>SUM(D40:O40)</f>
        <v>-325449.60000000003</v>
      </c>
      <c r="Q40" s="67" t="s">
        <v>171</v>
      </c>
    </row>
    <row r="41" spans="1:18">
      <c r="A41" s="74"/>
      <c r="B41" s="74"/>
      <c r="C41" s="47"/>
      <c r="P41" s="83"/>
    </row>
    <row r="42" spans="1:18">
      <c r="A42" s="74"/>
      <c r="B42" s="74"/>
      <c r="C42" s="47" t="s">
        <v>176</v>
      </c>
      <c r="D42" s="89">
        <v>546223</v>
      </c>
      <c r="E42" s="89">
        <v>546223</v>
      </c>
      <c r="F42" s="89">
        <v>546223</v>
      </c>
      <c r="G42" s="89">
        <v>546223</v>
      </c>
      <c r="H42" s="89">
        <v>546223</v>
      </c>
      <c r="I42" s="89">
        <v>546223</v>
      </c>
      <c r="J42" s="89">
        <v>546223</v>
      </c>
      <c r="K42" s="89">
        <v>546223</v>
      </c>
      <c r="L42" s="89">
        <v>546223</v>
      </c>
      <c r="M42" s="89">
        <v>546223</v>
      </c>
      <c r="N42" s="89">
        <v>546223</v>
      </c>
      <c r="O42" s="89">
        <v>546223</v>
      </c>
      <c r="P42" s="75">
        <f>SUM(D42:O42)</f>
        <v>6554676</v>
      </c>
      <c r="Q42" s="79"/>
    </row>
    <row r="43" spans="1:18">
      <c r="A43" s="74"/>
      <c r="B43" s="74"/>
      <c r="C43" s="82"/>
      <c r="P43" s="71"/>
    </row>
    <row r="44" spans="1:18">
      <c r="A44" s="49"/>
      <c r="B44" s="48" t="s">
        <v>177</v>
      </c>
      <c r="C44" s="82" t="s">
        <v>178</v>
      </c>
      <c r="D44" s="85">
        <v>203119.12</v>
      </c>
      <c r="E44" s="85">
        <v>200339.92</v>
      </c>
      <c r="F44" s="85">
        <v>254512.92</v>
      </c>
      <c r="G44" s="85">
        <v>205765.22</v>
      </c>
      <c r="H44" s="85">
        <v>280255.58</v>
      </c>
      <c r="I44" s="85">
        <v>205056.81</v>
      </c>
      <c r="J44" s="85">
        <v>222272.42</v>
      </c>
      <c r="K44" s="85">
        <v>420782.17</v>
      </c>
      <c r="L44" s="85">
        <v>197503.6</v>
      </c>
      <c r="M44" s="85">
        <v>174211.1</v>
      </c>
      <c r="N44" s="85">
        <v>86220.22</v>
      </c>
      <c r="O44" s="85">
        <v>386370.92</v>
      </c>
      <c r="P44" s="75">
        <f>SUM(D44:O44)</f>
        <v>2836410</v>
      </c>
      <c r="Q44" s="79"/>
    </row>
    <row r="45" spans="1:18">
      <c r="A45" s="49"/>
      <c r="B45" s="48"/>
      <c r="C45" s="82" t="s">
        <v>179</v>
      </c>
      <c r="D45" s="85">
        <v>-209868.28</v>
      </c>
      <c r="E45" s="85">
        <v>-203119.12</v>
      </c>
      <c r="F45" s="85">
        <v>-200339.92</v>
      </c>
      <c r="G45" s="85">
        <v>-254512.92</v>
      </c>
      <c r="H45" s="85">
        <v>-205765.22</v>
      </c>
      <c r="I45" s="85">
        <v>-280255.58</v>
      </c>
      <c r="J45" s="85">
        <v>-205056.81</v>
      </c>
      <c r="K45" s="85">
        <v>-222272.42</v>
      </c>
      <c r="L45" s="85">
        <v>-420782.17</v>
      </c>
      <c r="M45" s="85">
        <v>-197503.6</v>
      </c>
      <c r="N45" s="85">
        <v>-174211.1</v>
      </c>
      <c r="O45" s="85">
        <v>-86220.22</v>
      </c>
      <c r="P45" s="75">
        <f>SUM(D45:O45)</f>
        <v>-2659907.3600000008</v>
      </c>
      <c r="Q45" s="79"/>
      <c r="R45" s="90"/>
    </row>
    <row r="46" spans="1:18">
      <c r="A46" s="49"/>
      <c r="B46" s="48"/>
      <c r="C46" s="49" t="s">
        <v>180</v>
      </c>
      <c r="D46" s="85">
        <v>49041.78</v>
      </c>
      <c r="E46" s="85">
        <v>203299.9</v>
      </c>
      <c r="F46" s="85">
        <v>200118.78</v>
      </c>
      <c r="G46" s="85">
        <v>254534.37</v>
      </c>
      <c r="H46" s="85">
        <v>206107.37</v>
      </c>
      <c r="I46" s="85">
        <v>280042.09000000003</v>
      </c>
      <c r="J46" s="85">
        <v>204926.6</v>
      </c>
      <c r="K46" s="85">
        <v>221758.93</v>
      </c>
      <c r="L46" s="85">
        <v>420050.67</v>
      </c>
      <c r="M46" s="85">
        <v>197503.6</v>
      </c>
      <c r="N46" s="85">
        <v>174185.5</v>
      </c>
      <c r="O46" s="85">
        <v>86225.18</v>
      </c>
      <c r="P46" s="75">
        <f>SUM(D46:O46)</f>
        <v>2497794.77</v>
      </c>
      <c r="Q46" s="79"/>
    </row>
    <row r="47" spans="1:18">
      <c r="A47" s="49"/>
      <c r="B47" s="48"/>
      <c r="C47" s="49" t="s">
        <v>181</v>
      </c>
      <c r="D47" s="85">
        <f t="shared" ref="D47:O47" si="3">+D44+D45+D46</f>
        <v>42292.619999999995</v>
      </c>
      <c r="E47" s="85">
        <f t="shared" si="3"/>
        <v>200520.7</v>
      </c>
      <c r="F47" s="85">
        <f t="shared" si="3"/>
        <v>254291.78</v>
      </c>
      <c r="G47" s="85">
        <f t="shared" si="3"/>
        <v>205786.66999999998</v>
      </c>
      <c r="H47" s="85">
        <f t="shared" si="3"/>
        <v>280597.73</v>
      </c>
      <c r="I47" s="85">
        <f t="shared" si="3"/>
        <v>204843.32</v>
      </c>
      <c r="J47" s="85">
        <f t="shared" si="3"/>
        <v>222142.21000000002</v>
      </c>
      <c r="K47" s="85">
        <f t="shared" si="3"/>
        <v>420268.67999999993</v>
      </c>
      <c r="L47" s="85">
        <f t="shared" si="3"/>
        <v>196772.1</v>
      </c>
      <c r="M47" s="85">
        <f t="shared" si="3"/>
        <v>174211.1</v>
      </c>
      <c r="N47" s="85">
        <f t="shared" si="3"/>
        <v>86194.62</v>
      </c>
      <c r="O47" s="85">
        <f t="shared" si="3"/>
        <v>386375.87999999995</v>
      </c>
      <c r="P47" s="75">
        <f>SUM(D47:O47)</f>
        <v>2674297.41</v>
      </c>
      <c r="Q47" s="79"/>
      <c r="R47" s="90"/>
    </row>
    <row r="48" spans="1:18">
      <c r="A48" s="49"/>
      <c r="B48" s="49"/>
    </row>
    <row r="49" spans="1:17">
      <c r="A49" s="49"/>
      <c r="B49" s="49"/>
      <c r="C49" s="49" t="s">
        <v>182</v>
      </c>
      <c r="D49" s="71">
        <f t="shared" ref="D49:O49" si="4">+D47-D42</f>
        <v>-503930.38</v>
      </c>
      <c r="E49" s="71">
        <f t="shared" si="4"/>
        <v>-345702.3</v>
      </c>
      <c r="F49" s="71">
        <f t="shared" si="4"/>
        <v>-291931.21999999997</v>
      </c>
      <c r="G49" s="71">
        <f t="shared" si="4"/>
        <v>-340436.33</v>
      </c>
      <c r="H49" s="71">
        <f t="shared" si="4"/>
        <v>-265625.27</v>
      </c>
      <c r="I49" s="71">
        <f t="shared" si="4"/>
        <v>-341379.68</v>
      </c>
      <c r="J49" s="71">
        <f t="shared" si="4"/>
        <v>-324080.78999999998</v>
      </c>
      <c r="K49" s="71">
        <f t="shared" si="4"/>
        <v>-125954.32000000007</v>
      </c>
      <c r="L49" s="71">
        <f t="shared" si="4"/>
        <v>-349450.9</v>
      </c>
      <c r="M49" s="71">
        <f t="shared" si="4"/>
        <v>-372011.9</v>
      </c>
      <c r="N49" s="71">
        <f t="shared" si="4"/>
        <v>-460028.38</v>
      </c>
      <c r="O49" s="71">
        <f t="shared" si="4"/>
        <v>-159847.12000000005</v>
      </c>
      <c r="P49" s="71">
        <f>+P47-P42</f>
        <v>-3880378.59</v>
      </c>
      <c r="Q49" s="67" t="s">
        <v>152</v>
      </c>
    </row>
    <row r="50" spans="1:17">
      <c r="A50" s="49"/>
      <c r="B50" s="49"/>
    </row>
    <row r="51" spans="1:17" ht="16" thickBot="1">
      <c r="A51" s="74"/>
      <c r="B51" s="74"/>
      <c r="C51" s="47" t="s">
        <v>183</v>
      </c>
      <c r="D51" s="91">
        <f>(D26-D28)+D49+D30+D32+D34+D38+D36+D40</f>
        <v>1219919.19</v>
      </c>
      <c r="E51" s="91">
        <f t="shared" ref="E51:O51" si="5">(E26-E28)+E49+E30+E32+E34+E38+E36+E40</f>
        <v>1349545.46</v>
      </c>
      <c r="F51" s="91">
        <f t="shared" si="5"/>
        <v>1413408.54</v>
      </c>
      <c r="G51" s="91">
        <f t="shared" si="5"/>
        <v>1364903.43</v>
      </c>
      <c r="H51" s="91">
        <f t="shared" si="5"/>
        <v>521821.67999999988</v>
      </c>
      <c r="I51" s="91">
        <f t="shared" si="5"/>
        <v>446067.26999999996</v>
      </c>
      <c r="J51" s="91">
        <f t="shared" si="5"/>
        <v>6102584.1600000001</v>
      </c>
      <c r="K51" s="91">
        <f t="shared" si="5"/>
        <v>34912.629999999903</v>
      </c>
      <c r="L51" s="91">
        <f t="shared" si="5"/>
        <v>-188583.95000000007</v>
      </c>
      <c r="M51" s="91">
        <f t="shared" si="5"/>
        <v>-211144.95000000007</v>
      </c>
      <c r="N51" s="91">
        <f>(N26-N28)+N49+N30+N32+N34+N38+N36+N40</f>
        <v>-299161.43000000005</v>
      </c>
      <c r="O51" s="91">
        <f t="shared" si="5"/>
        <v>842801.07999999984</v>
      </c>
      <c r="P51" s="91">
        <f>(P26-P28)+P49+P30+P32+P34+P38+P36+P40</f>
        <v>12597073.110000005</v>
      </c>
      <c r="Q51" s="72"/>
    </row>
    <row r="52" spans="1:17" ht="16" thickTop="1">
      <c r="A52" s="74"/>
      <c r="B52" s="74"/>
      <c r="C52" s="47"/>
      <c r="Q52" s="92" t="s">
        <v>184</v>
      </c>
    </row>
    <row r="53" spans="1:17">
      <c r="A53" s="74"/>
      <c r="B53" s="74"/>
      <c r="C53" s="74" t="s">
        <v>185</v>
      </c>
      <c r="D53" s="86">
        <f t="shared" ref="D53:O53" si="6">D51-D7</f>
        <v>-617740.81000000006</v>
      </c>
      <c r="E53" s="86">
        <f t="shared" si="6"/>
        <v>-550758.54</v>
      </c>
      <c r="F53" s="86">
        <f t="shared" si="6"/>
        <v>-748294.46</v>
      </c>
      <c r="G53" s="86">
        <f t="shared" si="6"/>
        <v>-224344.57000000007</v>
      </c>
      <c r="H53" s="86">
        <f t="shared" si="6"/>
        <v>-832846.32000000007</v>
      </c>
      <c r="I53" s="86">
        <f t="shared" si="6"/>
        <v>109412.26999999996</v>
      </c>
      <c r="J53" s="86">
        <f t="shared" si="6"/>
        <v>-549577.83999999985</v>
      </c>
      <c r="K53" s="86">
        <f t="shared" si="6"/>
        <v>-358582.09131628007</v>
      </c>
      <c r="L53" s="86">
        <f t="shared" si="6"/>
        <v>-509834.91971816611</v>
      </c>
      <c r="M53" s="86">
        <f t="shared" si="6"/>
        <v>-365583.90551442013</v>
      </c>
      <c r="N53" s="86">
        <f>N51-N7</f>
        <v>-422040.38713913807</v>
      </c>
      <c r="O53" s="86">
        <f t="shared" si="6"/>
        <v>895817.42092655983</v>
      </c>
      <c r="P53" s="86">
        <f>P51-P7</f>
        <v>-4174374.152761437</v>
      </c>
      <c r="Q53" s="67" t="s">
        <v>152</v>
      </c>
    </row>
    <row r="54" spans="1:17">
      <c r="A54" s="49"/>
      <c r="B54" s="49"/>
    </row>
    <row r="55" spans="1:17">
      <c r="A55" s="74"/>
      <c r="B55" s="74"/>
      <c r="C55" s="47"/>
    </row>
    <row r="56" spans="1:17">
      <c r="A56" s="93"/>
      <c r="B56" s="94"/>
      <c r="C56" s="95" t="s">
        <v>186</v>
      </c>
      <c r="D56" s="96">
        <f>60705397.952+D53</f>
        <v>60087657.141999997</v>
      </c>
      <c r="E56" s="96">
        <f t="shared" ref="E56:I56" si="7">+E53+D56</f>
        <v>59536898.601999998</v>
      </c>
      <c r="F56" s="96">
        <f t="shared" si="7"/>
        <v>58788604.141999997</v>
      </c>
      <c r="G56" s="96">
        <f t="shared" si="7"/>
        <v>58564259.571999997</v>
      </c>
      <c r="H56" s="96">
        <f t="shared" si="7"/>
        <v>57731413.251999997</v>
      </c>
      <c r="I56" s="96">
        <f t="shared" si="7"/>
        <v>57840825.522</v>
      </c>
      <c r="J56" s="96">
        <f>+J53+I56</f>
        <v>57291247.681999996</v>
      </c>
      <c r="K56" s="96">
        <f t="shared" ref="K56:O56" si="8">+K53+J56</f>
        <v>56932665.590683714</v>
      </c>
      <c r="L56" s="96">
        <f t="shared" si="8"/>
        <v>56422830.670965545</v>
      </c>
      <c r="M56" s="96">
        <f t="shared" si="8"/>
        <v>56057246.765451126</v>
      </c>
      <c r="N56" s="96">
        <f t="shared" si="8"/>
        <v>55635206.378311984</v>
      </c>
      <c r="O56" s="96">
        <f t="shared" si="8"/>
        <v>56531023.799238548</v>
      </c>
      <c r="P56" s="97"/>
    </row>
    <row r="59" spans="1:17">
      <c r="P59" s="57">
        <v>0</v>
      </c>
      <c r="Q59" s="67" t="s">
        <v>187</v>
      </c>
    </row>
    <row r="60" spans="1:17">
      <c r="P60" s="57">
        <v>0</v>
      </c>
      <c r="Q60" s="67" t="s">
        <v>171</v>
      </c>
    </row>
    <row r="61" spans="1:17">
      <c r="P61" s="98">
        <v>0</v>
      </c>
      <c r="Q61" s="67" t="s">
        <v>152</v>
      </c>
    </row>
    <row r="62" spans="1:17">
      <c r="P62" s="98">
        <v>0</v>
      </c>
      <c r="Q62" s="67" t="s">
        <v>187</v>
      </c>
    </row>
    <row r="63" spans="1:17">
      <c r="P63" s="57">
        <v>0</v>
      </c>
      <c r="Q63" s="67" t="s">
        <v>171</v>
      </c>
    </row>
    <row r="64" spans="1:17">
      <c r="P64" s="99">
        <f>SUM(P59:P63)</f>
        <v>0</v>
      </c>
      <c r="Q64" s="87" t="s">
        <v>170</v>
      </c>
    </row>
    <row r="65" spans="9:17">
      <c r="P65" s="100"/>
      <c r="Q65" s="72"/>
    </row>
    <row r="66" spans="9:17">
      <c r="P66" s="80" t="s">
        <v>188</v>
      </c>
    </row>
    <row r="67" spans="9:17">
      <c r="I67" s="88"/>
      <c r="P67" s="55">
        <v>60705397.952</v>
      </c>
      <c r="Q67" s="67" t="s">
        <v>189</v>
      </c>
    </row>
    <row r="68" spans="9:17">
      <c r="P68" s="55">
        <f>P53</f>
        <v>-4174374.152761437</v>
      </c>
      <c r="Q68" s="67" t="s">
        <v>190</v>
      </c>
    </row>
    <row r="69" spans="9:17">
      <c r="P69" s="55">
        <v>0</v>
      </c>
      <c r="Q69" s="67" t="s">
        <v>191</v>
      </c>
    </row>
    <row r="70" spans="9:17">
      <c r="P70" s="88">
        <f>SUM(P67:P68)</f>
        <v>56531023.799238563</v>
      </c>
      <c r="Q70" s="67" t="s">
        <v>192</v>
      </c>
    </row>
    <row r="71" spans="9:17">
      <c r="P71" s="88"/>
    </row>
    <row r="72" spans="9:17">
      <c r="P72" s="88">
        <v>56531023.960000001</v>
      </c>
      <c r="Q72" s="67" t="s">
        <v>193</v>
      </c>
    </row>
    <row r="73" spans="9:17">
      <c r="P73" s="88" t="e">
        <f>SUM('[3]PS Query Pivot (RKPTDEF JRN ID)'!G89:'[3]PS Query Pivot (RKPTDEF JRN ID)'!G95)+SUM('[3]PS Query Pivot (RKPTDEF JRN ID)'!G97:G100)</f>
        <v>#REF!</v>
      </c>
      <c r="Q73" s="67" t="s">
        <v>194</v>
      </c>
    </row>
    <row r="74" spans="9:17">
      <c r="P74" s="55" t="e">
        <f>SUM('[3]Journal ID PPA_RIDER PS QUERY'!C76:'[3]Journal ID PPA_RIDER PS QUERY'!C82)+SUM('[3]Journal ID PPA_RIDER PS QUERY'!C84:C88)</f>
        <v>#REF!</v>
      </c>
      <c r="Q74" s="67" t="s">
        <v>195</v>
      </c>
    </row>
    <row r="77" spans="9:17">
      <c r="P77" s="42">
        <f>P70-P72</f>
        <v>-0.16076143831014633</v>
      </c>
      <c r="Q77" s="67" t="s">
        <v>196</v>
      </c>
    </row>
    <row r="78" spans="9:17">
      <c r="P78" s="42" t="e">
        <f>P68-P74</f>
        <v>#REF!</v>
      </c>
      <c r="Q78" s="67" t="s">
        <v>196</v>
      </c>
    </row>
    <row r="79" spans="9:17">
      <c r="P79" s="42" t="e">
        <f>+P69-P73</f>
        <v>#REF!</v>
      </c>
      <c r="Q79" s="67" t="s">
        <v>196</v>
      </c>
    </row>
  </sheetData>
  <pageMargins left="0.7" right="0.7" top="0.75" bottom="0.75" header="0.3" footer="0.3"/>
  <pageSetup orientation="portrait" horizontalDpi="300" verticalDpi="1200" r:id="rId1"/>
  <headerFooter>
    <oddFooter>&amp;C&amp;"Calibri,Regular"&amp;11&amp;B&amp;K000000AEP CONFIDENTIAL</oddFooter>
    <evenFooter>&amp;C&amp;"Calibri,Regular"&amp;11&amp;B&amp;K000000AEP CONFIDENTIAL</evenFooter>
    <firstFooter>&amp;C&amp;"Calibri,Regular"&amp;11&amp;B&amp;K000000AEP CONFIDENTIAL</first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B1D2A-9BD9-4EC2-B765-EF9F1A4572AB}">
  <dimension ref="A1:D23"/>
  <sheetViews>
    <sheetView showRuler="0" workbookViewId="0">
      <selection sqref="A1:C1"/>
    </sheetView>
  </sheetViews>
  <sheetFormatPr defaultColWidth="13.7265625" defaultRowHeight="12.5"/>
  <cols>
    <col min="1" max="1" width="67.7265625" style="2" customWidth="1"/>
    <col min="2" max="2" width="18.26953125" style="2" customWidth="1"/>
    <col min="3" max="3" width="17.26953125" style="2" customWidth="1"/>
    <col min="4" max="4" width="12.54296875" style="2" customWidth="1"/>
    <col min="5" max="16384" width="13.7265625" style="2"/>
  </cols>
  <sheetData>
    <row r="1" spans="1:4" ht="15" customHeight="1">
      <c r="A1" s="671" t="s">
        <v>51</v>
      </c>
      <c r="B1" s="670"/>
      <c r="C1" s="670"/>
    </row>
    <row r="2" spans="1:4" ht="15" customHeight="1">
      <c r="A2" s="672" t="s">
        <v>197</v>
      </c>
      <c r="B2" s="670"/>
      <c r="C2" s="670"/>
      <c r="D2" s="670"/>
    </row>
    <row r="3" spans="1:4" ht="15" customHeight="1">
      <c r="A3" s="672" t="s">
        <v>198</v>
      </c>
      <c r="B3" s="670"/>
      <c r="C3" s="670"/>
    </row>
    <row r="4" spans="1:4" ht="15" customHeight="1">
      <c r="A4" s="671" t="s">
        <v>83</v>
      </c>
      <c r="B4" s="670"/>
      <c r="C4" s="670"/>
      <c r="D4" s="670"/>
    </row>
    <row r="5" spans="1:4" ht="15" customHeight="1"/>
    <row r="6" spans="1:4" ht="15" customHeight="1">
      <c r="A6" s="27" t="s">
        <v>199</v>
      </c>
      <c r="B6" s="27" t="s">
        <v>200</v>
      </c>
      <c r="C6" s="27" t="s">
        <v>201</v>
      </c>
      <c r="D6" s="101"/>
    </row>
    <row r="7" spans="1:4" ht="15" customHeight="1">
      <c r="A7" s="102" t="s">
        <v>202</v>
      </c>
      <c r="B7" s="17"/>
      <c r="C7" s="17"/>
    </row>
    <row r="8" spans="1:4" ht="15" customHeight="1">
      <c r="A8" s="103" t="s">
        <v>203</v>
      </c>
      <c r="C8" s="104">
        <f>W11_PG_2_of_2!B8</f>
        <v>-529138</v>
      </c>
    </row>
    <row r="9" spans="1:4" ht="15" customHeight="1">
      <c r="A9" s="105" t="s">
        <v>204</v>
      </c>
      <c r="C9" s="104">
        <f>W11_PG_2_of_2!B9</f>
        <v>-6493.98</v>
      </c>
    </row>
    <row r="10" spans="1:4" ht="15" customHeight="1">
      <c r="A10" s="105" t="s">
        <v>205</v>
      </c>
      <c r="C10" s="106">
        <f>W11_PG_2_of_2!B10</f>
        <v>-37957.980000000003</v>
      </c>
    </row>
    <row r="11" spans="1:4" ht="15" customHeight="1" thickBot="1">
      <c r="A11" s="107" t="s">
        <v>206</v>
      </c>
      <c r="B11" s="108" t="s">
        <v>207</v>
      </c>
      <c r="C11" s="109">
        <f>SUM(C8:C10)</f>
        <v>-573589.96</v>
      </c>
    </row>
    <row r="12" spans="1:4" ht="15" customHeight="1" thickTop="1">
      <c r="C12" s="22"/>
    </row>
    <row r="13" spans="1:4" ht="15" customHeight="1">
      <c r="A13" s="110" t="s">
        <v>208</v>
      </c>
    </row>
    <row r="14" spans="1:4" ht="15" customHeight="1">
      <c r="A14" s="105" t="s">
        <v>209</v>
      </c>
      <c r="C14" s="104">
        <f>-W11_PG_2_of_2!B15</f>
        <v>-515763.12</v>
      </c>
    </row>
    <row r="15" spans="1:4" ht="15" customHeight="1">
      <c r="A15" s="105" t="s">
        <v>210</v>
      </c>
      <c r="C15" s="104">
        <f>-W11_PG_2_of_2!B16</f>
        <v>-276014.08000000002</v>
      </c>
    </row>
    <row r="16" spans="1:4" ht="15" customHeight="1">
      <c r="A16" s="105" t="s">
        <v>211</v>
      </c>
      <c r="C16" s="106">
        <f>-W11_PG_2_of_2!B17</f>
        <v>276014.08000000002</v>
      </c>
    </row>
    <row r="17" spans="1:3" ht="15" customHeight="1" thickBot="1">
      <c r="A17" s="107" t="s">
        <v>212</v>
      </c>
      <c r="B17" s="108" t="s">
        <v>213</v>
      </c>
      <c r="C17" s="109">
        <f>SUM(C14:C16)</f>
        <v>-515763.11999999994</v>
      </c>
    </row>
    <row r="18" spans="1:3" ht="15" customHeight="1" thickTop="1">
      <c r="C18" s="22"/>
    </row>
    <row r="19" spans="1:3" ht="15" customHeight="1"/>
    <row r="20" spans="1:3" ht="15" customHeight="1"/>
    <row r="21" spans="1:3" ht="15" customHeight="1"/>
    <row r="22" spans="1:3" ht="15" customHeight="1">
      <c r="A22" s="111" t="s">
        <v>53</v>
      </c>
      <c r="B22" s="3" t="s">
        <v>54</v>
      </c>
    </row>
    <row r="23" spans="1:3" ht="15" customHeight="1"/>
  </sheetData>
  <mergeCells count="4">
    <mergeCell ref="A1:C1"/>
    <mergeCell ref="A2:D2"/>
    <mergeCell ref="A3:C3"/>
    <mergeCell ref="A4:D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B8421-B8B1-4FDF-A0DE-096CAA09FF15}">
  <dimension ref="A1:E66"/>
  <sheetViews>
    <sheetView showRuler="0" topLeftCell="A45" workbookViewId="0">
      <selection sqref="A1:C1"/>
    </sheetView>
  </sheetViews>
  <sheetFormatPr defaultColWidth="13.7265625" defaultRowHeight="12.5"/>
  <cols>
    <col min="1" max="1" width="52.81640625" style="2" customWidth="1"/>
    <col min="2" max="2" width="36.453125" style="2" customWidth="1"/>
    <col min="3" max="3" width="16" style="2" customWidth="1"/>
    <col min="4" max="9" width="33.7265625" style="2" customWidth="1"/>
    <col min="10" max="16384" width="13.7265625" style="2"/>
  </cols>
  <sheetData>
    <row r="1" spans="1:5" ht="15" customHeight="1">
      <c r="A1" s="671" t="s">
        <v>51</v>
      </c>
      <c r="B1" s="670"/>
      <c r="C1" s="670"/>
    </row>
    <row r="2" spans="1:5" ht="15" customHeight="1">
      <c r="A2" s="672" t="s">
        <v>197</v>
      </c>
      <c r="B2" s="670"/>
      <c r="C2" s="670"/>
      <c r="D2" s="670"/>
    </row>
    <row r="3" spans="1:5" ht="15" customHeight="1">
      <c r="A3" s="13" t="s">
        <v>214</v>
      </c>
    </row>
    <row r="4" spans="1:5" ht="15" customHeight="1">
      <c r="A4" s="671" t="s">
        <v>83</v>
      </c>
      <c r="B4" s="670"/>
      <c r="C4" s="670"/>
      <c r="D4" s="670"/>
      <c r="E4" s="670"/>
    </row>
    <row r="5" spans="1:5" ht="15" customHeight="1"/>
    <row r="6" spans="1:5" ht="15" customHeight="1">
      <c r="B6" s="112" t="s">
        <v>215</v>
      </c>
    </row>
    <row r="7" spans="1:5" ht="15" customHeight="1">
      <c r="B7" s="113" t="s">
        <v>216</v>
      </c>
    </row>
    <row r="8" spans="1:5" ht="16.75" customHeight="1">
      <c r="A8" s="111" t="s">
        <v>217</v>
      </c>
      <c r="B8" s="114">
        <f>C27</f>
        <v>-529138</v>
      </c>
      <c r="D8" s="13"/>
    </row>
    <row r="9" spans="1:5" ht="16.75" customHeight="1">
      <c r="A9" s="111" t="s">
        <v>218</v>
      </c>
      <c r="B9" s="11">
        <f>+C30+C59+C60</f>
        <v>-6493.98</v>
      </c>
      <c r="D9" s="13"/>
    </row>
    <row r="10" spans="1:5" ht="16.75" customHeight="1">
      <c r="A10" s="111" t="s">
        <v>219</v>
      </c>
      <c r="B10" s="115">
        <f>+C29</f>
        <v>-37957.980000000003</v>
      </c>
      <c r="C10" s="13"/>
      <c r="D10" s="13"/>
    </row>
    <row r="11" spans="1:5" ht="15" customHeight="1" thickBot="1">
      <c r="A11" s="5" t="s">
        <v>220</v>
      </c>
      <c r="B11" s="116">
        <f>SUM(B8:B10)</f>
        <v>-573589.96</v>
      </c>
    </row>
    <row r="12" spans="1:5" ht="15" customHeight="1" thickTop="1">
      <c r="B12" s="22"/>
    </row>
    <row r="13" spans="1:5" ht="15" customHeight="1">
      <c r="B13" s="112" t="s">
        <v>215</v>
      </c>
    </row>
    <row r="14" spans="1:5" ht="15" customHeight="1">
      <c r="B14" s="113" t="s">
        <v>221</v>
      </c>
    </row>
    <row r="15" spans="1:5" ht="15" customHeight="1">
      <c r="A15" s="111" t="s">
        <v>222</v>
      </c>
      <c r="B15" s="114">
        <f>C31+C61+C62</f>
        <v>515763.12</v>
      </c>
      <c r="D15" s="13"/>
    </row>
    <row r="16" spans="1:5" ht="15" customHeight="1">
      <c r="A16" s="111" t="s">
        <v>223</v>
      </c>
      <c r="B16" s="11">
        <f>-B17</f>
        <v>276014.08000000002</v>
      </c>
    </row>
    <row r="17" spans="1:4" ht="15" customHeight="1">
      <c r="A17" s="111" t="s">
        <v>224</v>
      </c>
      <c r="B17" s="115">
        <f>C41</f>
        <v>-276014.08000000002</v>
      </c>
    </row>
    <row r="18" spans="1:4" ht="15" customHeight="1" thickBot="1">
      <c r="A18" s="5" t="s">
        <v>225</v>
      </c>
      <c r="B18" s="116">
        <f>SUM(B15:B17)</f>
        <v>515763.11999999994</v>
      </c>
    </row>
    <row r="19" spans="1:4" ht="15" customHeight="1" thickTop="1">
      <c r="B19" s="22"/>
    </row>
    <row r="20" spans="1:4" ht="15" customHeight="1"/>
    <row r="21" spans="1:4" ht="16.75" customHeight="1">
      <c r="A21" s="117" t="s">
        <v>226</v>
      </c>
      <c r="B21" s="117" t="s">
        <v>227</v>
      </c>
    </row>
    <row r="22" spans="1:4" ht="16.75" customHeight="1">
      <c r="A22" s="117" t="s">
        <v>228</v>
      </c>
      <c r="B22" s="117" t="s">
        <v>229</v>
      </c>
    </row>
    <row r="23" spans="1:4" ht="15" customHeight="1"/>
    <row r="24" spans="1:4" ht="15" customHeight="1">
      <c r="A24" s="117" t="s">
        <v>230</v>
      </c>
      <c r="B24" s="117"/>
      <c r="C24" s="117"/>
    </row>
    <row r="25" spans="1:4" ht="15" customHeight="1">
      <c r="A25" s="117" t="s">
        <v>231</v>
      </c>
      <c r="B25" s="117" t="s">
        <v>232</v>
      </c>
      <c r="C25" s="117" t="s">
        <v>88</v>
      </c>
    </row>
    <row r="26" spans="1:4" ht="16.75" customHeight="1">
      <c r="A26" s="20" t="s">
        <v>233</v>
      </c>
      <c r="B26" s="13" t="s">
        <v>234</v>
      </c>
      <c r="C26" s="11">
        <v>34500.720000000001</v>
      </c>
    </row>
    <row r="27" spans="1:4" ht="16.75" customHeight="1">
      <c r="A27" s="20" t="s">
        <v>235</v>
      </c>
      <c r="B27" s="13" t="s">
        <v>236</v>
      </c>
      <c r="C27" s="11">
        <v>-529138</v>
      </c>
    </row>
    <row r="28" spans="1:4" ht="16.75" customHeight="1">
      <c r="A28" s="20" t="s">
        <v>237</v>
      </c>
      <c r="B28" s="13" t="s">
        <v>238</v>
      </c>
      <c r="C28" s="11">
        <v>3457.26</v>
      </c>
    </row>
    <row r="29" spans="1:4" ht="16.75" customHeight="1">
      <c r="A29" s="20" t="s">
        <v>239</v>
      </c>
      <c r="B29" s="13" t="s">
        <v>240</v>
      </c>
      <c r="C29" s="11">
        <v>-37957.980000000003</v>
      </c>
    </row>
    <row r="30" spans="1:4" ht="16.75" customHeight="1">
      <c r="A30" s="20" t="s">
        <v>239</v>
      </c>
      <c r="B30" s="13" t="s">
        <v>241</v>
      </c>
      <c r="C30" s="11">
        <v>25697</v>
      </c>
    </row>
    <row r="31" spans="1:4" ht="16.75" customHeight="1">
      <c r="A31" s="20" t="s">
        <v>242</v>
      </c>
      <c r="B31" s="13" t="s">
        <v>243</v>
      </c>
      <c r="C31" s="11">
        <v>503441</v>
      </c>
    </row>
    <row r="32" spans="1:4" ht="15" customHeight="1">
      <c r="A32" s="117" t="s">
        <v>244</v>
      </c>
      <c r="B32" s="118"/>
      <c r="C32" s="119">
        <f>SUM(C26:C31)</f>
        <v>0</v>
      </c>
      <c r="D32" s="13"/>
    </row>
    <row r="33" spans="1:3" ht="15" customHeight="1"/>
    <row r="34" spans="1:3" ht="15" customHeight="1"/>
    <row r="35" spans="1:3" ht="15" customHeight="1">
      <c r="A35" s="117" t="s">
        <v>226</v>
      </c>
      <c r="B35" s="117" t="s">
        <v>227</v>
      </c>
    </row>
    <row r="36" spans="1:3" ht="15" customHeight="1">
      <c r="A36" s="117" t="s">
        <v>228</v>
      </c>
      <c r="B36" s="117" t="s">
        <v>245</v>
      </c>
    </row>
    <row r="37" spans="1:3" ht="15" customHeight="1"/>
    <row r="38" spans="1:3" ht="15" customHeight="1">
      <c r="A38" s="117" t="s">
        <v>230</v>
      </c>
      <c r="B38" s="117"/>
      <c r="C38" s="117"/>
    </row>
    <row r="39" spans="1:3" ht="15" customHeight="1">
      <c r="A39" s="117" t="s">
        <v>231</v>
      </c>
      <c r="B39" s="117" t="s">
        <v>232</v>
      </c>
      <c r="C39" s="117" t="s">
        <v>88</v>
      </c>
    </row>
    <row r="40" spans="1:3" ht="15" customHeight="1">
      <c r="A40" s="120">
        <v>1823012</v>
      </c>
      <c r="B40" s="111" t="s">
        <v>246</v>
      </c>
      <c r="C40" s="11">
        <v>276014.08000000002</v>
      </c>
    </row>
    <row r="41" spans="1:3" ht="15" customHeight="1">
      <c r="A41" s="120">
        <v>9080009</v>
      </c>
      <c r="B41" s="111" t="s">
        <v>247</v>
      </c>
      <c r="C41" s="11">
        <v>-276014.08000000002</v>
      </c>
    </row>
    <row r="42" spans="1:3" ht="15" customHeight="1">
      <c r="A42" s="117" t="s">
        <v>244</v>
      </c>
      <c r="B42" s="117"/>
      <c r="C42" s="121">
        <f>SUM(C40:C41)</f>
        <v>0</v>
      </c>
    </row>
    <row r="43" spans="1:3" ht="15" customHeight="1"/>
    <row r="44" spans="1:3" ht="15" customHeight="1"/>
    <row r="45" spans="1:3" ht="15" customHeight="1">
      <c r="A45" s="117" t="s">
        <v>226</v>
      </c>
      <c r="B45" s="117" t="s">
        <v>227</v>
      </c>
    </row>
    <row r="46" spans="1:3" ht="15" customHeight="1">
      <c r="A46" s="117" t="s">
        <v>228</v>
      </c>
      <c r="B46" s="117" t="s">
        <v>248</v>
      </c>
    </row>
    <row r="47" spans="1:3" ht="15" customHeight="1"/>
    <row r="48" spans="1:3" ht="15" customHeight="1">
      <c r="A48" s="117" t="s">
        <v>230</v>
      </c>
      <c r="B48" s="117"/>
      <c r="C48" s="117"/>
    </row>
    <row r="49" spans="1:4" ht="15" customHeight="1">
      <c r="A49" s="117" t="s">
        <v>231</v>
      </c>
      <c r="B49" s="117" t="s">
        <v>232</v>
      </c>
      <c r="C49" s="117" t="s">
        <v>88</v>
      </c>
    </row>
    <row r="50" spans="1:4" ht="15" customHeight="1">
      <c r="A50" s="20">
        <v>1823009</v>
      </c>
      <c r="B50" s="111" t="s">
        <v>249</v>
      </c>
      <c r="C50" s="11">
        <v>-379.45</v>
      </c>
      <c r="D50" s="13"/>
    </row>
    <row r="51" spans="1:4" ht="15" customHeight="1">
      <c r="A51" s="20">
        <v>1823009</v>
      </c>
      <c r="B51" s="111" t="s">
        <v>250</v>
      </c>
      <c r="C51" s="11">
        <v>21121.84</v>
      </c>
      <c r="D51" s="13"/>
    </row>
    <row r="52" spans="1:4" ht="15" customHeight="1">
      <c r="A52" s="20">
        <v>1823010</v>
      </c>
      <c r="B52" s="111" t="s">
        <v>251</v>
      </c>
      <c r="C52" s="11">
        <v>3664.82</v>
      </c>
    </row>
    <row r="53" spans="1:4" ht="15" customHeight="1">
      <c r="A53" s="20">
        <v>1823011</v>
      </c>
      <c r="B53" s="111" t="s">
        <v>249</v>
      </c>
      <c r="C53" s="11">
        <v>6227.75</v>
      </c>
      <c r="D53" s="13"/>
    </row>
    <row r="54" spans="1:4" ht="15" customHeight="1">
      <c r="A54" s="20">
        <v>1823011</v>
      </c>
      <c r="B54" s="111" t="s">
        <v>252</v>
      </c>
      <c r="C54" s="11">
        <v>8015.84</v>
      </c>
      <c r="D54" s="13"/>
    </row>
    <row r="55" spans="1:4" ht="15" customHeight="1">
      <c r="A55" s="20">
        <v>1823012</v>
      </c>
      <c r="B55" s="111" t="s">
        <v>249</v>
      </c>
      <c r="C55" s="11">
        <v>-10485.120000000001</v>
      </c>
      <c r="D55" s="13"/>
    </row>
    <row r="56" spans="1:4" ht="15" customHeight="1">
      <c r="A56" s="20">
        <v>1823012</v>
      </c>
      <c r="B56" s="111" t="s">
        <v>246</v>
      </c>
      <c r="C56" s="11">
        <v>-4631</v>
      </c>
      <c r="D56" s="13"/>
    </row>
    <row r="57" spans="1:4" ht="15" customHeight="1">
      <c r="A57" s="20">
        <v>2543247</v>
      </c>
      <c r="B57" s="111" t="s">
        <v>253</v>
      </c>
      <c r="C57" s="11">
        <v>971</v>
      </c>
      <c r="D57" s="13"/>
    </row>
    <row r="58" spans="1:4" ht="15" customHeight="1">
      <c r="A58" s="20">
        <v>2543247</v>
      </c>
      <c r="B58" s="111" t="s">
        <v>254</v>
      </c>
      <c r="C58" s="11">
        <v>-4636.82</v>
      </c>
      <c r="D58" s="13"/>
    </row>
    <row r="59" spans="1:4" ht="15" customHeight="1">
      <c r="A59" s="122" t="s">
        <v>239</v>
      </c>
      <c r="B59" s="111" t="s">
        <v>249</v>
      </c>
      <c r="C59" s="11">
        <v>-5848.3</v>
      </c>
    </row>
    <row r="60" spans="1:4" ht="15" customHeight="1">
      <c r="A60" s="122" t="s">
        <v>239</v>
      </c>
      <c r="B60" s="111" t="s">
        <v>255</v>
      </c>
      <c r="C60" s="11">
        <v>-26342.68</v>
      </c>
    </row>
    <row r="61" spans="1:4" ht="15" customHeight="1">
      <c r="A61" s="122" t="s">
        <v>242</v>
      </c>
      <c r="B61" s="111" t="s">
        <v>249</v>
      </c>
      <c r="C61" s="11">
        <v>10485.120000000001</v>
      </c>
    </row>
    <row r="62" spans="1:4" ht="15" customHeight="1">
      <c r="A62" s="122" t="s">
        <v>242</v>
      </c>
      <c r="B62" s="111" t="s">
        <v>254</v>
      </c>
      <c r="C62" s="11">
        <v>1837</v>
      </c>
    </row>
    <row r="63" spans="1:4" ht="15" customHeight="1">
      <c r="A63" s="117" t="s">
        <v>244</v>
      </c>
      <c r="B63" s="117"/>
      <c r="C63" s="121">
        <f>SUM(C50:C62)</f>
        <v>1.8189894035458565E-12</v>
      </c>
      <c r="D63" s="13"/>
    </row>
    <row r="64" spans="1:4" ht="15" customHeight="1"/>
    <row r="65" spans="1:2" ht="15" customHeight="1">
      <c r="A65" s="111" t="s">
        <v>53</v>
      </c>
      <c r="B65" s="3" t="s">
        <v>54</v>
      </c>
    </row>
    <row r="66" spans="1:2" ht="15" customHeight="1"/>
  </sheetData>
  <mergeCells count="3">
    <mergeCell ref="A1:C1"/>
    <mergeCell ref="A2:D2"/>
    <mergeCell ref="A4:E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PC9zaXNsPjxVc2VyTmFtZT5DT1JQXHMyMTcwNDY8L1VzZXJOYW1lPjxEYXRlVGltZT45LzkvMjAyNSA3OjEzOjIzIFBNPC9EYXRlVGltZT48TGFiZWxTdHJpbmc+QUVQIEludGVybmFsPC9MYWJlbFN0cmluZz48L2l0ZW0+PC9sYWJlbEhpc3Rvcnk+</Value>
</WrappedLabelHistor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element uid="d14f5c36-f44a-4315-b438-005cfe8f069f" value=""/>
</sisl>
</file>

<file path=customXml/itemProps1.xml><?xml version="1.0" encoding="utf-8"?>
<ds:datastoreItem xmlns:ds="http://schemas.openxmlformats.org/officeDocument/2006/customXml" ds:itemID="{3AD3A12A-0DC1-4B12-B252-40218CB8BDDA}">
  <ds:schemaRefs>
    <ds:schemaRef ds:uri="http://purl.org/dc/terms/"/>
    <ds:schemaRef ds:uri="http://schemas.microsoft.com/office/infopath/2007/PartnerControls"/>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b6888f76-1100-40b0-929b-1efe9044426d"/>
    <ds:schemaRef ds:uri="f88ffb1c-9230-4705-a789-27bae69f5829"/>
  </ds:schemaRefs>
</ds:datastoreItem>
</file>

<file path=customXml/itemProps2.xml><?xml version="1.0" encoding="utf-8"?>
<ds:datastoreItem xmlns:ds="http://schemas.openxmlformats.org/officeDocument/2006/customXml" ds:itemID="{955CE1A7-2268-4CC8-B258-C3A705988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856249-8E81-4B1D-93F4-F371624113FE}">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B90EC3CC-8447-45FD-9CAB-24906DDBBC4E}">
  <ds:schemaRefs>
    <ds:schemaRef ds:uri="http://schemas.microsoft.com/sharepoint/v3/contenttype/forms"/>
  </ds:schemaRefs>
</ds:datastoreItem>
</file>

<file path=customXml/itemProps5.xml><?xml version="1.0" encoding="utf-8"?>
<ds:datastoreItem xmlns:ds="http://schemas.openxmlformats.org/officeDocument/2006/customXml" ds:itemID="{786094DE-F1AE-4AFD-8B02-F4E870BB56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5</vt:i4>
      </vt:variant>
    </vt:vector>
  </HeadingPairs>
  <TitlesOfParts>
    <vt:vector size="64" baseType="lpstr">
      <vt:lpstr>Index</vt:lpstr>
      <vt:lpstr>W07_PG_1_of_4</vt:lpstr>
      <vt:lpstr>W07_PG_2_of_4</vt:lpstr>
      <vt:lpstr>W07_PG_3_of_4</vt:lpstr>
      <vt:lpstr>W07_PG_4_of_4</vt:lpstr>
      <vt:lpstr>W10_PG_1_of_2</vt:lpstr>
      <vt:lpstr>W10_PG_2_of_2</vt:lpstr>
      <vt:lpstr>W11_PG_1_of_2</vt:lpstr>
      <vt:lpstr>W11_PG_2_of_2</vt:lpstr>
      <vt:lpstr>W12_PG_1_of_1</vt:lpstr>
      <vt:lpstr>WP13_PG_1_of_1</vt:lpstr>
      <vt:lpstr>W17_PG_1_of_1</vt:lpstr>
      <vt:lpstr>W20_PG_1_of_2</vt:lpstr>
      <vt:lpstr>W20_PG_2_of_2</vt:lpstr>
      <vt:lpstr>W25_PG_1_of_3</vt:lpstr>
      <vt:lpstr>W25_PG_2_of_3</vt:lpstr>
      <vt:lpstr>W25_PG_3_of_3</vt:lpstr>
      <vt:lpstr>W26_PG_1_of_3</vt:lpstr>
      <vt:lpstr>W26_PG_2_of_3</vt:lpstr>
      <vt:lpstr>W26_PG_3_of_3</vt:lpstr>
      <vt:lpstr>W27_PG_1_of_6</vt:lpstr>
      <vt:lpstr>W27_PG_2_of_6</vt:lpstr>
      <vt:lpstr>W27_PG_3_of_6</vt:lpstr>
      <vt:lpstr>W27_PG_4_of_6</vt:lpstr>
      <vt:lpstr>W27_PG_5_of_6</vt:lpstr>
      <vt:lpstr>W27_PG_6_of_6</vt:lpstr>
      <vt:lpstr>W28_PG_1_of_4</vt:lpstr>
      <vt:lpstr>W28_PG_2_of_4</vt:lpstr>
      <vt:lpstr>W28_PG_3_of_4</vt:lpstr>
      <vt:lpstr>W28_PG_4_of_4</vt:lpstr>
      <vt:lpstr>W29_PG_1_of_1</vt:lpstr>
      <vt:lpstr>W30_W_35_PG_1_of_1</vt:lpstr>
      <vt:lpstr>W30_PG_1_of_3</vt:lpstr>
      <vt:lpstr>W30_PG_2_of_3</vt:lpstr>
      <vt:lpstr>W30_PG_3_of_3</vt:lpstr>
      <vt:lpstr>W31_PG_1_of_4</vt:lpstr>
      <vt:lpstr>W31_PG_2_of_4</vt:lpstr>
      <vt:lpstr>W31_PG_3_of_4</vt:lpstr>
      <vt:lpstr>W31_PG_4_of_4</vt:lpstr>
      <vt:lpstr>W32_PG_1_of_2</vt:lpstr>
      <vt:lpstr>W32_PG_2_of_2</vt:lpstr>
      <vt:lpstr>W34_PG_1_of_3</vt:lpstr>
      <vt:lpstr>W34_PG_2_of_3</vt:lpstr>
      <vt:lpstr>W34_PG_3_of_3</vt:lpstr>
      <vt:lpstr>W35_PG_1_of_2</vt:lpstr>
      <vt:lpstr>W35_PG_2_of_2</vt:lpstr>
      <vt:lpstr>W37_PG_1_of_2</vt:lpstr>
      <vt:lpstr>W37_PG_2_of_2</vt:lpstr>
      <vt:lpstr>W38_PG_1_of_1</vt:lpstr>
      <vt:lpstr>W39_PG_1_of_1</vt:lpstr>
      <vt:lpstr>W46_PG_1_of_1</vt:lpstr>
      <vt:lpstr>W56_PG_1_of_7</vt:lpstr>
      <vt:lpstr>W56_PG_2_of_7</vt:lpstr>
      <vt:lpstr>W56_PG_3_of_7</vt:lpstr>
      <vt:lpstr>W56_PG_4_of_7</vt:lpstr>
      <vt:lpstr>W56_PG_5_of_7</vt:lpstr>
      <vt:lpstr>W56_PG_6_of_7</vt:lpstr>
      <vt:lpstr>W56_PG_7_of_7</vt:lpstr>
      <vt:lpstr>W58_PG_1_of_1</vt:lpstr>
      <vt:lpstr>W10_PG_1_of_2!Print_Area</vt:lpstr>
      <vt:lpstr>W27_PG_4_of_6!Print_Area</vt:lpstr>
      <vt:lpstr>W27_PG_5_of_6!Print_Area</vt:lpstr>
      <vt:lpstr>W30_PG_2_of_3!Print_Titles</vt:lpstr>
      <vt:lpstr>W30_PG_3_of_3!Print_Titles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 Ciborek</dc:creator>
  <cp:lastModifiedBy>Michelle Caldwell</cp:lastModifiedBy>
  <dcterms:created xsi:type="dcterms:W3CDTF">2025-09-09T18:13:13Z</dcterms:created>
  <dcterms:modified xsi:type="dcterms:W3CDTF">2025-09-12T16:03:55Z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50f89e75-0a61-4dad-ab1e-73657c657a3e</vt:lpwstr>
  </property>
  <property fmtid="{D5CDD505-2E9C-101B-9397-08002B2CF9AE}" pid="3" name="bjClsUserRVM">
    <vt:lpwstr>[]</vt:lpwstr>
  </property>
  <property fmtid="{D5CDD505-2E9C-101B-9397-08002B2CF9AE}" pid="4" name="bjSaver">
    <vt:lpwstr>gu2o5dNIpgK/IMCL1CU0RhwyV6FkKGq0</vt:lpwstr>
  </property>
  <property fmtid="{D5CDD505-2E9C-101B-9397-08002B2CF9AE}" pid="5"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6" name="bjDocumentLabelXML-0">
    <vt:lpwstr>ames.com/2008/01/sie/internal/label"&gt;&lt;element uid="50c31824-0780-4910-87d1-eaaffd182d42" value="" /&gt;&lt;element uid="d14f5c36-f44a-4315-b438-005cfe8f069f" value="" /&gt;&lt;/sisl&gt;</vt:lpwstr>
  </property>
  <property fmtid="{D5CDD505-2E9C-101B-9397-08002B2CF9AE}" pid="7" name="bjDocumentSecurityLabel">
    <vt:lpwstr>AEP Internal</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LabelHistoryID">
    <vt:lpwstr>{54856249-8E81-4B1D-93F4-F371624113FE}</vt:lpwstr>
  </property>
  <property fmtid="{D5CDD505-2E9C-101B-9397-08002B2CF9AE}" pid="12" name="ContentTypeId">
    <vt:lpwstr>0x0101004DF805D1E1DA4A49A223477D3B105720</vt:lpwstr>
  </property>
  <property fmtid="{D5CDD505-2E9C-101B-9397-08002B2CF9AE}" pid="13" name="MediaServiceImageTags">
    <vt:lpwstr/>
  </property>
</Properties>
</file>