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cing\Rate Cases\KPCo\2025 Base Case - TME 5-31-25 TY\Discovery\Staff\Staff 1-24\"/>
    </mc:Choice>
  </mc:AlternateContent>
  <xr:revisionPtr revIDLastSave="0" documentId="13_ncr:1_{9DFF7CA4-5DED-4687-901B-3737362E0E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 Sheet" sheetId="2" r:id="rId1"/>
    <sheet name="Reconciliation" sheetId="4" r:id="rId2"/>
    <sheet name="Balance Sheet Detail" sheetId="1" r:id="rId3"/>
  </sheets>
  <externalReferences>
    <externalReference r:id="rId4"/>
    <externalReference r:id="rId5"/>
  </externalReferences>
  <definedNames>
    <definedName name="Begin_Print1" localSheetId="1">[1]IS!#REF!</definedName>
    <definedName name="Begin_Print1">[1]IS!#REF!</definedName>
    <definedName name="BS_BEGIN">'[2]BS Feb 2017'!$B$8</definedName>
    <definedName name="BS_CAP">'[2]BS Feb 2017'!$B$401</definedName>
    <definedName name="BS_END">'[2]BS Feb 2017'!$B$739</definedName>
    <definedName name="NvsASD">"V2009-09-30"</definedName>
    <definedName name="NvsAutoDrillOk">"VN"</definedName>
    <definedName name="NvsElapsedTime">0.000486111108330078</definedName>
    <definedName name="NvsEndTime">40094.7228240741</definedName>
    <definedName name="NvsInstanceHook">"""nvsMacro"""</definedName>
    <definedName name="NvsInstLang">"VENG"</definedName>
    <definedName name="NvsInstSpec">"%,FBUSINESS_UNIT,TGL_PRPT_CONS,NKYP_INT_CONSOL"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"VX992"</definedName>
    <definedName name="NvsReqBUOnly">"VN"</definedName>
    <definedName name="NvsTransLed">"VN"</definedName>
    <definedName name="NvsTree.GL_PRPT_CONS">"NNNNN"</definedName>
    <definedName name="NvsTreeASD">"V2009-09-30"</definedName>
    <definedName name="NvsValTbl.ACCOUNT">"GL_ACCOUNT_TBL"</definedName>
    <definedName name="NvsValTbl.CURRENCY_CD">"CURRENCY_CD_TBL"</definedName>
    <definedName name="_xlnm.Print_Area" localSheetId="1">Reconciliation!$A$1:$D$62</definedName>
    <definedName name="_xlnm.Print_Titles" localSheetId="2">'Balance Sheet Detail'!$1:$4</definedName>
    <definedName name="_xlnm.Print_Titles" localSheetId="1">Reconciliation!$1:$6</definedName>
    <definedName name="Rev_End" localSheetId="1">[1]IS!#REF!</definedName>
    <definedName name="Rev_End">[1]IS!#REF!</definedName>
    <definedName name="search_directory_name">"R:\fcm90prd\nvision\rpts\Fin_Reports\"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2" l="1"/>
  <c r="H11" i="2"/>
  <c r="D10" i="2"/>
  <c r="H16" i="2" l="1"/>
  <c r="H10" i="2"/>
  <c r="D30" i="2" l="1"/>
  <c r="D29" i="1"/>
  <c r="C464" i="1" l="1"/>
  <c r="H29" i="2"/>
  <c r="H24" i="2"/>
  <c r="F25" i="2"/>
  <c r="H25" i="2" s="1"/>
  <c r="G318" i="1" l="1"/>
  <c r="H27" i="2" l="1"/>
  <c r="H28" i="2"/>
  <c r="D12" i="4" l="1"/>
  <c r="G235" i="1"/>
  <c r="K235" i="1" s="1"/>
  <c r="G236" i="1"/>
  <c r="K236" i="1" s="1"/>
  <c r="G237" i="1"/>
  <c r="I24" i="1"/>
  <c r="I25" i="1"/>
  <c r="G24" i="1"/>
  <c r="G25" i="1"/>
  <c r="C372" i="1"/>
  <c r="C305" i="1"/>
  <c r="G559" i="1" l="1"/>
  <c r="K559" i="1" s="1"/>
  <c r="G433" i="1"/>
  <c r="K433" i="1" s="1"/>
  <c r="G423" i="1"/>
  <c r="K423" i="1" s="1"/>
  <c r="G424" i="1"/>
  <c r="K424" i="1" s="1"/>
  <c r="G425" i="1"/>
  <c r="G400" i="1"/>
  <c r="K400" i="1" s="1"/>
  <c r="G390" i="1"/>
  <c r="K390" i="1" s="1"/>
  <c r="G382" i="1"/>
  <c r="I382" i="1" s="1"/>
  <c r="I383" i="1" s="1"/>
  <c r="C383" i="1"/>
  <c r="K382" i="1" l="1"/>
  <c r="E312" i="1" l="1"/>
  <c r="G312" i="1" s="1"/>
  <c r="I133" i="1" l="1"/>
  <c r="G133" i="1"/>
  <c r="C134" i="1"/>
  <c r="G269" i="1"/>
  <c r="K269" i="1" s="1"/>
  <c r="G265" i="1"/>
  <c r="K265" i="1" s="1"/>
  <c r="C245" i="1"/>
  <c r="G239" i="1"/>
  <c r="K239" i="1" s="1"/>
  <c r="G240" i="1"/>
  <c r="K240" i="1" s="1"/>
  <c r="G241" i="1"/>
  <c r="K241" i="1" s="1"/>
  <c r="G242" i="1"/>
  <c r="K242" i="1" s="1"/>
  <c r="G243" i="1"/>
  <c r="K243" i="1" s="1"/>
  <c r="G244" i="1"/>
  <c r="K244" i="1" s="1"/>
  <c r="G206" i="1"/>
  <c r="K206" i="1" s="1"/>
  <c r="G207" i="1"/>
  <c r="K207" i="1" s="1"/>
  <c r="G208" i="1"/>
  <c r="K208" i="1" s="1"/>
  <c r="G98" i="1"/>
  <c r="K98" i="1" s="1"/>
  <c r="C26" i="1"/>
  <c r="K133" i="1" l="1"/>
  <c r="E583" i="1"/>
  <c r="H13" i="2" l="1"/>
  <c r="H12" i="2"/>
  <c r="K453" i="1"/>
  <c r="K459" i="1"/>
  <c r="K465" i="1"/>
  <c r="G461" i="1"/>
  <c r="K425" i="1"/>
  <c r="G431" i="1"/>
  <c r="K431" i="1" s="1"/>
  <c r="G432" i="1"/>
  <c r="K432" i="1" s="1"/>
  <c r="G396" i="1"/>
  <c r="K396" i="1" s="1"/>
  <c r="G397" i="1"/>
  <c r="K397" i="1" s="1"/>
  <c r="G398" i="1"/>
  <c r="K398" i="1" s="1"/>
  <c r="G399" i="1"/>
  <c r="K399" i="1" s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8" i="1"/>
  <c r="F30" i="2" l="1"/>
  <c r="K461" i="1" l="1"/>
  <c r="C148" i="1"/>
  <c r="G463" i="1"/>
  <c r="K186" i="1"/>
  <c r="G545" i="1"/>
  <c r="K545" i="1" s="1"/>
  <c r="G420" i="1" l="1"/>
  <c r="K420" i="1" s="1"/>
  <c r="G413" i="1"/>
  <c r="K413" i="1" s="1"/>
  <c r="G407" i="1"/>
  <c r="K407" i="1" s="1"/>
  <c r="G408" i="1"/>
  <c r="K408" i="1" s="1"/>
  <c r="G409" i="1"/>
  <c r="K409" i="1" s="1"/>
  <c r="G332" i="1"/>
  <c r="K332" i="1" s="1"/>
  <c r="G333" i="1"/>
  <c r="K333" i="1" s="1"/>
  <c r="G356" i="1"/>
  <c r="K356" i="1" s="1"/>
  <c r="E300" i="1"/>
  <c r="G300" i="1" s="1"/>
  <c r="K300" i="1" s="1"/>
  <c r="G276" i="1"/>
  <c r="K276" i="1" s="1"/>
  <c r="G277" i="1"/>
  <c r="K277" i="1" s="1"/>
  <c r="K237" i="1"/>
  <c r="K238" i="1"/>
  <c r="K204" i="1"/>
  <c r="K205" i="1"/>
  <c r="G174" i="1"/>
  <c r="I147" i="1"/>
  <c r="G147" i="1"/>
  <c r="I113" i="1"/>
  <c r="G111" i="1"/>
  <c r="K111" i="1" s="1"/>
  <c r="C113" i="1"/>
  <c r="G93" i="1"/>
  <c r="K93" i="1" s="1"/>
  <c r="G90" i="1"/>
  <c r="K90" i="1" s="1"/>
  <c r="I35" i="1"/>
  <c r="G35" i="1"/>
  <c r="C36" i="1"/>
  <c r="K463" i="1" l="1"/>
  <c r="I464" i="1"/>
  <c r="I174" i="1"/>
  <c r="K174" i="1" s="1"/>
  <c r="K147" i="1"/>
  <c r="K35" i="1"/>
  <c r="C152" i="1" l="1"/>
  <c r="C39" i="1" l="1"/>
  <c r="C38" i="1"/>
  <c r="C137" i="1" l="1"/>
  <c r="C176" i="1" s="1"/>
  <c r="G136" i="1"/>
  <c r="K136" i="1" s="1"/>
  <c r="I14" i="1"/>
  <c r="I15" i="1"/>
  <c r="C16" i="1"/>
  <c r="C19" i="1" l="1"/>
  <c r="G137" i="1"/>
  <c r="I163" i="1"/>
  <c r="I386" i="1"/>
  <c r="K137" i="1" l="1"/>
  <c r="I5" i="1"/>
  <c r="H23" i="2" l="1"/>
  <c r="C490" i="1" l="1"/>
  <c r="G486" i="1"/>
  <c r="G394" i="1"/>
  <c r="K394" i="1" s="1"/>
  <c r="G395" i="1"/>
  <c r="K395" i="1" s="1"/>
  <c r="G401" i="1"/>
  <c r="K401" i="1" s="1"/>
  <c r="I140" i="1"/>
  <c r="G140" i="1"/>
  <c r="I130" i="1"/>
  <c r="G130" i="1"/>
  <c r="C101" i="1"/>
  <c r="G76" i="1"/>
  <c r="G45" i="1"/>
  <c r="K45" i="1" s="1"/>
  <c r="I29" i="1"/>
  <c r="G29" i="1"/>
  <c r="I13" i="1"/>
  <c r="G13" i="1"/>
  <c r="I6" i="1"/>
  <c r="I7" i="1"/>
  <c r="I18" i="1"/>
  <c r="I8" i="1"/>
  <c r="I9" i="1"/>
  <c r="I10" i="1"/>
  <c r="G6" i="1"/>
  <c r="G7" i="1"/>
  <c r="G18" i="1"/>
  <c r="G8" i="1"/>
  <c r="G9" i="1"/>
  <c r="G10" i="1"/>
  <c r="C573" i="1"/>
  <c r="C550" i="1"/>
  <c r="C547" i="1"/>
  <c r="C30" i="1"/>
  <c r="C31" i="1" s="1"/>
  <c r="G570" i="1"/>
  <c r="K570" i="1" s="1"/>
  <c r="G571" i="1"/>
  <c r="K571" i="1" s="1"/>
  <c r="G572" i="1"/>
  <c r="K572" i="1" s="1"/>
  <c r="G546" i="1"/>
  <c r="K546" i="1" s="1"/>
  <c r="G543" i="1"/>
  <c r="K543" i="1" s="1"/>
  <c r="G498" i="1"/>
  <c r="K498" i="1" s="1"/>
  <c r="G462" i="1"/>
  <c r="K462" i="1" s="1"/>
  <c r="G456" i="1"/>
  <c r="K456" i="1" s="1"/>
  <c r="G457" i="1"/>
  <c r="K457" i="1" s="1"/>
  <c r="C458" i="1"/>
  <c r="G426" i="1"/>
  <c r="K426" i="1" s="1"/>
  <c r="G427" i="1"/>
  <c r="K427" i="1" s="1"/>
  <c r="G415" i="1"/>
  <c r="K415" i="1" s="1"/>
  <c r="G416" i="1"/>
  <c r="K416" i="1" s="1"/>
  <c r="G417" i="1"/>
  <c r="K417" i="1" s="1"/>
  <c r="G418" i="1"/>
  <c r="K418" i="1" s="1"/>
  <c r="K486" i="1" l="1"/>
  <c r="I76" i="1"/>
  <c r="K76" i="1" s="1"/>
  <c r="K130" i="1"/>
  <c r="K6" i="1"/>
  <c r="K9" i="1"/>
  <c r="K13" i="1"/>
  <c r="K8" i="1"/>
  <c r="I328" i="1"/>
  <c r="G326" i="1"/>
  <c r="K326" i="1" s="1"/>
  <c r="G327" i="1"/>
  <c r="K327" i="1" s="1"/>
  <c r="C328" i="1"/>
  <c r="C289" i="1"/>
  <c r="C279" i="1"/>
  <c r="G180" i="1"/>
  <c r="G245" i="1" s="1"/>
  <c r="C156" i="1"/>
  <c r="G95" i="1"/>
  <c r="C77" i="1"/>
  <c r="C46" i="1"/>
  <c r="K180" i="1" l="1"/>
  <c r="D49" i="4"/>
  <c r="A11" i="4"/>
  <c r="A12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E574" i="1"/>
  <c r="E349" i="1"/>
  <c r="I348" i="1"/>
  <c r="I319" i="1"/>
  <c r="A27" i="4" l="1"/>
  <c r="A28" i="4" s="1"/>
  <c r="A31" i="4" s="1"/>
  <c r="A32" i="4" s="1"/>
  <c r="A33" i="4" s="1"/>
  <c r="A34" i="4" s="1"/>
  <c r="A35" i="4" s="1"/>
  <c r="A36" i="4" s="1"/>
  <c r="I54" i="1"/>
  <c r="I109" i="1"/>
  <c r="D50" i="4" l="1"/>
  <c r="A37" i="4" l="1"/>
  <c r="A38" i="4" s="1"/>
  <c r="A39" i="4" s="1"/>
  <c r="A40" i="4" s="1"/>
  <c r="A41" i="4" s="1"/>
  <c r="A42" i="4" s="1"/>
  <c r="A43" i="4" s="1"/>
  <c r="A44" i="4" s="1"/>
  <c r="A46" i="4" s="1"/>
  <c r="A50" i="4" s="1"/>
  <c r="A52" i="4" s="1"/>
  <c r="A55" i="4" s="1"/>
  <c r="A56" i="4" s="1"/>
  <c r="A57" i="4" s="1"/>
  <c r="A58" i="4" s="1"/>
  <c r="A59" i="4" s="1"/>
  <c r="A61" i="4" s="1"/>
  <c r="K318" i="1" l="1"/>
  <c r="G541" i="1" l="1"/>
  <c r="G527" i="1"/>
  <c r="G435" i="1"/>
  <c r="K435" i="1" s="1"/>
  <c r="C516" i="1" l="1"/>
  <c r="K527" i="1"/>
  <c r="C531" i="1"/>
  <c r="K541" i="1"/>
  <c r="G501" i="1"/>
  <c r="K501" i="1" s="1"/>
  <c r="C452" i="1"/>
  <c r="C442" i="1" l="1"/>
  <c r="I372" i="1"/>
  <c r="G371" i="1"/>
  <c r="E351" i="1"/>
  <c r="E518" i="1" s="1"/>
  <c r="E315" i="1"/>
  <c r="I101" i="1"/>
  <c r="I120" i="1"/>
  <c r="I152" i="1"/>
  <c r="I156" i="1"/>
  <c r="G345" i="1"/>
  <c r="K345" i="1" s="1"/>
  <c r="C297" i="1"/>
  <c r="C348" i="1" l="1"/>
  <c r="C316" i="1"/>
  <c r="C319" i="1" s="1"/>
  <c r="G343" i="1"/>
  <c r="K343" i="1" s="1"/>
  <c r="K371" i="1"/>
  <c r="C308" i="1"/>
  <c r="C321" i="1" l="1"/>
  <c r="C349" i="1"/>
  <c r="C65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11" i="1"/>
  <c r="G285" i="1" l="1"/>
  <c r="G264" i="1"/>
  <c r="K264" i="1" s="1"/>
  <c r="G263" i="1"/>
  <c r="K263" i="1" s="1"/>
  <c r="I285" i="1" l="1"/>
  <c r="K285" i="1" s="1"/>
  <c r="G252" i="1"/>
  <c r="K252" i="1" s="1"/>
  <c r="I245" i="1"/>
  <c r="I169" i="1"/>
  <c r="I161" i="1"/>
  <c r="G161" i="1" l="1"/>
  <c r="K161" i="1" s="1"/>
  <c r="I132" i="1"/>
  <c r="I131" i="1"/>
  <c r="I125" i="1"/>
  <c r="G97" i="1"/>
  <c r="K97" i="1" s="1"/>
  <c r="G96" i="1"/>
  <c r="K96" i="1" s="1"/>
  <c r="G89" i="1"/>
  <c r="K89" i="1" s="1"/>
  <c r="G75" i="1"/>
  <c r="I61" i="1"/>
  <c r="G51" i="1"/>
  <c r="K51" i="1" s="1"/>
  <c r="I11" i="1"/>
  <c r="I134" i="1" l="1"/>
  <c r="C54" i="1"/>
  <c r="C109" i="1"/>
  <c r="C58" i="1"/>
  <c r="C120" i="1"/>
  <c r="C128" i="1"/>
  <c r="G125" i="1"/>
  <c r="K125" i="1" s="1"/>
  <c r="K75" i="1"/>
  <c r="C61" i="1"/>
  <c r="C121" i="1" l="1"/>
  <c r="C40" i="1"/>
  <c r="H20" i="2" l="1"/>
  <c r="H22" i="2"/>
  <c r="H26" i="2"/>
  <c r="H21" i="2"/>
  <c r="D55" i="4"/>
  <c r="H30" i="2" l="1"/>
  <c r="D58" i="4"/>
  <c r="D57" i="4"/>
  <c r="G557" i="1"/>
  <c r="K557" i="1" s="1"/>
  <c r="G558" i="1"/>
  <c r="K558" i="1" s="1"/>
  <c r="G560" i="1"/>
  <c r="G561" i="1"/>
  <c r="K561" i="1" s="1"/>
  <c r="G562" i="1"/>
  <c r="K562" i="1" s="1"/>
  <c r="G563" i="1"/>
  <c r="K563" i="1" s="1"/>
  <c r="G564" i="1"/>
  <c r="K564" i="1" s="1"/>
  <c r="G565" i="1"/>
  <c r="K565" i="1" s="1"/>
  <c r="G566" i="1"/>
  <c r="G567" i="1"/>
  <c r="K567" i="1" s="1"/>
  <c r="G568" i="1"/>
  <c r="K568" i="1" s="1"/>
  <c r="G569" i="1"/>
  <c r="K569" i="1" s="1"/>
  <c r="G556" i="1"/>
  <c r="G553" i="1"/>
  <c r="G554" i="1" s="1"/>
  <c r="G347" i="1"/>
  <c r="K347" i="1" s="1"/>
  <c r="G346" i="1"/>
  <c r="K346" i="1" s="1"/>
  <c r="G549" i="1"/>
  <c r="K549" i="1" s="1"/>
  <c r="G548" i="1"/>
  <c r="G539" i="1"/>
  <c r="G540" i="1"/>
  <c r="K540" i="1" s="1"/>
  <c r="G542" i="1"/>
  <c r="K542" i="1" s="1"/>
  <c r="G544" i="1"/>
  <c r="K544" i="1" s="1"/>
  <c r="G537" i="1"/>
  <c r="G530" i="1"/>
  <c r="K530" i="1" s="1"/>
  <c r="G529" i="1"/>
  <c r="K529" i="1" s="1"/>
  <c r="G528" i="1"/>
  <c r="K528" i="1" s="1"/>
  <c r="G526" i="1"/>
  <c r="I526" i="1" s="1"/>
  <c r="G525" i="1"/>
  <c r="I525" i="1" s="1"/>
  <c r="G524" i="1"/>
  <c r="G523" i="1"/>
  <c r="K523" i="1" s="1"/>
  <c r="G522" i="1"/>
  <c r="G521" i="1"/>
  <c r="G515" i="1"/>
  <c r="K515" i="1" s="1"/>
  <c r="G514" i="1"/>
  <c r="K514" i="1" s="1"/>
  <c r="G513" i="1"/>
  <c r="K513" i="1" s="1"/>
  <c r="G512" i="1"/>
  <c r="K512" i="1" s="1"/>
  <c r="G511" i="1"/>
  <c r="K511" i="1" s="1"/>
  <c r="G510" i="1"/>
  <c r="K510" i="1" s="1"/>
  <c r="G509" i="1"/>
  <c r="K509" i="1" s="1"/>
  <c r="G508" i="1"/>
  <c r="K508" i="1" s="1"/>
  <c r="G507" i="1"/>
  <c r="K507" i="1" s="1"/>
  <c r="G506" i="1"/>
  <c r="K506" i="1" s="1"/>
  <c r="G505" i="1"/>
  <c r="K505" i="1" s="1"/>
  <c r="G504" i="1"/>
  <c r="K504" i="1" s="1"/>
  <c r="G503" i="1"/>
  <c r="K503" i="1" s="1"/>
  <c r="G502" i="1"/>
  <c r="K502" i="1" s="1"/>
  <c r="G500" i="1"/>
  <c r="K500" i="1" s="1"/>
  <c r="G499" i="1"/>
  <c r="K499" i="1" s="1"/>
  <c r="G497" i="1"/>
  <c r="K497" i="1" s="1"/>
  <c r="G496" i="1"/>
  <c r="K496" i="1" s="1"/>
  <c r="G495" i="1"/>
  <c r="K495" i="1" s="1"/>
  <c r="G494" i="1"/>
  <c r="K494" i="1" s="1"/>
  <c r="G493" i="1"/>
  <c r="G491" i="1"/>
  <c r="G489" i="1"/>
  <c r="K489" i="1" s="1"/>
  <c r="G488" i="1"/>
  <c r="K488" i="1" s="1"/>
  <c r="G487" i="1"/>
  <c r="G483" i="1"/>
  <c r="K483" i="1" s="1"/>
  <c r="G482" i="1"/>
  <c r="G479" i="1"/>
  <c r="G480" i="1"/>
  <c r="K480" i="1" s="1"/>
  <c r="G476" i="1"/>
  <c r="G474" i="1"/>
  <c r="G472" i="1"/>
  <c r="K472" i="1" s="1"/>
  <c r="G471" i="1"/>
  <c r="K471" i="1" s="1"/>
  <c r="G470" i="1"/>
  <c r="K470" i="1" s="1"/>
  <c r="G469" i="1"/>
  <c r="K469" i="1" s="1"/>
  <c r="G468" i="1"/>
  <c r="K468" i="1" s="1"/>
  <c r="G467" i="1"/>
  <c r="K467" i="1" s="1"/>
  <c r="G466" i="1"/>
  <c r="G460" i="1"/>
  <c r="G464" i="1" s="1"/>
  <c r="G455" i="1"/>
  <c r="K455" i="1" s="1"/>
  <c r="G454" i="1"/>
  <c r="G451" i="1"/>
  <c r="K451" i="1" s="1"/>
  <c r="G450" i="1"/>
  <c r="K450" i="1" s="1"/>
  <c r="G449" i="1"/>
  <c r="K449" i="1" s="1"/>
  <c r="G448" i="1"/>
  <c r="K448" i="1" s="1"/>
  <c r="G447" i="1"/>
  <c r="K447" i="1" s="1"/>
  <c r="G446" i="1"/>
  <c r="K446" i="1" s="1"/>
  <c r="G445" i="1"/>
  <c r="K445" i="1" s="1"/>
  <c r="G444" i="1"/>
  <c r="G391" i="1"/>
  <c r="K391" i="1" s="1"/>
  <c r="G392" i="1"/>
  <c r="K392" i="1" s="1"/>
  <c r="G393" i="1"/>
  <c r="K393" i="1" s="1"/>
  <c r="G402" i="1"/>
  <c r="K402" i="1" s="1"/>
  <c r="G403" i="1"/>
  <c r="K403" i="1" s="1"/>
  <c r="G404" i="1"/>
  <c r="K404" i="1" s="1"/>
  <c r="G405" i="1"/>
  <c r="K405" i="1" s="1"/>
  <c r="G406" i="1"/>
  <c r="K406" i="1" s="1"/>
  <c r="G410" i="1"/>
  <c r="K410" i="1" s="1"/>
  <c r="G411" i="1"/>
  <c r="K411" i="1" s="1"/>
  <c r="G412" i="1"/>
  <c r="K412" i="1" s="1"/>
  <c r="G414" i="1"/>
  <c r="K414" i="1" s="1"/>
  <c r="G419" i="1"/>
  <c r="K419" i="1" s="1"/>
  <c r="G421" i="1"/>
  <c r="K421" i="1" s="1"/>
  <c r="G422" i="1"/>
  <c r="K422" i="1" s="1"/>
  <c r="G428" i="1"/>
  <c r="K428" i="1" s="1"/>
  <c r="G429" i="1"/>
  <c r="K429" i="1" s="1"/>
  <c r="G430" i="1"/>
  <c r="K430" i="1" s="1"/>
  <c r="G434" i="1"/>
  <c r="K434" i="1" s="1"/>
  <c r="G436" i="1"/>
  <c r="K436" i="1" s="1"/>
  <c r="G437" i="1"/>
  <c r="K437" i="1" s="1"/>
  <c r="G438" i="1"/>
  <c r="K438" i="1" s="1"/>
  <c r="G439" i="1"/>
  <c r="K439" i="1" s="1"/>
  <c r="G440" i="1"/>
  <c r="K440" i="1" s="1"/>
  <c r="G441" i="1"/>
  <c r="K441" i="1" s="1"/>
  <c r="G389" i="1"/>
  <c r="G386" i="1"/>
  <c r="G385" i="1"/>
  <c r="G374" i="1"/>
  <c r="G375" i="1"/>
  <c r="K375" i="1" s="1"/>
  <c r="G376" i="1"/>
  <c r="K376" i="1" s="1"/>
  <c r="G377" i="1"/>
  <c r="K377" i="1" s="1"/>
  <c r="G378" i="1"/>
  <c r="K378" i="1" s="1"/>
  <c r="G379" i="1"/>
  <c r="K379" i="1" s="1"/>
  <c r="G380" i="1"/>
  <c r="K380" i="1" s="1"/>
  <c r="G381" i="1"/>
  <c r="K381" i="1" s="1"/>
  <c r="G354" i="1"/>
  <c r="K354" i="1" s="1"/>
  <c r="G355" i="1"/>
  <c r="K355" i="1" s="1"/>
  <c r="G357" i="1"/>
  <c r="K357" i="1" s="1"/>
  <c r="G358" i="1"/>
  <c r="K358" i="1" s="1"/>
  <c r="G359" i="1"/>
  <c r="K359" i="1" s="1"/>
  <c r="G360" i="1"/>
  <c r="K360" i="1" s="1"/>
  <c r="G361" i="1"/>
  <c r="K361" i="1" s="1"/>
  <c r="G362" i="1"/>
  <c r="K362" i="1" s="1"/>
  <c r="G363" i="1"/>
  <c r="K363" i="1" s="1"/>
  <c r="G364" i="1"/>
  <c r="K364" i="1" s="1"/>
  <c r="G365" i="1"/>
  <c r="K365" i="1" s="1"/>
  <c r="G366" i="1"/>
  <c r="K366" i="1" s="1"/>
  <c r="G367" i="1"/>
  <c r="K367" i="1" s="1"/>
  <c r="G368" i="1"/>
  <c r="K368" i="1" s="1"/>
  <c r="G369" i="1"/>
  <c r="K369" i="1" s="1"/>
  <c r="G370" i="1"/>
  <c r="K370" i="1" s="1"/>
  <c r="G353" i="1"/>
  <c r="G351" i="1"/>
  <c r="K351" i="1" s="1"/>
  <c r="G315" i="1"/>
  <c r="K315" i="1" s="1"/>
  <c r="G344" i="1"/>
  <c r="K344" i="1" s="1"/>
  <c r="G342" i="1"/>
  <c r="K342" i="1" s="1"/>
  <c r="G341" i="1"/>
  <c r="K341" i="1" s="1"/>
  <c r="G340" i="1"/>
  <c r="K340" i="1" s="1"/>
  <c r="G339" i="1"/>
  <c r="K339" i="1" s="1"/>
  <c r="G338" i="1"/>
  <c r="K338" i="1" s="1"/>
  <c r="G337" i="1"/>
  <c r="K337" i="1" s="1"/>
  <c r="G336" i="1"/>
  <c r="K336" i="1" s="1"/>
  <c r="G335" i="1"/>
  <c r="K335" i="1" s="1"/>
  <c r="G334" i="1"/>
  <c r="K334" i="1" s="1"/>
  <c r="G331" i="1"/>
  <c r="G325" i="1"/>
  <c r="G324" i="1"/>
  <c r="G281" i="1"/>
  <c r="K281" i="1" s="1"/>
  <c r="G282" i="1"/>
  <c r="G283" i="1"/>
  <c r="K283" i="1" s="1"/>
  <c r="G284" i="1"/>
  <c r="I284" i="1" s="1"/>
  <c r="I289" i="1" s="1"/>
  <c r="G286" i="1"/>
  <c r="K286" i="1" s="1"/>
  <c r="G287" i="1"/>
  <c r="K287" i="1" s="1"/>
  <c r="G288" i="1"/>
  <c r="K288" i="1" s="1"/>
  <c r="G260" i="1"/>
  <c r="K260" i="1" s="1"/>
  <c r="G261" i="1"/>
  <c r="K261" i="1" s="1"/>
  <c r="G262" i="1"/>
  <c r="G267" i="1"/>
  <c r="K267" i="1" s="1"/>
  <c r="G268" i="1"/>
  <c r="K268" i="1" s="1"/>
  <c r="G270" i="1"/>
  <c r="K270" i="1" s="1"/>
  <c r="G271" i="1"/>
  <c r="K271" i="1" s="1"/>
  <c r="G272" i="1"/>
  <c r="K272" i="1" s="1"/>
  <c r="G273" i="1"/>
  <c r="K273" i="1" s="1"/>
  <c r="G274" i="1"/>
  <c r="K274" i="1" s="1"/>
  <c r="G275" i="1"/>
  <c r="K275" i="1" s="1"/>
  <c r="G278" i="1"/>
  <c r="K278" i="1" s="1"/>
  <c r="G259" i="1"/>
  <c r="K259" i="1" s="1"/>
  <c r="G256" i="1"/>
  <c r="G253" i="1"/>
  <c r="K253" i="1" s="1"/>
  <c r="G251" i="1"/>
  <c r="G248" i="1"/>
  <c r="K248" i="1" s="1"/>
  <c r="K249" i="1" s="1"/>
  <c r="K183" i="1"/>
  <c r="K184" i="1"/>
  <c r="K185" i="1"/>
  <c r="G14" i="1"/>
  <c r="K14" i="1" s="1"/>
  <c r="G15" i="1"/>
  <c r="K15" i="1" s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9" i="1"/>
  <c r="K210" i="1"/>
  <c r="G70" i="1"/>
  <c r="I70" i="1" s="1"/>
  <c r="G71" i="1"/>
  <c r="G72" i="1"/>
  <c r="G266" i="1"/>
  <c r="K266" i="1" s="1"/>
  <c r="G48" i="1"/>
  <c r="G159" i="1"/>
  <c r="G160" i="1"/>
  <c r="G162" i="1"/>
  <c r="G163" i="1"/>
  <c r="K163" i="1" s="1"/>
  <c r="G164" i="1"/>
  <c r="G165" i="1"/>
  <c r="G166" i="1"/>
  <c r="G167" i="1"/>
  <c r="G168" i="1"/>
  <c r="G169" i="1"/>
  <c r="G170" i="1"/>
  <c r="G171" i="1"/>
  <c r="G172" i="1"/>
  <c r="G173" i="1"/>
  <c r="G158" i="1"/>
  <c r="G155" i="1"/>
  <c r="G154" i="1"/>
  <c r="G151" i="1"/>
  <c r="K151" i="1" s="1"/>
  <c r="G150" i="1"/>
  <c r="G132" i="1"/>
  <c r="K132" i="1" s="1"/>
  <c r="G131" i="1"/>
  <c r="G141" i="1"/>
  <c r="G142" i="1"/>
  <c r="G143" i="1"/>
  <c r="G144" i="1"/>
  <c r="G145" i="1"/>
  <c r="G146" i="1"/>
  <c r="G139" i="1"/>
  <c r="G124" i="1"/>
  <c r="G126" i="1"/>
  <c r="G127" i="1"/>
  <c r="G123" i="1"/>
  <c r="G116" i="1"/>
  <c r="G117" i="1"/>
  <c r="K117" i="1" s="1"/>
  <c r="G118" i="1"/>
  <c r="K118" i="1" s="1"/>
  <c r="G119" i="1"/>
  <c r="K119" i="1" s="1"/>
  <c r="G115" i="1"/>
  <c r="G112" i="1"/>
  <c r="G113" i="1" s="1"/>
  <c r="G104" i="1"/>
  <c r="K104" i="1" s="1"/>
  <c r="G105" i="1"/>
  <c r="K105" i="1" s="1"/>
  <c r="G106" i="1"/>
  <c r="K106" i="1" s="1"/>
  <c r="G107" i="1"/>
  <c r="K107" i="1" s="1"/>
  <c r="G108" i="1"/>
  <c r="K108" i="1" s="1"/>
  <c r="G175" i="1"/>
  <c r="K175" i="1" s="1"/>
  <c r="G103" i="1"/>
  <c r="G83" i="1"/>
  <c r="K83" i="1" s="1"/>
  <c r="G84" i="1"/>
  <c r="K84" i="1" s="1"/>
  <c r="G85" i="1"/>
  <c r="G86" i="1"/>
  <c r="K86" i="1" s="1"/>
  <c r="G87" i="1"/>
  <c r="K87" i="1" s="1"/>
  <c r="G88" i="1"/>
  <c r="K88" i="1" s="1"/>
  <c r="G91" i="1"/>
  <c r="K91" i="1" s="1"/>
  <c r="G92" i="1"/>
  <c r="K92" i="1" s="1"/>
  <c r="G94" i="1"/>
  <c r="K94" i="1" s="1"/>
  <c r="K95" i="1"/>
  <c r="G99" i="1"/>
  <c r="K99" i="1" s="1"/>
  <c r="G100" i="1"/>
  <c r="K100" i="1" s="1"/>
  <c r="G82" i="1"/>
  <c r="G79" i="1"/>
  <c r="K79" i="1" s="1"/>
  <c r="K80" i="1" s="1"/>
  <c r="G74" i="1"/>
  <c r="I74" i="1" s="1"/>
  <c r="G73" i="1"/>
  <c r="G69" i="1"/>
  <c r="G64" i="1"/>
  <c r="G63" i="1"/>
  <c r="K63" i="1" s="1"/>
  <c r="G60" i="1"/>
  <c r="G56" i="1"/>
  <c r="G57" i="1"/>
  <c r="K57" i="1" s="1"/>
  <c r="G49" i="1"/>
  <c r="K49" i="1" s="1"/>
  <c r="G53" i="1"/>
  <c r="K53" i="1" s="1"/>
  <c r="G47" i="1"/>
  <c r="G52" i="1"/>
  <c r="K52" i="1" s="1"/>
  <c r="G50" i="1"/>
  <c r="K50" i="1" s="1"/>
  <c r="G44" i="1"/>
  <c r="G42" i="1"/>
  <c r="G43" i="1" s="1"/>
  <c r="G21" i="1"/>
  <c r="G22" i="1"/>
  <c r="G23" i="1"/>
  <c r="K25" i="1"/>
  <c r="G28" i="1"/>
  <c r="G30" i="1" s="1"/>
  <c r="G34" i="1"/>
  <c r="G11" i="1"/>
  <c r="K11" i="1" s="1"/>
  <c r="G33" i="1"/>
  <c r="G12" i="1"/>
  <c r="G5" i="1"/>
  <c r="K5" i="1" s="1"/>
  <c r="I550" i="1"/>
  <c r="I551" i="1" s="1"/>
  <c r="I535" i="1"/>
  <c r="I516" i="1"/>
  <c r="I492" i="1"/>
  <c r="I490" i="1"/>
  <c r="I484" i="1"/>
  <c r="I481" i="1"/>
  <c r="I477" i="1"/>
  <c r="I478" i="1" s="1"/>
  <c r="I475" i="1"/>
  <c r="I473" i="1"/>
  <c r="I458" i="1"/>
  <c r="I452" i="1"/>
  <c r="I442" i="1"/>
  <c r="I349" i="1"/>
  <c r="I297" i="1"/>
  <c r="I279" i="1"/>
  <c r="I257" i="1"/>
  <c r="I254" i="1"/>
  <c r="I249" i="1"/>
  <c r="I58" i="1"/>
  <c r="I46" i="1"/>
  <c r="I43" i="1"/>
  <c r="I305" i="1"/>
  <c r="I385" i="1"/>
  <c r="I387" i="1" s="1"/>
  <c r="I553" i="1"/>
  <c r="I554" i="1" s="1"/>
  <c r="I21" i="1"/>
  <c r="I22" i="1"/>
  <c r="I23" i="1"/>
  <c r="I28" i="1"/>
  <c r="I30" i="1" s="1"/>
  <c r="I124" i="1"/>
  <c r="I126" i="1"/>
  <c r="I127" i="1"/>
  <c r="I123" i="1"/>
  <c r="I141" i="1"/>
  <c r="I142" i="1"/>
  <c r="I143" i="1"/>
  <c r="I144" i="1"/>
  <c r="I145" i="1"/>
  <c r="I146" i="1"/>
  <c r="I139" i="1"/>
  <c r="I159" i="1"/>
  <c r="I160" i="1"/>
  <c r="I162" i="1"/>
  <c r="I164" i="1"/>
  <c r="I165" i="1"/>
  <c r="I166" i="1"/>
  <c r="I167" i="1"/>
  <c r="I170" i="1"/>
  <c r="I171" i="1"/>
  <c r="I172" i="1"/>
  <c r="I158" i="1"/>
  <c r="I34" i="1"/>
  <c r="I33" i="1"/>
  <c r="I12" i="1"/>
  <c r="I16" i="1" s="1"/>
  <c r="E534" i="1"/>
  <c r="E307" i="1"/>
  <c r="G307" i="1" s="1"/>
  <c r="K307" i="1" s="1"/>
  <c r="E301" i="1"/>
  <c r="G301" i="1" s="1"/>
  <c r="K301" i="1" s="1"/>
  <c r="E302" i="1"/>
  <c r="G302" i="1" s="1"/>
  <c r="E303" i="1"/>
  <c r="G303" i="1" s="1"/>
  <c r="K303" i="1" s="1"/>
  <c r="E304" i="1"/>
  <c r="G304" i="1" s="1"/>
  <c r="K304" i="1" s="1"/>
  <c r="E299" i="1"/>
  <c r="G299" i="1" s="1"/>
  <c r="K299" i="1" s="1"/>
  <c r="E296" i="1"/>
  <c r="E314" i="1"/>
  <c r="G314" i="1" s="1"/>
  <c r="E313" i="1"/>
  <c r="G313" i="1" s="1"/>
  <c r="E311" i="1"/>
  <c r="C554" i="1"/>
  <c r="C574" i="1" s="1"/>
  <c r="C538" i="1"/>
  <c r="C551" i="1" s="1"/>
  <c r="C535" i="1"/>
  <c r="C492" i="1"/>
  <c r="C484" i="1"/>
  <c r="C481" i="1"/>
  <c r="C477" i="1"/>
  <c r="C478" i="1" s="1"/>
  <c r="C475" i="1"/>
  <c r="C473" i="1"/>
  <c r="C387" i="1"/>
  <c r="C257" i="1"/>
  <c r="C254" i="1"/>
  <c r="C249" i="1"/>
  <c r="C80" i="1"/>
  <c r="C177" i="1" s="1"/>
  <c r="C43" i="1"/>
  <c r="C66" i="1" s="1"/>
  <c r="G452" i="1" l="1"/>
  <c r="I522" i="1"/>
  <c r="K522" i="1" s="1"/>
  <c r="I19" i="1"/>
  <c r="K548" i="1"/>
  <c r="K550" i="1" s="1"/>
  <c r="G550" i="1"/>
  <c r="G547" i="1"/>
  <c r="K547" i="1" s="1"/>
  <c r="K493" i="1"/>
  <c r="K516" i="1" s="1"/>
  <c r="G516" i="1"/>
  <c r="K491" i="1"/>
  <c r="G492" i="1"/>
  <c r="K492" i="1" s="1"/>
  <c r="K487" i="1"/>
  <c r="G490" i="1"/>
  <c r="K490" i="1" s="1"/>
  <c r="K482" i="1"/>
  <c r="K484" i="1" s="1"/>
  <c r="G484" i="1"/>
  <c r="K479" i="1"/>
  <c r="K481" i="1" s="1"/>
  <c r="G481" i="1"/>
  <c r="K476" i="1"/>
  <c r="K477" i="1" s="1"/>
  <c r="G477" i="1"/>
  <c r="G478" i="1" s="1"/>
  <c r="K478" i="1" s="1"/>
  <c r="K474" i="1"/>
  <c r="K475" i="1" s="1"/>
  <c r="G475" i="1"/>
  <c r="K466" i="1"/>
  <c r="K473" i="1" s="1"/>
  <c r="G473" i="1"/>
  <c r="K460" i="1"/>
  <c r="K464" i="1" s="1"/>
  <c r="D39" i="4" s="1"/>
  <c r="K454" i="1"/>
  <c r="K458" i="1" s="1"/>
  <c r="G458" i="1"/>
  <c r="G387" i="1"/>
  <c r="K444" i="1"/>
  <c r="G442" i="1"/>
  <c r="G383" i="1"/>
  <c r="G372" i="1"/>
  <c r="G328" i="1"/>
  <c r="G348" i="1"/>
  <c r="K374" i="1"/>
  <c r="K383" i="1" s="1"/>
  <c r="G134" i="1"/>
  <c r="C290" i="1"/>
  <c r="C292" i="1" s="1"/>
  <c r="I290" i="1"/>
  <c r="I176" i="1"/>
  <c r="I566" i="1"/>
  <c r="K566" i="1" s="1"/>
  <c r="I72" i="1"/>
  <c r="K72" i="1" s="1"/>
  <c r="I560" i="1"/>
  <c r="K560" i="1" s="1"/>
  <c r="I36" i="1"/>
  <c r="I148" i="1"/>
  <c r="G148" i="1"/>
  <c r="G36" i="1"/>
  <c r="G16" i="1"/>
  <c r="G19" i="1" s="1"/>
  <c r="G176" i="1"/>
  <c r="K386" i="1"/>
  <c r="D35" i="4" s="1"/>
  <c r="C575" i="1"/>
  <c r="K556" i="1"/>
  <c r="G573" i="1"/>
  <c r="G574" i="1" s="1"/>
  <c r="K155" i="1"/>
  <c r="G156" i="1"/>
  <c r="I26" i="1"/>
  <c r="G77" i="1"/>
  <c r="I128" i="1"/>
  <c r="I66" i="1"/>
  <c r="K44" i="1"/>
  <c r="K46" i="1" s="1"/>
  <c r="G46" i="1"/>
  <c r="K131" i="1"/>
  <c r="D56" i="4"/>
  <c r="D59" i="4" s="1"/>
  <c r="E316" i="1"/>
  <c r="E319" i="1" s="1"/>
  <c r="K316" i="1"/>
  <c r="K319" i="1" s="1"/>
  <c r="G26" i="1"/>
  <c r="K47" i="1"/>
  <c r="G54" i="1"/>
  <c r="G109" i="1"/>
  <c r="K70" i="1"/>
  <c r="K48" i="1"/>
  <c r="K18" i="1"/>
  <c r="G101" i="1"/>
  <c r="K251" i="1"/>
  <c r="K254" i="1" s="1"/>
  <c r="G254" i="1"/>
  <c r="K34" i="1"/>
  <c r="K389" i="1"/>
  <c r="K442" i="1" s="1"/>
  <c r="I308" i="1"/>
  <c r="I321" i="1" s="1"/>
  <c r="K539" i="1"/>
  <c r="K353" i="1"/>
  <c r="K372" i="1" s="1"/>
  <c r="K82" i="1"/>
  <c r="K115" i="1"/>
  <c r="G120" i="1"/>
  <c r="K154" i="1"/>
  <c r="K181" i="1"/>
  <c r="G152" i="1"/>
  <c r="K324" i="1"/>
  <c r="G311" i="1"/>
  <c r="G128" i="1"/>
  <c r="K331" i="1"/>
  <c r="K348" i="1" s="1"/>
  <c r="K56" i="1"/>
  <c r="G58" i="1"/>
  <c r="K123" i="1"/>
  <c r="K145" i="1"/>
  <c r="K141" i="1"/>
  <c r="K73" i="1"/>
  <c r="K69" i="1"/>
  <c r="K60" i="1"/>
  <c r="G61" i="1"/>
  <c r="K61" i="1" s="1"/>
  <c r="K10" i="1"/>
  <c r="G249" i="1"/>
  <c r="K525" i="1"/>
  <c r="K284" i="1"/>
  <c r="K169" i="1"/>
  <c r="K160" i="1"/>
  <c r="K21" i="1"/>
  <c r="K12" i="1"/>
  <c r="K33" i="1"/>
  <c r="K7" i="1"/>
  <c r="K158" i="1"/>
  <c r="K166" i="1"/>
  <c r="K162" i="1"/>
  <c r="K173" i="1"/>
  <c r="K165" i="1"/>
  <c r="K526" i="1"/>
  <c r="K42" i="1"/>
  <c r="K127" i="1"/>
  <c r="K126" i="1"/>
  <c r="K170" i="1"/>
  <c r="K139" i="1"/>
  <c r="K385" i="1"/>
  <c r="K64" i="1"/>
  <c r="G65" i="1"/>
  <c r="K103" i="1"/>
  <c r="K109" i="1" s="1"/>
  <c r="K71" i="1"/>
  <c r="K182" i="1"/>
  <c r="K28" i="1"/>
  <c r="K30" i="1" s="1"/>
  <c r="K112" i="1"/>
  <c r="K113" i="1" s="1"/>
  <c r="K116" i="1"/>
  <c r="K256" i="1"/>
  <c r="G257" i="1"/>
  <c r="K22" i="1"/>
  <c r="E297" i="1"/>
  <c r="G296" i="1"/>
  <c r="G80" i="1"/>
  <c r="G305" i="1"/>
  <c r="K302" i="1"/>
  <c r="E535" i="1"/>
  <c r="E575" i="1" s="1"/>
  <c r="G534" i="1"/>
  <c r="K146" i="1"/>
  <c r="K142" i="1"/>
  <c r="K325" i="1"/>
  <c r="K553" i="1"/>
  <c r="I485" i="1"/>
  <c r="I517" i="1" s="1"/>
  <c r="I518" i="1" s="1"/>
  <c r="K144" i="1"/>
  <c r="G279" i="1"/>
  <c r="K74" i="1"/>
  <c r="K143" i="1"/>
  <c r="K172" i="1"/>
  <c r="K168" i="1"/>
  <c r="K164" i="1"/>
  <c r="K159" i="1"/>
  <c r="G289" i="1"/>
  <c r="K282" i="1"/>
  <c r="G538" i="1"/>
  <c r="K537" i="1"/>
  <c r="K262" i="1"/>
  <c r="K279" i="1" s="1"/>
  <c r="K150" i="1"/>
  <c r="K171" i="1"/>
  <c r="K167" i="1"/>
  <c r="K521" i="1"/>
  <c r="K524" i="1"/>
  <c r="K85" i="1"/>
  <c r="K124" i="1"/>
  <c r="K23" i="1"/>
  <c r="E305" i="1"/>
  <c r="C485" i="1"/>
  <c r="C517" i="1" s="1"/>
  <c r="K452" i="1" l="1"/>
  <c r="K328" i="1"/>
  <c r="D31" i="4"/>
  <c r="I31" i="1"/>
  <c r="G485" i="1"/>
  <c r="G517" i="1" s="1"/>
  <c r="G518" i="1" s="1"/>
  <c r="G349" i="1"/>
  <c r="C518" i="1"/>
  <c r="C577" i="1" s="1"/>
  <c r="K245" i="1"/>
  <c r="D24" i="4" s="1"/>
  <c r="G290" i="1"/>
  <c r="I77" i="1"/>
  <c r="I574" i="1"/>
  <c r="K573" i="1"/>
  <c r="K36" i="1"/>
  <c r="K120" i="1"/>
  <c r="G177" i="1"/>
  <c r="K152" i="1"/>
  <c r="D21" i="4" s="1"/>
  <c r="K176" i="1"/>
  <c r="D23" i="4" s="1"/>
  <c r="G121" i="1"/>
  <c r="K156" i="1"/>
  <c r="D22" i="4" s="1"/>
  <c r="G66" i="1"/>
  <c r="K77" i="1"/>
  <c r="D25" i="4"/>
  <c r="D34" i="4"/>
  <c r="G551" i="1"/>
  <c r="G316" i="1"/>
  <c r="G319" i="1" s="1"/>
  <c r="K26" i="1"/>
  <c r="K16" i="1"/>
  <c r="K19" i="1" s="1"/>
  <c r="K54" i="1"/>
  <c r="K148" i="1"/>
  <c r="K101" i="1"/>
  <c r="K289" i="1"/>
  <c r="D27" i="4" s="1"/>
  <c r="K58" i="1"/>
  <c r="E308" i="1"/>
  <c r="E321" i="1" s="1"/>
  <c r="E577" i="1" s="1"/>
  <c r="K128" i="1"/>
  <c r="K134" i="1"/>
  <c r="K135" i="1" s="1"/>
  <c r="K65" i="1"/>
  <c r="K554" i="1"/>
  <c r="K305" i="1"/>
  <c r="K538" i="1"/>
  <c r="K551" i="1" s="1"/>
  <c r="K43" i="1"/>
  <c r="K257" i="1"/>
  <c r="K387" i="1"/>
  <c r="K534" i="1"/>
  <c r="G535" i="1"/>
  <c r="K296" i="1"/>
  <c r="G297" i="1"/>
  <c r="E581" i="1" l="1"/>
  <c r="D37" i="4"/>
  <c r="D42" i="4"/>
  <c r="D38" i="4"/>
  <c r="D36" i="4"/>
  <c r="D33" i="4"/>
  <c r="K349" i="1"/>
  <c r="K485" i="1"/>
  <c r="I177" i="1"/>
  <c r="K290" i="1"/>
  <c r="D26" i="4"/>
  <c r="K574" i="1"/>
  <c r="D43" i="4" s="1"/>
  <c r="K31" i="1"/>
  <c r="K121" i="1"/>
  <c r="D20" i="4" s="1"/>
  <c r="K177" i="1"/>
  <c r="K66" i="1"/>
  <c r="D32" i="4"/>
  <c r="D19" i="4"/>
  <c r="G308" i="1"/>
  <c r="G321" i="1" s="1"/>
  <c r="K535" i="1"/>
  <c r="K297" i="1"/>
  <c r="K517" i="1" l="1"/>
  <c r="K518" i="1" s="1"/>
  <c r="C581" i="1"/>
  <c r="C584" i="1" s="1"/>
  <c r="D18" i="4"/>
  <c r="K308" i="1"/>
  <c r="K321" i="1" s="1"/>
  <c r="G520" i="1" l="1"/>
  <c r="G531" i="1" s="1"/>
  <c r="D40" i="4"/>
  <c r="G575" i="1" l="1"/>
  <c r="G577" i="1" s="1"/>
  <c r="I520" i="1"/>
  <c r="I531" i="1" s="1"/>
  <c r="G31" i="1"/>
  <c r="G292" i="1" s="1"/>
  <c r="I575" i="1" l="1"/>
  <c r="I577" i="1" s="1"/>
  <c r="K520" i="1"/>
  <c r="K531" i="1" s="1"/>
  <c r="G583" i="1"/>
  <c r="I292" i="1"/>
  <c r="I581" i="1" l="1"/>
  <c r="I584" i="1" s="1"/>
  <c r="D41" i="4"/>
  <c r="D44" i="4" s="1"/>
  <c r="G579" i="1"/>
  <c r="E584" i="1"/>
  <c r="K575" i="1"/>
  <c r="K577" i="1" s="1"/>
  <c r="I583" i="1"/>
  <c r="C583" i="1"/>
  <c r="C585" i="1" s="1"/>
  <c r="I585" i="1" l="1"/>
  <c r="E585" i="1"/>
  <c r="D7" i="2"/>
  <c r="D17" i="2" s="1"/>
  <c r="D32" i="2" s="1"/>
  <c r="K579" i="1"/>
  <c r="G581" i="1"/>
  <c r="G584" i="1" s="1"/>
  <c r="D17" i="4"/>
  <c r="D28" i="4" s="1"/>
  <c r="D29" i="4" s="1"/>
  <c r="F7" i="2" l="1"/>
  <c r="G585" i="1"/>
  <c r="K581" i="1"/>
  <c r="K584" i="1" s="1"/>
  <c r="D46" i="4"/>
  <c r="F15" i="2"/>
  <c r="K292" i="1"/>
  <c r="K583" i="1" l="1"/>
  <c r="D52" i="4"/>
  <c r="D61" i="4" s="1"/>
  <c r="F17" i="2"/>
  <c r="F32" i="2" s="1"/>
  <c r="K585" i="1" l="1"/>
  <c r="H7" i="2" l="1"/>
  <c r="H15" i="2" s="1"/>
  <c r="H17" i="2" s="1"/>
  <c r="H32" i="2" s="1"/>
</calcChain>
</file>

<file path=xl/sharedStrings.xml><?xml version="1.0" encoding="utf-8"?>
<sst xmlns="http://schemas.openxmlformats.org/spreadsheetml/2006/main" count="789" uniqueCount="690">
  <si>
    <t>ASSETS</t>
  </si>
  <si>
    <t>Plant in Service</t>
  </si>
  <si>
    <t>Capital Leases</t>
  </si>
  <si>
    <t>Held For Fut Use</t>
  </si>
  <si>
    <t>Const Not Classifd</t>
  </si>
  <si>
    <t>Plant In Service</t>
  </si>
  <si>
    <t>Accrued Capital Leases</t>
  </si>
  <si>
    <t>CWIP - Project</t>
  </si>
  <si>
    <t>ELECTRIC UTILITY PLANT</t>
  </si>
  <si>
    <t>Prov-Leased Assets</t>
  </si>
  <si>
    <t>A/P for Deprec of Plt</t>
  </si>
  <si>
    <t>RWIP - Project Detail</t>
  </si>
  <si>
    <t>Cost of Removal Reserve</t>
  </si>
  <si>
    <t>ARO Removal Deprec - Accretion</t>
  </si>
  <si>
    <t>A/P for Amort of Plt</t>
  </si>
  <si>
    <t>NET ELECTRIC UTILITY PLANT</t>
  </si>
  <si>
    <t>Nonutility Property - Owned</t>
  </si>
  <si>
    <t>Gross NonUtility Property</t>
  </si>
  <si>
    <t>Depr&amp;Amrt of Nonutl Prop-Ownd</t>
  </si>
  <si>
    <t>Less Depr &amp; Amort NonUtility Property</t>
  </si>
  <si>
    <t>Other Property - RWIP</t>
  </si>
  <si>
    <t>Other Property - CPR</t>
  </si>
  <si>
    <t>Oth Investments-Nonassociated</t>
  </si>
  <si>
    <t>Deferred Compensation Benefits</t>
  </si>
  <si>
    <t>Fbr Opt Lns-In Kind Sv-Invest</t>
  </si>
  <si>
    <t>Other Investments</t>
  </si>
  <si>
    <t>Non-UMWA PRW Funded Position</t>
  </si>
  <si>
    <t>SFAS 106 - Non-UMWA PRW</t>
  </si>
  <si>
    <t>Other Special Funds</t>
  </si>
  <si>
    <t>SO2 Allowance Inventory</t>
  </si>
  <si>
    <t>Allowance - NonCurrent</t>
  </si>
  <si>
    <t>Long-Term Unreal Gns - Non Aff</t>
  </si>
  <si>
    <t>L/T Asset MTM Collateral</t>
  </si>
  <si>
    <t>Long Term Energy Trading Contracts</t>
  </si>
  <si>
    <t>OTHER PROPERTY AND INVESTMENTS</t>
  </si>
  <si>
    <t>Cash</t>
  </si>
  <si>
    <t>Cash and Cash Equivalents</t>
  </si>
  <si>
    <t>Spec Deposit Mizuho Securities</t>
  </si>
  <si>
    <t>Spec Depost RBC</t>
  </si>
  <si>
    <t>Corp Borrow Prg (NR-Assoc)</t>
  </si>
  <si>
    <t>Advances to Affiliates</t>
  </si>
  <si>
    <t>Customer A/R - Electric</t>
  </si>
  <si>
    <t>Customer A/R-System Sales</t>
  </si>
  <si>
    <t>Transmission Sales Receivable</t>
  </si>
  <si>
    <t>Cust A/R - Factored</t>
  </si>
  <si>
    <t>Cust A/R-System Sales - MLR</t>
  </si>
  <si>
    <t>Cust A/R-Options &amp; Swaps - MLR</t>
  </si>
  <si>
    <t>Low Inc Energy Asst Pr (LIEAP)</t>
  </si>
  <si>
    <t>Customer A/R - Estimated</t>
  </si>
  <si>
    <t>Accrued Power Brokers</t>
  </si>
  <si>
    <t>AR Peoplesoft Billing - Cust</t>
  </si>
  <si>
    <t>Acct Rec - Customers</t>
  </si>
  <si>
    <t>2001 Employee Biweekly Pay Cnv</t>
  </si>
  <si>
    <t>Damage Recovery - Third Party</t>
  </si>
  <si>
    <t>Damage Recovery Offset Demand</t>
  </si>
  <si>
    <t>Other Accounts Rec - Misc</t>
  </si>
  <si>
    <t>AR Peoplesoft Billing - Misc</t>
  </si>
  <si>
    <t>Rents Receivable</t>
  </si>
  <si>
    <t>Acct Rec - Miscellaneous</t>
  </si>
  <si>
    <t>Uncoll Accts-Other Receivables</t>
  </si>
  <si>
    <t>Acct Rec - AP for Uncollectible Accounts</t>
  </si>
  <si>
    <t>A/R Assoc Co - InterUnit G/L</t>
  </si>
  <si>
    <t>A/R Assoc Co - Intercompany</t>
  </si>
  <si>
    <t>A/R Assoc Co - InterUnit A/P</t>
  </si>
  <si>
    <t>A/R Assoc Co - Multi Pmts</t>
  </si>
  <si>
    <t>Fleet - M4 - A/R</t>
  </si>
  <si>
    <t>Acct Rec - Associated Companies</t>
  </si>
  <si>
    <t>Fuel Stock - Coal</t>
  </si>
  <si>
    <t>Fuel Stock - Oil</t>
  </si>
  <si>
    <t>Fuel Stock Coal - Intransit</t>
  </si>
  <si>
    <t>Fuel Stock Exp Undistributed</t>
  </si>
  <si>
    <t>Fuel Stock</t>
  </si>
  <si>
    <t>M&amp;S - Regular</t>
  </si>
  <si>
    <t>M&amp;S -  Exempt Material</t>
  </si>
  <si>
    <t>M&amp;S - Lime and Limestone</t>
  </si>
  <si>
    <t>Materials &amp; Supplies - Urea</t>
  </si>
  <si>
    <t>Transportation Inventory</t>
  </si>
  <si>
    <t>M&amp;S-Lime &amp; Limestone Intransit</t>
  </si>
  <si>
    <t>M&amp;S Inv - Urea In-Transit</t>
  </si>
  <si>
    <t>Plant Materials and Supplies</t>
  </si>
  <si>
    <t>SO2 Allowance Inventory - Curr</t>
  </si>
  <si>
    <t>CSAPR Current SO2 Inv</t>
  </si>
  <si>
    <t>Allowance Inventory</t>
  </si>
  <si>
    <t>Accrued Utility Revenues</t>
  </si>
  <si>
    <t>Acrd Utility Rev-Factored-Assc</t>
  </si>
  <si>
    <t>Curr. Unreal Gains - NonAffil</t>
  </si>
  <si>
    <t>Energy Trading</t>
  </si>
  <si>
    <t>Prepaid Insurance</t>
  </si>
  <si>
    <t>Prepaid Taxes</t>
  </si>
  <si>
    <t>Prepaid Carry Cost-Factored AR</t>
  </si>
  <si>
    <t>Prepaid Pension Benefits</t>
  </si>
  <si>
    <t>Prepaid Sales Taxes</t>
  </si>
  <si>
    <t>Prepaid Use Taxes</t>
  </si>
  <si>
    <t>FAS 158 Qual Contra Asset</t>
  </si>
  <si>
    <t>Prepaid Insurance - EIS</t>
  </si>
  <si>
    <t>Prepaid Lease</t>
  </si>
  <si>
    <t>PRW Without MED-D Benefits</t>
  </si>
  <si>
    <t>PRW for Med-D Benefits</t>
  </si>
  <si>
    <t>FAS158 Contra-PRW Exclud Med-D</t>
  </si>
  <si>
    <t>Spec Allowance Inv NOx</t>
  </si>
  <si>
    <t>Spec Deposits - Elect Trading</t>
  </si>
  <si>
    <t>Spec Deposit UBS Securities</t>
  </si>
  <si>
    <t>Spec Deposits-Trading Contra</t>
  </si>
  <si>
    <t>Billings and Deferred Projects</t>
  </si>
  <si>
    <t>CURRENT ASSETS</t>
  </si>
  <si>
    <t>SFAS 112 Postemployment Benef</t>
  </si>
  <si>
    <t>DSM Incentives</t>
  </si>
  <si>
    <t>Energy Efficiency Recovery</t>
  </si>
  <si>
    <t>DSM Lost Revenues</t>
  </si>
  <si>
    <t>DSM Program Costs</t>
  </si>
  <si>
    <t>HRJ 765kV Post Service AFUDC</t>
  </si>
  <si>
    <t>HRJ 765kV Depreciation Expense</t>
  </si>
  <si>
    <t>Unrecovered Fuel Cost</t>
  </si>
  <si>
    <t>Unreal Loss on Fwd Commitments</t>
  </si>
  <si>
    <t>Deferred Storm Expense</t>
  </si>
  <si>
    <t>Asset Retirement Obligations</t>
  </si>
  <si>
    <t>Defd Equity Carry Chg-Non Fuel</t>
  </si>
  <si>
    <t>BridgeCo TO Funding</t>
  </si>
  <si>
    <t>Other PJM Integration</t>
  </si>
  <si>
    <t>Carry Chgs-RTO Startup Costs</t>
  </si>
  <si>
    <t>Alliance RTO Deferred Expense</t>
  </si>
  <si>
    <t>REG ASSET FAS 158 QUAL PLAN</t>
  </si>
  <si>
    <t>REG ASSET FAS 158 OPEB PLAN</t>
  </si>
  <si>
    <t>REG Asset FAS 158 SERP Plan</t>
  </si>
  <si>
    <t>Deferred Carbon Mgmt Research</t>
  </si>
  <si>
    <t>SFAS 106 Medicare Subsidy</t>
  </si>
  <si>
    <t>SFAS 109 Flow Thru Defd FIT</t>
  </si>
  <si>
    <t>SFAS 109 Flow Thru Defrd SIT</t>
  </si>
  <si>
    <t>Net CCS FEED Study Costs</t>
  </si>
  <si>
    <t>Loss Rec Debt-Debentures</t>
  </si>
  <si>
    <t>Unamortized Loss on Reacquired Debt</t>
  </si>
  <si>
    <t>Unamort Debt Exp - Inst Pur Cn</t>
  </si>
  <si>
    <t>Unamort Debt Exp - Sr Unsec Nt</t>
  </si>
  <si>
    <t>Unamortized Debt Expense</t>
  </si>
  <si>
    <t>Clearing Accounts</t>
  </si>
  <si>
    <t>Prelimin Surv&amp;Investgtn Chrgs</t>
  </si>
  <si>
    <t>Prelim Survey &amp; Invstgtn Resrv</t>
  </si>
  <si>
    <t>MDD-Internal Billing Only</t>
  </si>
  <si>
    <t>Allowances</t>
  </si>
  <si>
    <t>Deferred Property Taxes</t>
  </si>
  <si>
    <t>Agency Fees - Factored A/R</t>
  </si>
  <si>
    <t>Defd Property Tax - Cap Leases</t>
  </si>
  <si>
    <t>Estimated Barging Bills</t>
  </si>
  <si>
    <t>Unamortized Credit Line Fees</t>
  </si>
  <si>
    <t>Def Lease Assets - Non Taxable</t>
  </si>
  <si>
    <t>Other Deferred Debits</t>
  </si>
  <si>
    <t>ADIT Federal - Pension OCI</t>
  </si>
  <si>
    <t>ADIT Federal Non-UMWA PRW OCI</t>
  </si>
  <si>
    <t>ADIT-Fed-Hdg-CF-Int Rate</t>
  </si>
  <si>
    <t>Accum Defd FIT - Oth Inc &amp; Ded</t>
  </si>
  <si>
    <t>Acc Dfd FIT - FAS109 Flow Thru</t>
  </si>
  <si>
    <t>Accum Dfd FIT - FAS 109 Excess</t>
  </si>
  <si>
    <t>Accumulated Deferred Income Taxes</t>
  </si>
  <si>
    <t>TOTAL DEFERRED CHARGES</t>
  </si>
  <si>
    <t>TOTAL ASSETS</t>
  </si>
  <si>
    <t xml:space="preserve"> </t>
  </si>
  <si>
    <t>CAPITALIZATION and LIABILITIES</t>
  </si>
  <si>
    <t>COMMON STOCK</t>
  </si>
  <si>
    <t>Common Stock Issued-Affiliated</t>
  </si>
  <si>
    <t>Common Stock</t>
  </si>
  <si>
    <t>Donations Recvd from Stckhldrs</t>
  </si>
  <si>
    <t>DSIT Apportionment Adj.</t>
  </si>
  <si>
    <t>OCI-Min Pen Liab FAS 158-Qual</t>
  </si>
  <si>
    <t>OCI-Min Pen Liab FAS 158-OPEB</t>
  </si>
  <si>
    <t>Accum OCI-Hdg-CF-Int Rate</t>
  </si>
  <si>
    <t>Paid-In-Capital</t>
  </si>
  <si>
    <t>Retained Earnings</t>
  </si>
  <si>
    <t>COMMON SHAREHOLDERS' EQUITY</t>
  </si>
  <si>
    <t>Other Long Term Debt - Other</t>
  </si>
  <si>
    <t>Senior Unsecured Notes</t>
  </si>
  <si>
    <t>Unam Disc LTD-Dr-Sr Unsec Note</t>
  </si>
  <si>
    <t>CAPITALIZATION</t>
  </si>
  <si>
    <t>Obligatns Undr Cap Lse-Noncurr</t>
  </si>
  <si>
    <t>Accrued Noncur Lease Oblig</t>
  </si>
  <si>
    <t>Obligations Under Capital  Lease-NonCurrent</t>
  </si>
  <si>
    <t>Accumulated Provision Rate Relief</t>
  </si>
  <si>
    <t>Accm Prv I/D - Worker's Com</t>
  </si>
  <si>
    <t>Accm Prv for Pensions&amp;Benefits</t>
  </si>
  <si>
    <t>Supplemental Savings Plan</t>
  </si>
  <si>
    <t>SFAS 87 - Pensions</t>
  </si>
  <si>
    <t>Perf Share Incentive Plan</t>
  </si>
  <si>
    <t>Incentive Comp Deferral Plan</t>
  </si>
  <si>
    <t>FAS 158 SERP Payable Long Term</t>
  </si>
  <si>
    <t>FAS 158 Qual Payable Long Term</t>
  </si>
  <si>
    <t>Econ. Development Fund NonCurr</t>
  </si>
  <si>
    <t>Accumlated Provision - Miscellanous</t>
  </si>
  <si>
    <t>Other NonCurrent Liabilities</t>
  </si>
  <si>
    <t>Corp Borrow Program (NP-Assoc)</t>
  </si>
  <si>
    <t>Accounts Payable - Regular</t>
  </si>
  <si>
    <t>Unvouchered Invoices</t>
  </si>
  <si>
    <t>Retention</t>
  </si>
  <si>
    <t>Uninvoiced Fuel</t>
  </si>
  <si>
    <t>Accounts Payable - Purch Power</t>
  </si>
  <si>
    <t>Elect Trad-Options&amp;Swaps</t>
  </si>
  <si>
    <t>Emission Allowance Trading</t>
  </si>
  <si>
    <t>Gas Physicals</t>
  </si>
  <si>
    <t>Broker Fees Payable</t>
  </si>
  <si>
    <t>A/P Misc Dedic. Power</t>
  </si>
  <si>
    <t>Corporate Credit Card Liab</t>
  </si>
  <si>
    <t>INDUS Unvouchered Liabilities</t>
  </si>
  <si>
    <t>Broker Commisn Spark/Merch Gen</t>
  </si>
  <si>
    <t>PJM Net AP Accrual</t>
  </si>
  <si>
    <t>Accrued Broker - Power</t>
  </si>
  <si>
    <t>A/P General</t>
  </si>
  <si>
    <t>A/P Assoc Co - InterUnit G/L</t>
  </si>
  <si>
    <t>A/P-Assc Co-AEPSC-Agent</t>
  </si>
  <si>
    <t>A/P Assoc Co - CM Bills</t>
  </si>
  <si>
    <t>A/P Assoc Co - Intercompany</t>
  </si>
  <si>
    <t>A/P Assoc Co - AEPSC Bills</t>
  </si>
  <si>
    <t>A/P Assoc Co - InterUnit A/P</t>
  </si>
  <si>
    <t>A/P Assoc Co - Multi Pmts</t>
  </si>
  <si>
    <t>Fleet - M4 - A/P</t>
  </si>
  <si>
    <t>A/P Associated Companies</t>
  </si>
  <si>
    <t>Customer Deposits-Active</t>
  </si>
  <si>
    <t>Deposits - Trading Activity</t>
  </si>
  <si>
    <t>Customer Deposits</t>
  </si>
  <si>
    <t>Federal Income Tax</t>
  </si>
  <si>
    <t>State Income Taxes</t>
  </si>
  <si>
    <t>FICA</t>
  </si>
  <si>
    <t>Federal Unemployment Tax</t>
  </si>
  <si>
    <t>State Unemployment Tax</t>
  </si>
  <si>
    <t>State Sales and Use Taxes</t>
  </si>
  <si>
    <t>Real Personal Property Taxes</t>
  </si>
  <si>
    <t>State Franchise Taxes</t>
  </si>
  <si>
    <t>State Business Occupatn Taxes</t>
  </si>
  <si>
    <t>State Gross Receipts Tax</t>
  </si>
  <si>
    <t>Municipal License Fees Accrd</t>
  </si>
  <si>
    <t>Pers Prop Tax-Cap Leases</t>
  </si>
  <si>
    <t>Real Prop Tax-Cap Leases</t>
  </si>
  <si>
    <t>FICA - Incentive accrual</t>
  </si>
  <si>
    <t>State Inc Tax-Short Term FIN48</t>
  </si>
  <si>
    <t>Fed Inc Tax-Long Term FIN48</t>
  </si>
  <si>
    <t>State Inc Tax-Long Term FIN48</t>
  </si>
  <si>
    <t>SEC Accum Defd SIT - FIN 48</t>
  </si>
  <si>
    <t>Federal Income Tax - IRS Audit</t>
  </si>
  <si>
    <t>Accum Defd FIT- IRS Audit</t>
  </si>
  <si>
    <t>Taxes Accrued</t>
  </si>
  <si>
    <t>Interest Accrued-Inst Pur Con</t>
  </si>
  <si>
    <t>Interest Accrd-Other LT Debt</t>
  </si>
  <si>
    <t>Interest Accrd-Sen Unsec Notes</t>
  </si>
  <si>
    <t>Interest Accrd-Customer Depsts</t>
  </si>
  <si>
    <t>Accrued Margin Interest</t>
  </si>
  <si>
    <t>Acrd Int.- FIT Reserve - LT</t>
  </si>
  <si>
    <t>Acrd Int. - SIT Reserve - ST</t>
  </si>
  <si>
    <t>Interest Accrued</t>
  </si>
  <si>
    <t>Oblig Under Cap Leases - Curr</t>
  </si>
  <si>
    <t>Accrued Cur Lease Oblig</t>
  </si>
  <si>
    <t>Obligation Under Capital Leases</t>
  </si>
  <si>
    <t>Curr. Unreal Losses - NonAffil</t>
  </si>
  <si>
    <t>S/T Liability MTM Collateral</t>
  </si>
  <si>
    <t>Energy Contracts Current</t>
  </si>
  <si>
    <t>Federal Income Tax Withheld</t>
  </si>
  <si>
    <t>State Income Tax Withheld</t>
  </si>
  <si>
    <t>Local Income Tax Withheld</t>
  </si>
  <si>
    <t>State Sales Tax Collected</t>
  </si>
  <si>
    <t>School District Tax Withheld</t>
  </si>
  <si>
    <t>Franchise Fee Collected</t>
  </si>
  <si>
    <t>KY Utility Gr Receipts Lic Tax</t>
  </si>
  <si>
    <t>Tax Collections Payable</t>
  </si>
  <si>
    <t>Revenue Refunds Accrued</t>
  </si>
  <si>
    <t>Revenue Refunds Accured</t>
  </si>
  <si>
    <t>Accrued Lease Expense</t>
  </si>
  <si>
    <t>Accrued Rents - NonAffiliated</t>
  </si>
  <si>
    <t>Accrued Rents</t>
  </si>
  <si>
    <t>Vacation Pay - This Year</t>
  </si>
  <si>
    <t>Vacation Pay - Next Year</t>
  </si>
  <si>
    <t>Accrued Vacations</t>
  </si>
  <si>
    <t>Non-Productive Payroll</t>
  </si>
  <si>
    <t>Miscellaneous Employee Benefits</t>
  </si>
  <si>
    <t>Employee Benefits</t>
  </si>
  <si>
    <t>P/R Ded - Medical Insurance</t>
  </si>
  <si>
    <t>P/R Ded - Dental Insurance</t>
  </si>
  <si>
    <t>P/R Ded - LTD Ins Premiums</t>
  </si>
  <si>
    <t>Payroll Deductions</t>
  </si>
  <si>
    <t>Adm Liab-Cur-S/Ins-W/C</t>
  </si>
  <si>
    <t>Accrued Workers' Compensation</t>
  </si>
  <si>
    <t>FAS 112 CURRENT LIAB</t>
  </si>
  <si>
    <t>FAS 158 SERP Payable - Current</t>
  </si>
  <si>
    <t>P/R Ded - Vision Plan</t>
  </si>
  <si>
    <t>P/R - Payroll Adjustment</t>
  </si>
  <si>
    <t>P/R Savings Plan - Incentive</t>
  </si>
  <si>
    <t>Econ. Development Fund Curr</t>
  </si>
  <si>
    <t>Control Cash Disburse Account</t>
  </si>
  <si>
    <t>Unclaimed Funds</t>
  </si>
  <si>
    <t>Acc Cash Franchise Req</t>
  </si>
  <si>
    <t>Admitted Liab NC-Self/Ins-W/C</t>
  </si>
  <si>
    <t>Accrued Payroll</t>
  </si>
  <si>
    <t>Distr, Cust Ops &amp; Reg Svcs ICP</t>
  </si>
  <si>
    <t>Corp &amp; Shrd Srv Incentive Plan</t>
  </si>
  <si>
    <t>Generation Incentive Plan</t>
  </si>
  <si>
    <t>Accrued Audit Fees</t>
  </si>
  <si>
    <t>Miscellaneous Current and Accrued Liab</t>
  </si>
  <si>
    <t>Other Current and Accrued Liabilities</t>
  </si>
  <si>
    <t>Current Liabilities</t>
  </si>
  <si>
    <t>Acc Dfrd FIT FAS 109 Flow Thru</t>
  </si>
  <si>
    <t>Acc Dfrd FIT - SFAS 109 Excess</t>
  </si>
  <si>
    <t>Accum Deferred SIT - Other</t>
  </si>
  <si>
    <t>Accum Dfrd FIT - Oth Inc &amp; Ded</t>
  </si>
  <si>
    <t>Acc Dfd FIT FAS 109 Flow Thru</t>
  </si>
  <si>
    <t>Acc Dfrd SIT FAS 109 Flow Thru</t>
  </si>
  <si>
    <t>Deferred Income Taxes</t>
  </si>
  <si>
    <t>Accum Deferred ITC - Federal</t>
  </si>
  <si>
    <t>Deferred Investment Tax Credits</t>
  </si>
  <si>
    <t>Over Recovered Fuel Cost</t>
  </si>
  <si>
    <t>Over Recover of Fuel Cost</t>
  </si>
  <si>
    <t>Unreal Gain on Fwd Commitments</t>
  </si>
  <si>
    <t>Home Energy Assist Prgm - KPCO</t>
  </si>
  <si>
    <t>Other Regulatory Liability</t>
  </si>
  <si>
    <t>SFAS109 Flow Thru Def FIT Liab</t>
  </si>
  <si>
    <t>SFAS 109 Exces Deferred FIT</t>
  </si>
  <si>
    <t>FAS109 DFIT Reclass (Acct 254)</t>
  </si>
  <si>
    <t>Regulatory Liabilities</t>
  </si>
  <si>
    <t>LT Unreal Losses - Non Affil</t>
  </si>
  <si>
    <t>L/T Liability MTM Collateral</t>
  </si>
  <si>
    <t>Customer Adv for Construction</t>
  </si>
  <si>
    <t>Customer Advances for Construction</t>
  </si>
  <si>
    <t>Other Deferred Credits</t>
  </si>
  <si>
    <t>Customer Advance Receipts</t>
  </si>
  <si>
    <t>Deferred Rev -Pole Attachments</t>
  </si>
  <si>
    <t>IPP - System Upgrade Credits</t>
  </si>
  <si>
    <t>Fbr Opt Lns-In Kind Sv-Dfd Gns</t>
  </si>
  <si>
    <t>MACSS Unidentified EDI Cash</t>
  </si>
  <si>
    <t>Other Deferred Credits-Curr</t>
  </si>
  <si>
    <t>Federl Mitigation Deferal(NSR)</t>
  </si>
  <si>
    <t>Contr In Aid of Constr Advance</t>
  </si>
  <si>
    <t>Fbr Opt Lns-Sold-Defd Rev</t>
  </si>
  <si>
    <t>Deferred Rev-Bonus Lease Curr</t>
  </si>
  <si>
    <t>Deferred Rev-Bonus Lease NC</t>
  </si>
  <si>
    <t>Deferred Credits</t>
  </si>
  <si>
    <t>DEFERRED CREDITS &amp; REGULATED LIABILITIES</t>
  </si>
  <si>
    <t>CAPITAL &amp; LIABILITIES</t>
  </si>
  <si>
    <t>Capitalization</t>
  </si>
  <si>
    <t>Rate Base</t>
  </si>
  <si>
    <t>Adjustments</t>
  </si>
  <si>
    <t>FGD Movement from Base to Environmental (Mitchell)</t>
  </si>
  <si>
    <t xml:space="preserve">Rate Base </t>
  </si>
  <si>
    <t>Adj #</t>
  </si>
  <si>
    <t>Adjustment Subtotals</t>
  </si>
  <si>
    <t>Proforma Debt Adjustment</t>
  </si>
  <si>
    <t>FRECO A/C 124 Property</t>
  </si>
  <si>
    <t>Non-Utility</t>
  </si>
  <si>
    <t>Schedule 3</t>
  </si>
  <si>
    <t>Section V Exhibit 1</t>
  </si>
  <si>
    <t>Schedule 4</t>
  </si>
  <si>
    <t>Difference in</t>
  </si>
  <si>
    <t>Capitalization &amp;</t>
  </si>
  <si>
    <t>All Balance Sheet</t>
  </si>
  <si>
    <t>Items Not in</t>
  </si>
  <si>
    <t>Section IV</t>
  </si>
  <si>
    <t>Page 3 &amp; 4</t>
  </si>
  <si>
    <t>Assets</t>
  </si>
  <si>
    <t>Liabilities</t>
  </si>
  <si>
    <t>Totals from Balance Sheet Detail:</t>
  </si>
  <si>
    <t>Subtotal</t>
  </si>
  <si>
    <t>Total</t>
  </si>
  <si>
    <t>Other Property - RETIRE</t>
  </si>
  <si>
    <t>Other Property and Investments</t>
  </si>
  <si>
    <t>Emergency LIEAP</t>
  </si>
  <si>
    <t>Cust A/R-Contra-Home Warranty</t>
  </si>
  <si>
    <t>AR PS Bill-Cust Home Warranty</t>
  </si>
  <si>
    <t>Fuel Stock - Gas</t>
  </si>
  <si>
    <t>Other Prepayments</t>
  </si>
  <si>
    <t>Unamort Debt Exp Notes Payable</t>
  </si>
  <si>
    <t>1823376</t>
  </si>
  <si>
    <t>Cost of Removal-Big Sandy Coal</t>
  </si>
  <si>
    <t>1823377</t>
  </si>
  <si>
    <t>NBV - AROs Retired Plants</t>
  </si>
  <si>
    <t>1823378</t>
  </si>
  <si>
    <t>M&amp;S - Retiring Plants</t>
  </si>
  <si>
    <t>1823379</t>
  </si>
  <si>
    <t>Unrecovered Plant - Big Sandy</t>
  </si>
  <si>
    <t>1823380</t>
  </si>
  <si>
    <t>Spent AROs - Big Sandy Coal</t>
  </si>
  <si>
    <t>1823410</t>
  </si>
  <si>
    <t>BS1OR Unrecognized Equity CC</t>
  </si>
  <si>
    <t>1823411</t>
  </si>
  <si>
    <t>BS1OR Under Recovery CC</t>
  </si>
  <si>
    <t>1823414</t>
  </si>
  <si>
    <t>Capacity Charge Tariff Rev</t>
  </si>
  <si>
    <t>1823515</t>
  </si>
  <si>
    <t>IGCC Pre-Construction Costs</t>
  </si>
  <si>
    <t>1823516</t>
  </si>
  <si>
    <t>BS1OR Under Recovery</t>
  </si>
  <si>
    <t>1823517</t>
  </si>
  <si>
    <t>Big Sandy Recov O/U Balancing</t>
  </si>
  <si>
    <t>1823518</t>
  </si>
  <si>
    <t>BSRR Unit 2 O&amp;M</t>
  </si>
  <si>
    <t>1823519</t>
  </si>
  <si>
    <t>Unrecovered Purch Power-PPA</t>
  </si>
  <si>
    <t>1823520</t>
  </si>
  <si>
    <t>Deferred Dep - Environmental</t>
  </si>
  <si>
    <t>1823536</t>
  </si>
  <si>
    <t>CC-NERC Compl/Cyber Unrec Eqty</t>
  </si>
  <si>
    <t>1823537</t>
  </si>
  <si>
    <t>CC-NERC Compliance/Cyber Sec</t>
  </si>
  <si>
    <t>1823538</t>
  </si>
  <si>
    <t>Def Depr-NERC Compli/Cybersec</t>
  </si>
  <si>
    <t>1823547</t>
  </si>
  <si>
    <t>Def Depr-Big Sandy Unit 1 Gas</t>
  </si>
  <si>
    <t>1823550</t>
  </si>
  <si>
    <t>Def Prop Tax-Big Sandy U1 Gas</t>
  </si>
  <si>
    <t>Deferred Expenses</t>
  </si>
  <si>
    <t>Unidentified Cash Receipts</t>
  </si>
  <si>
    <t>ARO - Current</t>
  </si>
  <si>
    <t>Home Warranty Payables</t>
  </si>
  <si>
    <t>Reorg Payroll Tax Accrual</t>
  </si>
  <si>
    <t>Acrd Int. - SIT Reserve - LT</t>
  </si>
  <si>
    <t>Severance Accrual</t>
  </si>
  <si>
    <t>KY Enhanced Reliability Liab</t>
  </si>
  <si>
    <t>Deposits Flexible Spending</t>
  </si>
  <si>
    <t>Removal of Mitchell FGD Consumables</t>
  </si>
  <si>
    <t>Going-Level Adjustments to Cash Working Capital &amp; Other Ratebase Items</t>
  </si>
  <si>
    <t>KENTUCKY POWER COMPANY</t>
  </si>
  <si>
    <t>Line</t>
  </si>
  <si>
    <t>No.</t>
  </si>
  <si>
    <t>Description</t>
  </si>
  <si>
    <t>Total KPSC Jurisdiction Rate Base</t>
  </si>
  <si>
    <t>Accounts Receivable Net</t>
  </si>
  <si>
    <t>Energy Trading Contracts</t>
  </si>
  <si>
    <t>Accounts Payable</t>
  </si>
  <si>
    <t>Total KPSC Jurisdiction Capitalization</t>
  </si>
  <si>
    <t>Effect of Adjustments</t>
  </si>
  <si>
    <t>Summary of Differences</t>
  </si>
  <si>
    <t>Jurisdictional Adjustment</t>
  </si>
  <si>
    <t>Adjustments to Cash Working Capital</t>
  </si>
  <si>
    <t>Adjustments to Rate Base</t>
  </si>
  <si>
    <t>Difference (Capitalization less Rate Base)</t>
  </si>
  <si>
    <t>Adjustments to Capitalization</t>
  </si>
  <si>
    <t>(Section V, Schedule 1, line 18)</t>
  </si>
  <si>
    <t>(Section V, Schedule 1, line 16)</t>
  </si>
  <si>
    <t>Capital and Liabilities</t>
  </si>
  <si>
    <t>Regulatory Assets</t>
  </si>
  <si>
    <t>less Accum Provision - Depre, Depl</t>
  </si>
  <si>
    <t>less Accum Provision - Amort.</t>
  </si>
  <si>
    <t>Prepayments &amp; Other Current Assets</t>
  </si>
  <si>
    <t>Long-Term Debt</t>
  </si>
  <si>
    <t>Subtotal as Shown in Application</t>
  </si>
  <si>
    <t>A</t>
  </si>
  <si>
    <t>B</t>
  </si>
  <si>
    <t>A + B</t>
  </si>
  <si>
    <t>Original Cost - Electric Plant in Service</t>
  </si>
  <si>
    <t>Accum Prov for Depr, Depl &amp; Amort</t>
  </si>
  <si>
    <t>C</t>
  </si>
  <si>
    <t>D</t>
  </si>
  <si>
    <t>Net Original Cost</t>
  </si>
  <si>
    <t>Net Plant</t>
  </si>
  <si>
    <t>Prepayments and Other Current Assets</t>
  </si>
  <si>
    <t>Long Term Debt</t>
  </si>
  <si>
    <t>Accumulated Provisions - Misc. - NonCurrent</t>
  </si>
  <si>
    <t>Obligations Under Capital Leases - Noncurrent</t>
  </si>
  <si>
    <t>Trading Deposits</t>
  </si>
  <si>
    <t>Obligations Under Capital Leases - Current</t>
  </si>
  <si>
    <t>Energy Contracts</t>
  </si>
  <si>
    <t>Total (14 + 29)</t>
  </si>
  <si>
    <t>Unamortized Debt</t>
  </si>
  <si>
    <t>Accts Receivable</t>
  </si>
  <si>
    <t>Subtotal (4 through 14)</t>
  </si>
  <si>
    <t>Subtotal (16 through 29)</t>
  </si>
  <si>
    <t>Difference (pre-adjustments) (30 + 33)</t>
  </si>
  <si>
    <t>Overall Difference (34 + 39)</t>
  </si>
  <si>
    <t>C + D</t>
  </si>
  <si>
    <t>Cloud Implement - PIS</t>
  </si>
  <si>
    <t>1011012</t>
  </si>
  <si>
    <t>1011031</t>
  </si>
  <si>
    <t>Operating Lease</t>
  </si>
  <si>
    <t>Accrued Operating Leases</t>
  </si>
  <si>
    <t>Prov - Operating Lease Assets</t>
  </si>
  <si>
    <t>Cloud Implement - CCNC</t>
  </si>
  <si>
    <t>1110007</t>
  </si>
  <si>
    <t>Cloud Implement - A/P Amrt Plt</t>
  </si>
  <si>
    <t>Depr&amp;Amrt of Nonutl Prop-WIP</t>
  </si>
  <si>
    <t>1340057</t>
  </si>
  <si>
    <t>Wells Fargo Securities, LLC</t>
  </si>
  <si>
    <t>1420060</t>
  </si>
  <si>
    <t>PJM Trans Enhancement Refund</t>
  </si>
  <si>
    <t>AR Long-Term-Customer</t>
  </si>
  <si>
    <t>Cust A/R - Special Contracts</t>
  </si>
  <si>
    <t>1581000</t>
  </si>
  <si>
    <t>1540003</t>
  </si>
  <si>
    <t>Material in Transit</t>
  </si>
  <si>
    <t>1823000</t>
  </si>
  <si>
    <t>Other Regulatory Assets</t>
  </si>
  <si>
    <t>1823108</t>
  </si>
  <si>
    <t>Reg Asset - Rate Case Expenses</t>
  </si>
  <si>
    <t>1823557</t>
  </si>
  <si>
    <t>1823571</t>
  </si>
  <si>
    <t>1823429</t>
  </si>
  <si>
    <t>1823430</t>
  </si>
  <si>
    <t>1823431</t>
  </si>
  <si>
    <t>Rockport Capacity Def-Eqty CC</t>
  </si>
  <si>
    <t>Rockport Capacity CC Deferral</t>
  </si>
  <si>
    <t>Rockport Capacity Deferral</t>
  </si>
  <si>
    <t>1860332</t>
  </si>
  <si>
    <t>Prov Opr Lease Assets-Gen&amp;Misc</t>
  </si>
  <si>
    <t>2270031</t>
  </si>
  <si>
    <t>Oblig undr Oper Lease-Non Curr</t>
  </si>
  <si>
    <t>2270033</t>
  </si>
  <si>
    <t>Acrued Noncur Oper Lease Oblig</t>
  </si>
  <si>
    <t>2320100</t>
  </si>
  <si>
    <t>PJM Greenhat Default Payable</t>
  </si>
  <si>
    <t>2320101</t>
  </si>
  <si>
    <t>RTO AP Accrual for Cong Deriv</t>
  </si>
  <si>
    <t>236000319</t>
  </si>
  <si>
    <t>Local Income Tax</t>
  </si>
  <si>
    <t>236001217</t>
  </si>
  <si>
    <t>236001218</t>
  </si>
  <si>
    <t>236001219</t>
  </si>
  <si>
    <t>236001220</t>
  </si>
  <si>
    <t>State License Registration Tax</t>
  </si>
  <si>
    <t>2430031</t>
  </si>
  <si>
    <t>Oblig undr Oper Lease -Current</t>
  </si>
  <si>
    <t>2430033</t>
  </si>
  <si>
    <t>Acrued Curent Oper Lease Oblig</t>
  </si>
  <si>
    <t>2440001</t>
  </si>
  <si>
    <t>2440021</t>
  </si>
  <si>
    <t>2420083</t>
  </si>
  <si>
    <t>Active Med and Dental IBNR</t>
  </si>
  <si>
    <t>2420715</t>
  </si>
  <si>
    <t>KY RPO Rider Liabilty</t>
  </si>
  <si>
    <t>2834001</t>
  </si>
  <si>
    <t>Acc Defd FIT - SFAS 109 Excess</t>
  </si>
  <si>
    <t>2814001</t>
  </si>
  <si>
    <t>Acc Dfd FIT - FAS 109 Excess</t>
  </si>
  <si>
    <t>2540125</t>
  </si>
  <si>
    <t>OSS Margin Sharing</t>
  </si>
  <si>
    <t>2540230</t>
  </si>
  <si>
    <t>PJM trans enhancement reg liab</t>
  </si>
  <si>
    <t>2543247</t>
  </si>
  <si>
    <t>KY - DSM Over Recovery</t>
  </si>
  <si>
    <t>2530185</t>
  </si>
  <si>
    <t>O\U Accounting of ExpensesT</t>
  </si>
  <si>
    <t>2530190</t>
  </si>
  <si>
    <t>QUAL OF SVC PENALTIES - LT</t>
  </si>
  <si>
    <t>2420000</t>
  </si>
  <si>
    <t>Misc Current &amp; Accrued Liab</t>
  </si>
  <si>
    <t>Removal NERC Compliance Asset from Cap.</t>
  </si>
  <si>
    <t>Less SO2 Allowance Inventory</t>
  </si>
  <si>
    <t>*</t>
  </si>
  <si>
    <t>Accum Deferred FIT - Other*</t>
  </si>
  <si>
    <t>Acc Dfd FIT - Accel Amort Prop*</t>
  </si>
  <si>
    <t>Accum Defd FIT - Utility Prop*</t>
  </si>
  <si>
    <t>Acc Dfd SIT-WV Pollution Cntrl*</t>
  </si>
  <si>
    <t>*Differences in accumulated deferred federal income tax account balances are due to tax accounting preparation for filing purposes</t>
  </si>
  <si>
    <t>1840063</t>
  </si>
  <si>
    <t>Corporate Charge Card Clearing</t>
  </si>
  <si>
    <t>1070007</t>
  </si>
  <si>
    <t>Cloud Implementation Costs</t>
  </si>
  <si>
    <t>1420033</t>
  </si>
  <si>
    <t>Cooling Assistance Prg (COOL)</t>
  </si>
  <si>
    <t>1420050</t>
  </si>
  <si>
    <t>PJM AR Accrual</t>
  </si>
  <si>
    <t>1440001</t>
  </si>
  <si>
    <t>Uncoll Accts-Elect Receivables</t>
  </si>
  <si>
    <t>1540033</t>
  </si>
  <si>
    <t>Inventory  Pending Inspection</t>
  </si>
  <si>
    <t>1650041</t>
  </si>
  <si>
    <t>Prepaid Regulatory Fees</t>
  </si>
  <si>
    <t>165000221</t>
  </si>
  <si>
    <t>165000222</t>
  </si>
  <si>
    <t>1823037</t>
  </si>
  <si>
    <t>KY Steam Maint O/U</t>
  </si>
  <si>
    <t>182332821</t>
  </si>
  <si>
    <t>FERC Formula Rates Under Recvr</t>
  </si>
  <si>
    <t>182332822</t>
  </si>
  <si>
    <t>1823620</t>
  </si>
  <si>
    <t>2020 KY Storm Deferral</t>
  </si>
  <si>
    <t>1823623</t>
  </si>
  <si>
    <t>2021 KY Storm deferral</t>
  </si>
  <si>
    <t>1823685</t>
  </si>
  <si>
    <t>KY ELG Deferral</t>
  </si>
  <si>
    <t>1823698</t>
  </si>
  <si>
    <t>2022 KY Major Storm Deferral</t>
  </si>
  <si>
    <t>1860185</t>
  </si>
  <si>
    <t>Long Term Assoc AR</t>
  </si>
  <si>
    <t>1860192</t>
  </si>
  <si>
    <t>Trnsrce OU Acctg for Def Asset</t>
  </si>
  <si>
    <t>2110000</t>
  </si>
  <si>
    <t>Miscellaneous Paid-In Capital</t>
  </si>
  <si>
    <t>2240505</t>
  </si>
  <si>
    <t>Oth LTD - Other - Current</t>
  </si>
  <si>
    <t>2320008</t>
  </si>
  <si>
    <t>Miscellaneous Liabilities</t>
  </si>
  <si>
    <t>2282011</t>
  </si>
  <si>
    <t>Accm Prv I/D - Asbestos - Curr</t>
  </si>
  <si>
    <t>2282012</t>
  </si>
  <si>
    <t>Accm Prv I/D - Asbestos</t>
  </si>
  <si>
    <t>236000220</t>
  </si>
  <si>
    <t>236000221</t>
  </si>
  <si>
    <t>236000222</t>
  </si>
  <si>
    <t>236000223</t>
  </si>
  <si>
    <t>236000722</t>
  </si>
  <si>
    <t>236000723</t>
  </si>
  <si>
    <t>236000821</t>
  </si>
  <si>
    <t>236000822</t>
  </si>
  <si>
    <t>236001323</t>
  </si>
  <si>
    <t>236001623</t>
  </si>
  <si>
    <t>236002222</t>
  </si>
  <si>
    <t>236003322</t>
  </si>
  <si>
    <t>236003323</t>
  </si>
  <si>
    <t>236003523</t>
  </si>
  <si>
    <t>2440002</t>
  </si>
  <si>
    <t>2440022</t>
  </si>
  <si>
    <t>2420660</t>
  </si>
  <si>
    <t>AEP Transmission ICP</t>
  </si>
  <si>
    <t>2420700</t>
  </si>
  <si>
    <t>Quality of Service</t>
  </si>
  <si>
    <t>2540237</t>
  </si>
  <si>
    <t>KY Steam Main O/U</t>
  </si>
  <si>
    <t>2543246</t>
  </si>
  <si>
    <t>Capacity Charge Tariff OverRec</t>
  </si>
  <si>
    <t>2530188</t>
  </si>
  <si>
    <t>Long Term Assoc AP</t>
  </si>
  <si>
    <t>Cash Working Capital</t>
  </si>
  <si>
    <t>AFUDC in CWIP</t>
  </si>
  <si>
    <t>Per Books 3/31/2023</t>
  </si>
  <si>
    <t>Jurisdictional Allocation &amp; Non-Applicable ADIT Adjustment</t>
  </si>
  <si>
    <t>Less: AFUDC in CWIP</t>
  </si>
  <si>
    <t>Subtotal (34 through 37)</t>
  </si>
  <si>
    <t>(Section V, Schedule 4, column 2, line 212)</t>
  </si>
  <si>
    <t>Subtotal (31)</t>
  </si>
  <si>
    <t>1080026</t>
  </si>
  <si>
    <t>Cloud Compute Implement Costs</t>
  </si>
  <si>
    <t>1420062</t>
  </si>
  <si>
    <t>Emergency Rent Assist ERUAP</t>
  </si>
  <si>
    <t>1581014</t>
  </si>
  <si>
    <t>CSAPR Seas NOx Comp Inv - Curr</t>
  </si>
  <si>
    <t>165001124</t>
  </si>
  <si>
    <t>165001125</t>
  </si>
  <si>
    <t>165001224</t>
  </si>
  <si>
    <t>165001225</t>
  </si>
  <si>
    <t>182332823</t>
  </si>
  <si>
    <t>182332824</t>
  </si>
  <si>
    <t>182332825</t>
  </si>
  <si>
    <t>1823722</t>
  </si>
  <si>
    <t>2023 KY Storm Deferral</t>
  </si>
  <si>
    <t>1823727</t>
  </si>
  <si>
    <t>KY Deferred Securitization Exp</t>
  </si>
  <si>
    <t>1823741</t>
  </si>
  <si>
    <t>Tariff DR CC Deferral</t>
  </si>
  <si>
    <t>1823742</t>
  </si>
  <si>
    <t>Tariff DR DeferredEquity CC</t>
  </si>
  <si>
    <t>1823757</t>
  </si>
  <si>
    <t>KY 2024 Storm Deferral</t>
  </si>
  <si>
    <t>1823767</t>
  </si>
  <si>
    <t>KY 2025 Storm Deferral</t>
  </si>
  <si>
    <t>186000323</t>
  </si>
  <si>
    <t>186000324</t>
  </si>
  <si>
    <t>1860006</t>
  </si>
  <si>
    <t>Constructive Marketing Program</t>
  </si>
  <si>
    <t>1860015</t>
  </si>
  <si>
    <t>Billings Paid Union Benefits</t>
  </si>
  <si>
    <t>186008124</t>
  </si>
  <si>
    <t>186008125</t>
  </si>
  <si>
    <t>1823655</t>
  </si>
  <si>
    <t>1823656</t>
  </si>
  <si>
    <t>NOLC Regulatory Asset</t>
  </si>
  <si>
    <t>NOLC Reg Asset-Equity Carrying</t>
  </si>
  <si>
    <t>2240002</t>
  </si>
  <si>
    <t>Installment Purchase Contracts</t>
  </si>
  <si>
    <t>2240506</t>
  </si>
  <si>
    <t>Senior Unsecured Notes-Current</t>
  </si>
  <si>
    <t>A/P Assoc-Global Borrowing Int</t>
  </si>
  <si>
    <t>2360002</t>
  </si>
  <si>
    <t>2360003</t>
  </si>
  <si>
    <t>236000724</t>
  </si>
  <si>
    <t>236000725</t>
  </si>
  <si>
    <t>236001324</t>
  </si>
  <si>
    <t>236001325</t>
  </si>
  <si>
    <t>236001620</t>
  </si>
  <si>
    <t>236001624</t>
  </si>
  <si>
    <t>236001625</t>
  </si>
  <si>
    <t>236003324</t>
  </si>
  <si>
    <t>236003325</t>
  </si>
  <si>
    <t>236003524</t>
  </si>
  <si>
    <t>236003525</t>
  </si>
  <si>
    <t>242059224</t>
  </si>
  <si>
    <t>Sales Use Tax - Leased Equip</t>
  </si>
  <si>
    <t>242059225</t>
  </si>
  <si>
    <t>2420656</t>
  </si>
  <si>
    <t>Federal Mitigation Accru (NSR)</t>
  </si>
  <si>
    <t>2530044</t>
  </si>
  <si>
    <t>Neigh Help Neig-Cust Donations</t>
  </si>
  <si>
    <t xml:space="preserve">Vegetation Management ROW Widening </t>
  </si>
  <si>
    <t>Wholesale Load Removal</t>
  </si>
  <si>
    <t>Removal Mitchell from Rate Base and Cost of Service</t>
  </si>
  <si>
    <t xml:space="preserve">Mitchell Non-ELG </t>
  </si>
  <si>
    <t>51-A &amp; 51-B</t>
  </si>
  <si>
    <t>Turbine Reservation Fee</t>
  </si>
  <si>
    <t>Total ADIT Adjustment</t>
  </si>
  <si>
    <t>Proforma Equity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</si>
</sst>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&quot;&quot;;_(@_)"/>
    <numFmt numFmtId="166" formatCode="[Blue]#,##0,_);[Red]\(#,##0,\)"/>
    <numFmt numFmtId="167" formatCode="_(&quot;$&quot;* #,##0_);_(&quot;$&quot;* \(#,##0\);_(&quot;$&quot;* &quot;-&quot;??_);_(@_)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 Unicode MS"/>
      <family val="2"/>
    </font>
    <font>
      <sz val="12"/>
      <name val="Arial MT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b/>
      <sz val="10"/>
      <name val="Arial Unicode MS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5"/>
      <color indexed="62"/>
      <name val="Calibri"/>
      <family val="2"/>
    </font>
    <font>
      <b/>
      <sz val="15"/>
      <color indexed="62"/>
      <name val="Arial"/>
      <family val="2"/>
    </font>
    <font>
      <b/>
      <sz val="15"/>
      <color indexed="56"/>
      <name val="Tahoma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Arial"/>
      <family val="2"/>
    </font>
    <font>
      <b/>
      <sz val="13"/>
      <color indexed="56"/>
      <name val="Tahoma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Arial"/>
      <family val="2"/>
    </font>
    <font>
      <b/>
      <sz val="11"/>
      <color indexed="56"/>
      <name val="Tahoma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b/>
      <sz val="12"/>
      <color indexed="1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sz val="10"/>
      <color theme="1"/>
      <name val="Arial"/>
      <family val="2"/>
    </font>
    <font>
      <sz val="10"/>
      <color indexed="64"/>
      <name val="Arial"/>
      <family val="2"/>
    </font>
    <font>
      <sz val="8"/>
      <color indexed="48"/>
      <name val="Arial"/>
      <family val="2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mediumGray">
        <fgColor indexed="22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4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8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0" applyNumberFormat="0" applyBorder="0" applyAlignment="0" applyProtection="0"/>
    <xf numFmtId="0" fontId="8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7" borderId="0" applyNumberFormat="0" applyBorder="0" applyAlignment="0" applyProtection="0"/>
    <xf numFmtId="0" fontId="8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4" borderId="0" applyNumberFormat="0" applyBorder="0" applyAlignment="0" applyProtection="0"/>
    <xf numFmtId="0" fontId="16" fillId="2" borderId="2" applyNumberFormat="0" applyAlignment="0" applyProtection="0"/>
    <xf numFmtId="0" fontId="17" fillId="2" borderId="2" applyNumberFormat="0" applyAlignment="0" applyProtection="0"/>
    <xf numFmtId="0" fontId="17" fillId="2" borderId="2" applyNumberFormat="0" applyAlignment="0" applyProtection="0"/>
    <xf numFmtId="0" fontId="17" fillId="2" borderId="2" applyNumberFormat="0" applyAlignment="0" applyProtection="0"/>
    <xf numFmtId="0" fontId="18" fillId="2" borderId="2" applyNumberFormat="0" applyAlignment="0" applyProtection="0"/>
    <xf numFmtId="0" fontId="19" fillId="10" borderId="3" applyNumberFormat="0" applyAlignment="0" applyProtection="0"/>
    <xf numFmtId="0" fontId="20" fillId="10" borderId="3" applyNumberFormat="0" applyAlignment="0" applyProtection="0"/>
    <xf numFmtId="0" fontId="20" fillId="10" borderId="3" applyNumberFormat="0" applyAlignment="0" applyProtection="0"/>
    <xf numFmtId="0" fontId="20" fillId="10" borderId="3" applyNumberFormat="0" applyAlignment="0" applyProtection="0"/>
    <xf numFmtId="0" fontId="21" fillId="26" borderId="3" applyNumberFormat="0" applyAlignment="0" applyProtection="0"/>
    <xf numFmtId="0" fontId="20" fillId="26" borderId="3" applyNumberFormat="0" applyAlignment="0" applyProtection="0"/>
    <xf numFmtId="0" fontId="19" fillId="26" borderId="3" applyNumberFormat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23" fillId="0" borderId="0" applyFont="0" applyFill="0" applyBorder="0" applyAlignment="0" applyProtection="0"/>
    <xf numFmtId="8" fontId="2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9" fillId="6" borderId="0" applyNumberFormat="0" applyBorder="0" applyAlignment="0" applyProtection="0"/>
    <xf numFmtId="0" fontId="30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3" fillId="0" borderId="5" applyNumberFormat="0" applyFill="0" applyAlignment="0" applyProtection="0"/>
    <xf numFmtId="0" fontId="34" fillId="0" borderId="5" applyNumberFormat="0" applyFill="0" applyAlignment="0" applyProtection="0"/>
    <xf numFmtId="0" fontId="35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6" fillId="0" borderId="6" applyNumberFormat="0" applyFill="0" applyAlignment="0" applyProtection="0"/>
    <xf numFmtId="0" fontId="37" fillId="0" borderId="7" applyNumberFormat="0" applyFill="0" applyAlignment="0" applyProtection="0"/>
    <xf numFmtId="0" fontId="38" fillId="0" borderId="7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3" fillId="0" borderId="9" applyNumberFormat="0" applyFill="0" applyAlignment="0" applyProtection="0"/>
    <xf numFmtId="0" fontId="44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6" fillId="9" borderId="2" applyNumberFormat="0" applyAlignment="0" applyProtection="0"/>
    <xf numFmtId="0" fontId="47" fillId="9" borderId="2" applyNumberFormat="0" applyAlignment="0" applyProtection="0"/>
    <xf numFmtId="41" fontId="48" fillId="0" borderId="0">
      <alignment horizontal="left"/>
    </xf>
    <xf numFmtId="0" fontId="49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0" fillId="0" borderId="10" applyNumberFormat="0" applyFill="0" applyAlignment="0" applyProtection="0"/>
    <xf numFmtId="0" fontId="51" fillId="0" borderId="10" applyNumberFormat="0" applyFill="0" applyAlignment="0" applyProtection="0"/>
    <xf numFmtId="0" fontId="52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3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/>
    <xf numFmtId="0" fontId="5" fillId="0" borderId="0"/>
    <xf numFmtId="37" fontId="6" fillId="0" borderId="0"/>
    <xf numFmtId="0" fontId="6" fillId="0" borderId="0"/>
    <xf numFmtId="0" fontId="23" fillId="0" borderId="0"/>
    <xf numFmtId="0" fontId="1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5" fillId="0" borderId="0"/>
    <xf numFmtId="0" fontId="56" fillId="0" borderId="0"/>
    <xf numFmtId="0" fontId="56" fillId="0" borderId="0"/>
    <xf numFmtId="0" fontId="5" fillId="0" borderId="0"/>
    <xf numFmtId="0" fontId="56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38" fontId="3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3" fillId="5" borderId="11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0" fontId="3" fillId="5" borderId="2" applyNumberFormat="0" applyFont="0" applyAlignment="0" applyProtection="0"/>
    <xf numFmtId="43" fontId="46" fillId="0" borderId="0"/>
    <xf numFmtId="166" fontId="57" fillId="0" borderId="0"/>
    <xf numFmtId="0" fontId="58" fillId="2" borderId="12" applyNumberFormat="0" applyAlignment="0" applyProtection="0"/>
    <xf numFmtId="0" fontId="59" fillId="2" borderId="12" applyNumberFormat="0" applyAlignment="0" applyProtection="0"/>
    <xf numFmtId="0" fontId="59" fillId="2" borderId="12" applyNumberFormat="0" applyAlignment="0" applyProtection="0"/>
    <xf numFmtId="0" fontId="59" fillId="2" borderId="12" applyNumberFormat="0" applyAlignment="0" applyProtection="0"/>
    <xf numFmtId="0" fontId="60" fillId="2" borderId="12" applyNumberFormat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0" fontId="61" fillId="0" borderId="13">
      <alignment horizontal="center"/>
    </xf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23" fillId="27" borderId="0" applyNumberFormat="0" applyFon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3" fillId="0" borderId="0"/>
    <xf numFmtId="44" fontId="2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5" fillId="0" borderId="0" applyNumberFormat="0" applyFont="0" applyFill="0" applyBorder="0" applyAlignment="0" applyProtection="0">
      <alignment horizontal="left"/>
    </xf>
    <xf numFmtId="15" fontId="75" fillId="0" borderId="0" applyFont="0" applyFill="0" applyBorder="0" applyAlignment="0" applyProtection="0"/>
    <xf numFmtId="4" fontId="75" fillId="0" borderId="0" applyFont="0" applyFill="0" applyBorder="0" applyAlignment="0" applyProtection="0"/>
    <xf numFmtId="0" fontId="76" fillId="0" borderId="13">
      <alignment horizontal="center"/>
    </xf>
    <xf numFmtId="3" fontId="75" fillId="0" borderId="0" applyFont="0" applyFill="0" applyBorder="0" applyAlignment="0" applyProtection="0"/>
    <xf numFmtId="0" fontId="75" fillId="27" borderId="0" applyNumberFormat="0" applyFont="0" applyBorder="0" applyAlignment="0" applyProtection="0"/>
    <xf numFmtId="0" fontId="77" fillId="0" borderId="0"/>
    <xf numFmtId="44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77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ill="1"/>
    <xf numFmtId="164" fontId="0" fillId="0" borderId="0" xfId="1" applyNumberFormat="1" applyFont="1" applyFill="1"/>
    <xf numFmtId="37" fontId="0" fillId="0" borderId="0" xfId="1" applyNumberFormat="1" applyFont="1" applyFill="1" applyAlignment="1"/>
    <xf numFmtId="37" fontId="0" fillId="0" borderId="1" xfId="1" applyNumberFormat="1" applyFont="1" applyFill="1" applyBorder="1" applyAlignment="1"/>
    <xf numFmtId="37" fontId="2" fillId="0" borderId="0" xfId="1" applyNumberFormat="1" applyFont="1" applyFill="1" applyAlignment="1"/>
    <xf numFmtId="37" fontId="4" fillId="0" borderId="0" xfId="1" applyNumberFormat="1" applyFont="1" applyFill="1" applyAlignment="1"/>
    <xf numFmtId="37" fontId="4" fillId="0" borderId="0" xfId="1" applyNumberFormat="1" applyFont="1" applyFill="1" applyAlignment="1">
      <alignment horizontal="center"/>
    </xf>
    <xf numFmtId="37" fontId="0" fillId="0" borderId="0" xfId="1" applyNumberFormat="1" applyFont="1" applyFill="1" applyBorder="1" applyAlignment="1"/>
    <xf numFmtId="37" fontId="4" fillId="0" borderId="0" xfId="0" applyNumberFormat="1" applyFont="1" applyFill="1"/>
    <xf numFmtId="37" fontId="0" fillId="0" borderId="0" xfId="0" applyNumberFormat="1" applyFill="1"/>
    <xf numFmtId="0" fontId="4" fillId="0" borderId="0" xfId="0" applyFon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0" fontId="2" fillId="0" borderId="0" xfId="0" applyFont="1" applyFill="1"/>
    <xf numFmtId="37" fontId="0" fillId="0" borderId="1" xfId="0" applyNumberFormat="1" applyFill="1" applyBorder="1"/>
    <xf numFmtId="37" fontId="0" fillId="0" borderId="0" xfId="0" applyNumberFormat="1" applyFill="1" applyBorder="1"/>
    <xf numFmtId="37" fontId="2" fillId="0" borderId="0" xfId="0" applyNumberFormat="1" applyFont="1" applyFill="1"/>
    <xf numFmtId="49" fontId="70" fillId="0" borderId="0" xfId="5" applyNumberFormat="1" applyFont="1" applyFill="1" applyAlignment="1">
      <alignment horizontal="left" vertical="center"/>
    </xf>
    <xf numFmtId="49" fontId="71" fillId="0" borderId="0" xfId="5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37" fontId="4" fillId="0" borderId="0" xfId="0" applyNumberFormat="1" applyFont="1" applyFill="1" applyAlignment="1">
      <alignment horizontal="center" vertical="center"/>
    </xf>
    <xf numFmtId="49" fontId="70" fillId="0" borderId="0" xfId="5" applyNumberFormat="1" applyFont="1" applyFill="1" applyAlignment="1">
      <alignment horizontal="right" vertical="center"/>
    </xf>
    <xf numFmtId="37" fontId="1" fillId="0" borderId="0" xfId="1" applyNumberFormat="1" applyFont="1" applyFill="1" applyAlignment="1"/>
    <xf numFmtId="37" fontId="1" fillId="0" borderId="0" xfId="1" applyNumberFormat="1" applyFont="1" applyFill="1" applyBorder="1" applyAlignment="1"/>
    <xf numFmtId="0" fontId="0" fillId="0" borderId="0" xfId="0" quotePrefix="1" applyFill="1"/>
    <xf numFmtId="164" fontId="0" fillId="0" borderId="1" xfId="1" applyNumberFormat="1" applyFont="1" applyFill="1" applyBorder="1"/>
    <xf numFmtId="0" fontId="3" fillId="0" borderId="0" xfId="736" applyFont="1" applyFill="1"/>
    <xf numFmtId="0" fontId="4" fillId="0" borderId="0" xfId="0" applyFont="1" applyFill="1"/>
    <xf numFmtId="0" fontId="1" fillId="0" borderId="0" xfId="0" applyFont="1" applyFill="1"/>
    <xf numFmtId="37" fontId="1" fillId="0" borderId="0" xfId="0" applyNumberFormat="1" applyFont="1" applyFill="1"/>
    <xf numFmtId="0" fontId="0" fillId="0" borderId="0" xfId="0" applyFill="1" applyBorder="1"/>
    <xf numFmtId="37" fontId="2" fillId="0" borderId="1" xfId="1" applyNumberFormat="1" applyFont="1" applyFill="1" applyBorder="1" applyAlignment="1"/>
    <xf numFmtId="0" fontId="1" fillId="0" borderId="0" xfId="0" applyFont="1" applyFill="1" applyBorder="1"/>
    <xf numFmtId="37" fontId="1" fillId="0" borderId="0" xfId="0" applyNumberFormat="1" applyFont="1" applyFill="1" applyBorder="1"/>
    <xf numFmtId="37" fontId="0" fillId="0" borderId="18" xfId="1" applyNumberFormat="1" applyFont="1" applyFill="1" applyBorder="1" applyAlignment="1"/>
    <xf numFmtId="0" fontId="0" fillId="0" borderId="18" xfId="0" applyFill="1" applyBorder="1"/>
    <xf numFmtId="37" fontId="0" fillId="0" borderId="19" xfId="0" applyNumberFormat="1" applyFill="1" applyBorder="1"/>
    <xf numFmtId="37" fontId="0" fillId="0" borderId="21" xfId="0" applyNumberFormat="1" applyFill="1" applyBorder="1"/>
    <xf numFmtId="0" fontId="0" fillId="0" borderId="13" xfId="0" applyFill="1" applyBorder="1"/>
    <xf numFmtId="37" fontId="0" fillId="0" borderId="24" xfId="0" applyNumberFormat="1" applyFill="1" applyBorder="1"/>
    <xf numFmtId="167" fontId="73" fillId="0" borderId="0" xfId="736" applyNumberFormat="1" applyFont="1" applyFill="1"/>
    <xf numFmtId="167" fontId="3" fillId="0" borderId="0" xfId="736" applyNumberFormat="1" applyFont="1" applyFill="1"/>
    <xf numFmtId="37" fontId="3" fillId="0" borderId="0" xfId="736" applyNumberFormat="1" applyFont="1" applyFill="1"/>
    <xf numFmtId="37" fontId="3" fillId="0" borderId="1" xfId="736" applyNumberFormat="1" applyFont="1" applyFill="1" applyBorder="1"/>
    <xf numFmtId="37" fontId="3" fillId="0" borderId="0" xfId="736" applyNumberFormat="1" applyFont="1" applyFill="1" applyBorder="1"/>
    <xf numFmtId="37" fontId="3" fillId="0" borderId="13" xfId="736" applyNumberFormat="1" applyFont="1" applyFill="1" applyBorder="1"/>
    <xf numFmtId="164" fontId="78" fillId="0" borderId="0" xfId="738" applyNumberFormat="1" applyFont="1" applyFill="1"/>
    <xf numFmtId="164" fontId="55" fillId="0" borderId="0" xfId="738" applyNumberFormat="1" applyFont="1" applyFill="1"/>
    <xf numFmtId="164" fontId="55" fillId="0" borderId="1" xfId="738" applyNumberFormat="1" applyFont="1" applyFill="1" applyBorder="1"/>
    <xf numFmtId="164" fontId="3" fillId="0" borderId="0" xfId="736" applyNumberFormat="1" applyFont="1" applyFill="1"/>
    <xf numFmtId="164" fontId="73" fillId="0" borderId="1" xfId="736" applyNumberFormat="1" applyFont="1" applyFill="1" applyBorder="1"/>
    <xf numFmtId="164" fontId="73" fillId="0" borderId="16" xfId="736" applyNumberFormat="1" applyFont="1" applyFill="1" applyBorder="1"/>
    <xf numFmtId="37" fontId="2" fillId="0" borderId="0" xfId="1" applyNumberFormat="1" applyFont="1" applyFill="1" applyBorder="1" applyAlignment="1"/>
    <xf numFmtId="37" fontId="1" fillId="0" borderId="1" xfId="1" applyNumberFormat="1" applyFont="1" applyFill="1" applyBorder="1" applyAlignment="1"/>
    <xf numFmtId="164" fontId="0" fillId="0" borderId="0" xfId="1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quotePrefix="1" applyFill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Fill="1" applyAlignment="1">
      <alignment horizontal="left"/>
    </xf>
    <xf numFmtId="43" fontId="3" fillId="0" borderId="0" xfId="1" applyFont="1" applyFill="1"/>
    <xf numFmtId="0" fontId="3" fillId="0" borderId="0" xfId="736" applyFont="1" applyFill="1" applyAlignment="1">
      <alignment horizontal="center"/>
    </xf>
    <xf numFmtId="164" fontId="0" fillId="0" borderId="0" xfId="0" applyNumberFormat="1" applyFill="1"/>
    <xf numFmtId="43" fontId="0" fillId="0" borderId="0" xfId="1" applyNumberFormat="1" applyFont="1" applyFill="1"/>
    <xf numFmtId="0" fontId="0" fillId="0" borderId="0" xfId="0" applyFill="1" applyAlignment="1">
      <alignment horizontal="right" vertical="center"/>
    </xf>
    <xf numFmtId="0" fontId="0" fillId="0" borderId="13" xfId="0" applyFill="1" applyBorder="1" applyAlignment="1">
      <alignment vertical="center"/>
    </xf>
    <xf numFmtId="164" fontId="0" fillId="0" borderId="13" xfId="1" applyNumberFormat="1" applyFont="1" applyFill="1" applyBorder="1"/>
    <xf numFmtId="0" fontId="2" fillId="0" borderId="0" xfId="0" applyFont="1" applyFill="1" applyAlignment="1">
      <alignment horizontal="right" vertical="center"/>
    </xf>
    <xf numFmtId="164" fontId="2" fillId="0" borderId="0" xfId="1" applyNumberFormat="1" applyFont="1" applyFill="1"/>
    <xf numFmtId="0" fontId="0" fillId="0" borderId="0" xfId="0" applyFill="1" applyAlignment="1">
      <alignment wrapText="1"/>
    </xf>
    <xf numFmtId="37" fontId="0" fillId="0" borderId="0" xfId="0" applyNumberFormat="1" applyFill="1" applyAlignment="1">
      <alignment horizontal="center"/>
    </xf>
    <xf numFmtId="37" fontId="0" fillId="0" borderId="0" xfId="0" applyNumberFormat="1" applyFill="1" applyBorder="1" applyAlignment="1">
      <alignment horizontal="center"/>
    </xf>
    <xf numFmtId="37" fontId="2" fillId="0" borderId="0" xfId="0" applyNumberFormat="1" applyFont="1" applyFill="1" applyAlignment="1">
      <alignment horizontal="center"/>
    </xf>
    <xf numFmtId="37" fontId="2" fillId="0" borderId="0" xfId="1" applyNumberFormat="1" applyFont="1" applyFill="1" applyAlignment="1">
      <alignment horizontal="center"/>
    </xf>
    <xf numFmtId="37" fontId="1" fillId="0" borderId="0" xfId="0" applyNumberFormat="1" applyFont="1" applyFill="1" applyAlignment="1">
      <alignment horizontal="center"/>
    </xf>
    <xf numFmtId="37" fontId="0" fillId="0" borderId="0" xfId="1" applyNumberFormat="1" applyFont="1" applyFill="1" applyAlignment="1">
      <alignment horizontal="center"/>
    </xf>
    <xf numFmtId="37" fontId="1" fillId="0" borderId="0" xfId="0" applyNumberFormat="1" applyFont="1" applyFill="1" applyBorder="1" applyAlignment="1">
      <alignment horizontal="center"/>
    </xf>
    <xf numFmtId="37" fontId="80" fillId="0" borderId="0" xfId="0" applyNumberFormat="1" applyFont="1" applyFill="1" applyAlignment="1">
      <alignment horizontal="center"/>
    </xf>
    <xf numFmtId="0" fontId="79" fillId="0" borderId="17" xfId="0" applyFont="1" applyFill="1" applyBorder="1"/>
    <xf numFmtId="0" fontId="2" fillId="0" borderId="20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0" fontId="3" fillId="0" borderId="0" xfId="736" applyFont="1" applyFill="1" applyAlignment="1">
      <alignment horizontal="centerContinuous"/>
    </xf>
    <xf numFmtId="0" fontId="74" fillId="0" borderId="0" xfId="736" applyFont="1" applyFill="1" applyBorder="1" applyAlignment="1">
      <alignment horizontal="left" wrapText="1"/>
    </xf>
    <xf numFmtId="0" fontId="74" fillId="0" borderId="0" xfId="736" applyFont="1" applyFill="1"/>
    <xf numFmtId="0" fontId="73" fillId="0" borderId="0" xfId="736" applyFont="1" applyFill="1"/>
    <xf numFmtId="37" fontId="0" fillId="0" borderId="13" xfId="1" applyNumberFormat="1" applyFont="1" applyFill="1" applyBorder="1" applyAlignment="1"/>
    <xf numFmtId="37" fontId="2" fillId="0" borderId="1" xfId="0" applyNumberFormat="1" applyFont="1" applyFill="1" applyBorder="1"/>
    <xf numFmtId="43" fontId="0" fillId="0" borderId="1" xfId="1" applyFont="1" applyFill="1" applyBorder="1"/>
    <xf numFmtId="37" fontId="0" fillId="0" borderId="27" xfId="1" applyNumberFormat="1" applyFont="1" applyFill="1" applyBorder="1" applyAlignment="1"/>
    <xf numFmtId="37" fontId="0" fillId="0" borderId="0" xfId="0" applyNumberFormat="1" applyFont="1" applyFill="1"/>
    <xf numFmtId="37" fontId="0" fillId="0" borderId="1" xfId="0" applyNumberFormat="1" applyFont="1" applyFill="1" applyBorder="1"/>
    <xf numFmtId="37" fontId="1" fillId="0" borderId="1" xfId="0" applyNumberFormat="1" applyFont="1" applyFill="1" applyBorder="1"/>
    <xf numFmtId="164" fontId="0" fillId="0" borderId="0" xfId="1" quotePrefix="1" applyNumberFormat="1" applyFont="1" applyFill="1"/>
    <xf numFmtId="0" fontId="78" fillId="0" borderId="0" xfId="0" applyFont="1" applyFill="1" applyAlignment="1">
      <alignment horizontal="center" wrapText="1"/>
    </xf>
    <xf numFmtId="37" fontId="1" fillId="0" borderId="0" xfId="1" applyNumberFormat="1" applyFont="1" applyFill="1" applyAlignment="1">
      <alignment horizontal="center"/>
    </xf>
    <xf numFmtId="49" fontId="70" fillId="0" borderId="0" xfId="2" applyNumberFormat="1" applyFont="1" applyFill="1" applyAlignment="1">
      <alignment horizontal="left" vertical="center" wrapText="1"/>
    </xf>
    <xf numFmtId="37" fontId="73" fillId="0" borderId="0" xfId="0" applyNumberFormat="1" applyFont="1" applyFill="1" applyBorder="1" applyAlignment="1">
      <alignment horizontal="right" vertical="center"/>
    </xf>
    <xf numFmtId="167" fontId="55" fillId="0" borderId="1" xfId="737" applyNumberFormat="1" applyFont="1" applyFill="1" applyBorder="1"/>
    <xf numFmtId="0" fontId="73" fillId="0" borderId="0" xfId="736" applyFont="1" applyFill="1" applyBorder="1" applyAlignment="1">
      <alignment horizontal="center" wrapText="1"/>
    </xf>
    <xf numFmtId="0" fontId="78" fillId="0" borderId="0" xfId="0" applyFont="1" applyFill="1" applyAlignment="1">
      <alignment horizontal="center" wrapText="1"/>
    </xf>
    <xf numFmtId="0" fontId="73" fillId="0" borderId="0" xfId="736" applyFont="1" applyFill="1" applyAlignment="1">
      <alignment horizontal="center"/>
    </xf>
    <xf numFmtId="0" fontId="2" fillId="0" borderId="25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 wrapText="1"/>
    </xf>
  </cellXfs>
  <cellStyles count="740">
    <cellStyle name="20% - Accent1 2" xfId="9" xr:uid="{00000000-0005-0000-0000-000000000000}"/>
    <cellStyle name="20% - Accent1 2 2" xfId="10" xr:uid="{00000000-0005-0000-0000-000001000000}"/>
    <cellStyle name="20% - Accent1 3" xfId="11" xr:uid="{00000000-0005-0000-0000-000002000000}"/>
    <cellStyle name="20% - Accent1 4" xfId="12" xr:uid="{00000000-0005-0000-0000-000003000000}"/>
    <cellStyle name="20% - Accent1 5" xfId="13" xr:uid="{00000000-0005-0000-0000-000004000000}"/>
    <cellStyle name="20% - Accent1 6" xfId="14" xr:uid="{00000000-0005-0000-0000-000005000000}"/>
    <cellStyle name="20% - Accent1 7" xfId="15" xr:uid="{00000000-0005-0000-0000-000006000000}"/>
    <cellStyle name="20% - Accent1 8" xfId="16" xr:uid="{00000000-0005-0000-0000-000007000000}"/>
    <cellStyle name="20% - Accent2 2" xfId="17" xr:uid="{00000000-0005-0000-0000-000008000000}"/>
    <cellStyle name="20% - Accent2 2 2" xfId="18" xr:uid="{00000000-0005-0000-0000-000009000000}"/>
    <cellStyle name="20% - Accent2 3" xfId="19" xr:uid="{00000000-0005-0000-0000-00000A000000}"/>
    <cellStyle name="20% - Accent2 4" xfId="20" xr:uid="{00000000-0005-0000-0000-00000B000000}"/>
    <cellStyle name="20% - Accent2 5" xfId="21" xr:uid="{00000000-0005-0000-0000-00000C000000}"/>
    <cellStyle name="20% - Accent2 6" xfId="22" xr:uid="{00000000-0005-0000-0000-00000D000000}"/>
    <cellStyle name="20% - Accent3 2" xfId="23" xr:uid="{00000000-0005-0000-0000-00000E000000}"/>
    <cellStyle name="20% - Accent3 2 2" xfId="24" xr:uid="{00000000-0005-0000-0000-00000F000000}"/>
    <cellStyle name="20% - Accent3 3" xfId="25" xr:uid="{00000000-0005-0000-0000-000010000000}"/>
    <cellStyle name="20% - Accent3 4" xfId="26" xr:uid="{00000000-0005-0000-0000-000011000000}"/>
    <cellStyle name="20% - Accent3 5" xfId="27" xr:uid="{00000000-0005-0000-0000-000012000000}"/>
    <cellStyle name="20% - Accent3 6" xfId="28" xr:uid="{00000000-0005-0000-0000-000013000000}"/>
    <cellStyle name="20% - Accent3 7" xfId="29" xr:uid="{00000000-0005-0000-0000-000014000000}"/>
    <cellStyle name="20% - Accent3 8" xfId="30" xr:uid="{00000000-0005-0000-0000-000015000000}"/>
    <cellStyle name="20% - Accent4 2" xfId="31" xr:uid="{00000000-0005-0000-0000-000016000000}"/>
    <cellStyle name="20% - Accent4 2 2" xfId="32" xr:uid="{00000000-0005-0000-0000-000017000000}"/>
    <cellStyle name="20% - Accent4 3" xfId="33" xr:uid="{00000000-0005-0000-0000-000018000000}"/>
    <cellStyle name="20% - Accent4 4" xfId="34" xr:uid="{00000000-0005-0000-0000-000019000000}"/>
    <cellStyle name="20% - Accent4 5" xfId="35" xr:uid="{00000000-0005-0000-0000-00001A000000}"/>
    <cellStyle name="20% - Accent4 6" xfId="36" xr:uid="{00000000-0005-0000-0000-00001B000000}"/>
    <cellStyle name="20% - Accent4 7" xfId="37" xr:uid="{00000000-0005-0000-0000-00001C000000}"/>
    <cellStyle name="20% - Accent4 8" xfId="38" xr:uid="{00000000-0005-0000-0000-00001D000000}"/>
    <cellStyle name="20% - Accent5 2" xfId="39" xr:uid="{00000000-0005-0000-0000-00001E000000}"/>
    <cellStyle name="20% - Accent5 2 2" xfId="40" xr:uid="{00000000-0005-0000-0000-00001F000000}"/>
    <cellStyle name="20% - Accent5 3" xfId="41" xr:uid="{00000000-0005-0000-0000-000020000000}"/>
    <cellStyle name="20% - Accent5 4" xfId="42" xr:uid="{00000000-0005-0000-0000-000021000000}"/>
    <cellStyle name="20% - Accent5 5" xfId="43" xr:uid="{00000000-0005-0000-0000-000022000000}"/>
    <cellStyle name="20% - Accent5 6" xfId="44" xr:uid="{00000000-0005-0000-0000-000023000000}"/>
    <cellStyle name="20% - Accent6 2" xfId="45" xr:uid="{00000000-0005-0000-0000-000024000000}"/>
    <cellStyle name="20% - Accent6 2 2" xfId="46" xr:uid="{00000000-0005-0000-0000-000025000000}"/>
    <cellStyle name="20% - Accent6 3" xfId="47" xr:uid="{00000000-0005-0000-0000-000026000000}"/>
    <cellStyle name="20% - Accent6 4" xfId="48" xr:uid="{00000000-0005-0000-0000-000027000000}"/>
    <cellStyle name="20% - Accent6 5" xfId="49" xr:uid="{00000000-0005-0000-0000-000028000000}"/>
    <cellStyle name="20% - Accent6 6" xfId="50" xr:uid="{00000000-0005-0000-0000-000029000000}"/>
    <cellStyle name="40% - Accent1 2" xfId="51" xr:uid="{00000000-0005-0000-0000-00002A000000}"/>
    <cellStyle name="40% - Accent1 2 2" xfId="52" xr:uid="{00000000-0005-0000-0000-00002B000000}"/>
    <cellStyle name="40% - Accent1 3" xfId="53" xr:uid="{00000000-0005-0000-0000-00002C000000}"/>
    <cellStyle name="40% - Accent1 4" xfId="54" xr:uid="{00000000-0005-0000-0000-00002D000000}"/>
    <cellStyle name="40% - Accent1 5" xfId="55" xr:uid="{00000000-0005-0000-0000-00002E000000}"/>
    <cellStyle name="40% - Accent1 6" xfId="56" xr:uid="{00000000-0005-0000-0000-00002F000000}"/>
    <cellStyle name="40% - Accent1 7" xfId="57" xr:uid="{00000000-0005-0000-0000-000030000000}"/>
    <cellStyle name="40% - Accent1 8" xfId="58" xr:uid="{00000000-0005-0000-0000-000031000000}"/>
    <cellStyle name="40% - Accent2 2" xfId="59" xr:uid="{00000000-0005-0000-0000-000032000000}"/>
    <cellStyle name="40% - Accent2 2 2" xfId="60" xr:uid="{00000000-0005-0000-0000-000033000000}"/>
    <cellStyle name="40% - Accent2 3" xfId="61" xr:uid="{00000000-0005-0000-0000-000034000000}"/>
    <cellStyle name="40% - Accent2 4" xfId="62" xr:uid="{00000000-0005-0000-0000-000035000000}"/>
    <cellStyle name="40% - Accent2 5" xfId="63" xr:uid="{00000000-0005-0000-0000-000036000000}"/>
    <cellStyle name="40% - Accent2 6" xfId="64" xr:uid="{00000000-0005-0000-0000-000037000000}"/>
    <cellStyle name="40% - Accent3 2" xfId="65" xr:uid="{00000000-0005-0000-0000-000038000000}"/>
    <cellStyle name="40% - Accent3 2 2" xfId="66" xr:uid="{00000000-0005-0000-0000-000039000000}"/>
    <cellStyle name="40% - Accent3 3" xfId="67" xr:uid="{00000000-0005-0000-0000-00003A000000}"/>
    <cellStyle name="40% - Accent3 4" xfId="68" xr:uid="{00000000-0005-0000-0000-00003B000000}"/>
    <cellStyle name="40% - Accent3 5" xfId="69" xr:uid="{00000000-0005-0000-0000-00003C000000}"/>
    <cellStyle name="40% - Accent3 6" xfId="70" xr:uid="{00000000-0005-0000-0000-00003D000000}"/>
    <cellStyle name="40% - Accent3 7" xfId="71" xr:uid="{00000000-0005-0000-0000-00003E000000}"/>
    <cellStyle name="40% - Accent3 8" xfId="72" xr:uid="{00000000-0005-0000-0000-00003F000000}"/>
    <cellStyle name="40% - Accent4 2" xfId="73" xr:uid="{00000000-0005-0000-0000-000040000000}"/>
    <cellStyle name="40% - Accent4 2 2" xfId="74" xr:uid="{00000000-0005-0000-0000-000041000000}"/>
    <cellStyle name="40% - Accent4 3" xfId="75" xr:uid="{00000000-0005-0000-0000-000042000000}"/>
    <cellStyle name="40% - Accent4 4" xfId="76" xr:uid="{00000000-0005-0000-0000-000043000000}"/>
    <cellStyle name="40% - Accent4 5" xfId="77" xr:uid="{00000000-0005-0000-0000-000044000000}"/>
    <cellStyle name="40% - Accent4 6" xfId="78" xr:uid="{00000000-0005-0000-0000-000045000000}"/>
    <cellStyle name="40% - Accent4 7" xfId="79" xr:uid="{00000000-0005-0000-0000-000046000000}"/>
    <cellStyle name="40% - Accent4 8" xfId="80" xr:uid="{00000000-0005-0000-0000-000047000000}"/>
    <cellStyle name="40% - Accent5 2" xfId="81" xr:uid="{00000000-0005-0000-0000-000048000000}"/>
    <cellStyle name="40% - Accent5 2 2" xfId="82" xr:uid="{00000000-0005-0000-0000-000049000000}"/>
    <cellStyle name="40% - Accent5 3" xfId="83" xr:uid="{00000000-0005-0000-0000-00004A000000}"/>
    <cellStyle name="40% - Accent5 4" xfId="84" xr:uid="{00000000-0005-0000-0000-00004B000000}"/>
    <cellStyle name="40% - Accent5 5" xfId="85" xr:uid="{00000000-0005-0000-0000-00004C000000}"/>
    <cellStyle name="40% - Accent5 6" xfId="86" xr:uid="{00000000-0005-0000-0000-00004D000000}"/>
    <cellStyle name="40% - Accent6 2" xfId="87" xr:uid="{00000000-0005-0000-0000-00004E000000}"/>
    <cellStyle name="40% - Accent6 2 2" xfId="88" xr:uid="{00000000-0005-0000-0000-00004F000000}"/>
    <cellStyle name="40% - Accent6 3" xfId="89" xr:uid="{00000000-0005-0000-0000-000050000000}"/>
    <cellStyle name="40% - Accent6 4" xfId="90" xr:uid="{00000000-0005-0000-0000-000051000000}"/>
    <cellStyle name="40% - Accent6 5" xfId="91" xr:uid="{00000000-0005-0000-0000-000052000000}"/>
    <cellStyle name="40% - Accent6 6" xfId="92" xr:uid="{00000000-0005-0000-0000-000053000000}"/>
    <cellStyle name="40% - Accent6 7" xfId="93" xr:uid="{00000000-0005-0000-0000-000054000000}"/>
    <cellStyle name="40% - Accent6 8" xfId="94" xr:uid="{00000000-0005-0000-0000-000055000000}"/>
    <cellStyle name="60% - Accent1 2" xfId="95" xr:uid="{00000000-0005-0000-0000-000056000000}"/>
    <cellStyle name="60% - Accent1 3" xfId="96" xr:uid="{00000000-0005-0000-0000-000057000000}"/>
    <cellStyle name="60% - Accent1 4" xfId="97" xr:uid="{00000000-0005-0000-0000-000058000000}"/>
    <cellStyle name="60% - Accent1 5" xfId="98" xr:uid="{00000000-0005-0000-0000-000059000000}"/>
    <cellStyle name="60% - Accent1 6" xfId="99" xr:uid="{00000000-0005-0000-0000-00005A000000}"/>
    <cellStyle name="60% - Accent1 7" xfId="100" xr:uid="{00000000-0005-0000-0000-00005B000000}"/>
    <cellStyle name="60% - Accent1 8" xfId="101" xr:uid="{00000000-0005-0000-0000-00005C000000}"/>
    <cellStyle name="60% - Accent2 2" xfId="102" xr:uid="{00000000-0005-0000-0000-00005D000000}"/>
    <cellStyle name="60% - Accent2 3" xfId="103" xr:uid="{00000000-0005-0000-0000-00005E000000}"/>
    <cellStyle name="60% - Accent2 4" xfId="104" xr:uid="{00000000-0005-0000-0000-00005F000000}"/>
    <cellStyle name="60% - Accent2 5" xfId="105" xr:uid="{00000000-0005-0000-0000-000060000000}"/>
    <cellStyle name="60% - Accent2 6" xfId="106" xr:uid="{00000000-0005-0000-0000-000061000000}"/>
    <cellStyle name="60% - Accent3 2" xfId="107" xr:uid="{00000000-0005-0000-0000-000062000000}"/>
    <cellStyle name="60% - Accent3 3" xfId="108" xr:uid="{00000000-0005-0000-0000-000063000000}"/>
    <cellStyle name="60% - Accent3 4" xfId="109" xr:uid="{00000000-0005-0000-0000-000064000000}"/>
    <cellStyle name="60% - Accent3 5" xfId="110" xr:uid="{00000000-0005-0000-0000-000065000000}"/>
    <cellStyle name="60% - Accent3 6" xfId="111" xr:uid="{00000000-0005-0000-0000-000066000000}"/>
    <cellStyle name="60% - Accent3 7" xfId="112" xr:uid="{00000000-0005-0000-0000-000067000000}"/>
    <cellStyle name="60% - Accent3 8" xfId="113" xr:uid="{00000000-0005-0000-0000-000068000000}"/>
    <cellStyle name="60% - Accent4 2" xfId="114" xr:uid="{00000000-0005-0000-0000-000069000000}"/>
    <cellStyle name="60% - Accent4 3" xfId="115" xr:uid="{00000000-0005-0000-0000-00006A000000}"/>
    <cellStyle name="60% - Accent4 4" xfId="116" xr:uid="{00000000-0005-0000-0000-00006B000000}"/>
    <cellStyle name="60% - Accent4 5" xfId="117" xr:uid="{00000000-0005-0000-0000-00006C000000}"/>
    <cellStyle name="60% - Accent4 6" xfId="118" xr:uid="{00000000-0005-0000-0000-00006D000000}"/>
    <cellStyle name="60% - Accent4 7" xfId="119" xr:uid="{00000000-0005-0000-0000-00006E000000}"/>
    <cellStyle name="60% - Accent4 8" xfId="120" xr:uid="{00000000-0005-0000-0000-00006F000000}"/>
    <cellStyle name="60% - Accent5 2" xfId="121" xr:uid="{00000000-0005-0000-0000-000070000000}"/>
    <cellStyle name="60% - Accent5 3" xfId="122" xr:uid="{00000000-0005-0000-0000-000071000000}"/>
    <cellStyle name="60% - Accent5 4" xfId="123" xr:uid="{00000000-0005-0000-0000-000072000000}"/>
    <cellStyle name="60% - Accent5 5" xfId="124" xr:uid="{00000000-0005-0000-0000-000073000000}"/>
    <cellStyle name="60% - Accent5 6" xfId="125" xr:uid="{00000000-0005-0000-0000-000074000000}"/>
    <cellStyle name="60% - Accent6 2" xfId="126" xr:uid="{00000000-0005-0000-0000-000075000000}"/>
    <cellStyle name="60% - Accent6 3" xfId="127" xr:uid="{00000000-0005-0000-0000-000076000000}"/>
    <cellStyle name="60% - Accent6 4" xfId="128" xr:uid="{00000000-0005-0000-0000-000077000000}"/>
    <cellStyle name="60% - Accent6 5" xfId="129" xr:uid="{00000000-0005-0000-0000-000078000000}"/>
    <cellStyle name="60% - Accent6 6" xfId="130" xr:uid="{00000000-0005-0000-0000-000079000000}"/>
    <cellStyle name="60% - Accent6 7" xfId="131" xr:uid="{00000000-0005-0000-0000-00007A000000}"/>
    <cellStyle name="60% - Accent6 8" xfId="132" xr:uid="{00000000-0005-0000-0000-00007B000000}"/>
    <cellStyle name="Accent1 2" xfId="133" xr:uid="{00000000-0005-0000-0000-00007C000000}"/>
    <cellStyle name="Accent1 3" xfId="134" xr:uid="{00000000-0005-0000-0000-00007D000000}"/>
    <cellStyle name="Accent1 4" xfId="135" xr:uid="{00000000-0005-0000-0000-00007E000000}"/>
    <cellStyle name="Accent1 5" xfId="136" xr:uid="{00000000-0005-0000-0000-00007F000000}"/>
    <cellStyle name="Accent1 6" xfId="137" xr:uid="{00000000-0005-0000-0000-000080000000}"/>
    <cellStyle name="Accent1 7" xfId="138" xr:uid="{00000000-0005-0000-0000-000081000000}"/>
    <cellStyle name="Accent1 8" xfId="139" xr:uid="{00000000-0005-0000-0000-000082000000}"/>
    <cellStyle name="Accent2 2" xfId="140" xr:uid="{00000000-0005-0000-0000-000083000000}"/>
    <cellStyle name="Accent2 3" xfId="141" xr:uid="{00000000-0005-0000-0000-000084000000}"/>
    <cellStyle name="Accent2 4" xfId="142" xr:uid="{00000000-0005-0000-0000-000085000000}"/>
    <cellStyle name="Accent2 5" xfId="143" xr:uid="{00000000-0005-0000-0000-000086000000}"/>
    <cellStyle name="Accent2 6" xfId="144" xr:uid="{00000000-0005-0000-0000-000087000000}"/>
    <cellStyle name="Accent3 2" xfId="145" xr:uid="{00000000-0005-0000-0000-000088000000}"/>
    <cellStyle name="Accent3 3" xfId="146" xr:uid="{00000000-0005-0000-0000-000089000000}"/>
    <cellStyle name="Accent3 4" xfId="147" xr:uid="{00000000-0005-0000-0000-00008A000000}"/>
    <cellStyle name="Accent3 5" xfId="148" xr:uid="{00000000-0005-0000-0000-00008B000000}"/>
    <cellStyle name="Accent3 6" xfId="149" xr:uid="{00000000-0005-0000-0000-00008C000000}"/>
    <cellStyle name="Accent4 2" xfId="150" xr:uid="{00000000-0005-0000-0000-00008D000000}"/>
    <cellStyle name="Accent4 3" xfId="151" xr:uid="{00000000-0005-0000-0000-00008E000000}"/>
    <cellStyle name="Accent4 4" xfId="152" xr:uid="{00000000-0005-0000-0000-00008F000000}"/>
    <cellStyle name="Accent4 5" xfId="153" xr:uid="{00000000-0005-0000-0000-000090000000}"/>
    <cellStyle name="Accent4 6" xfId="154" xr:uid="{00000000-0005-0000-0000-000091000000}"/>
    <cellStyle name="Accent4 7" xfId="155" xr:uid="{00000000-0005-0000-0000-000092000000}"/>
    <cellStyle name="Accent4 8" xfId="156" xr:uid="{00000000-0005-0000-0000-000093000000}"/>
    <cellStyle name="Accent5 2" xfId="157" xr:uid="{00000000-0005-0000-0000-000094000000}"/>
    <cellStyle name="Accent5 3" xfId="158" xr:uid="{00000000-0005-0000-0000-000095000000}"/>
    <cellStyle name="Accent5 4" xfId="159" xr:uid="{00000000-0005-0000-0000-000096000000}"/>
    <cellStyle name="Accent5 5" xfId="160" xr:uid="{00000000-0005-0000-0000-000097000000}"/>
    <cellStyle name="Accent5 6" xfId="161" xr:uid="{00000000-0005-0000-0000-000098000000}"/>
    <cellStyle name="Accent6 2" xfId="162" xr:uid="{00000000-0005-0000-0000-000099000000}"/>
    <cellStyle name="Accent6 3" xfId="163" xr:uid="{00000000-0005-0000-0000-00009A000000}"/>
    <cellStyle name="Accent6 4" xfId="164" xr:uid="{00000000-0005-0000-0000-00009B000000}"/>
    <cellStyle name="Accent6 5" xfId="165" xr:uid="{00000000-0005-0000-0000-00009C000000}"/>
    <cellStyle name="Accent6 6" xfId="166" xr:uid="{00000000-0005-0000-0000-00009D000000}"/>
    <cellStyle name="Bad 2" xfId="167" xr:uid="{00000000-0005-0000-0000-00009E000000}"/>
    <cellStyle name="Bad 3" xfId="168" xr:uid="{00000000-0005-0000-0000-00009F000000}"/>
    <cellStyle name="Bad 4" xfId="169" xr:uid="{00000000-0005-0000-0000-0000A0000000}"/>
    <cellStyle name="Bad 5" xfId="170" xr:uid="{00000000-0005-0000-0000-0000A1000000}"/>
    <cellStyle name="Bad 6" xfId="171" xr:uid="{00000000-0005-0000-0000-0000A2000000}"/>
    <cellStyle name="Bad 7" xfId="172" xr:uid="{00000000-0005-0000-0000-0000A3000000}"/>
    <cellStyle name="Bad 8" xfId="173" xr:uid="{00000000-0005-0000-0000-0000A4000000}"/>
    <cellStyle name="Calculation 2" xfId="174" xr:uid="{00000000-0005-0000-0000-0000A5000000}"/>
    <cellStyle name="Calculation 3" xfId="175" xr:uid="{00000000-0005-0000-0000-0000A6000000}"/>
    <cellStyle name="Calculation 4" xfId="176" xr:uid="{00000000-0005-0000-0000-0000A7000000}"/>
    <cellStyle name="Calculation 5" xfId="177" xr:uid="{00000000-0005-0000-0000-0000A8000000}"/>
    <cellStyle name="Calculation 6" xfId="178" xr:uid="{00000000-0005-0000-0000-0000A9000000}"/>
    <cellStyle name="Check Cell 2" xfId="179" xr:uid="{00000000-0005-0000-0000-0000AA000000}"/>
    <cellStyle name="Check Cell 3" xfId="180" xr:uid="{00000000-0005-0000-0000-0000AB000000}"/>
    <cellStyle name="Check Cell 4" xfId="181" xr:uid="{00000000-0005-0000-0000-0000AC000000}"/>
    <cellStyle name="Check Cell 5" xfId="182" xr:uid="{00000000-0005-0000-0000-0000AD000000}"/>
    <cellStyle name="Check Cell 6" xfId="183" xr:uid="{00000000-0005-0000-0000-0000AE000000}"/>
    <cellStyle name="Check Cell 7" xfId="184" xr:uid="{00000000-0005-0000-0000-0000AF000000}"/>
    <cellStyle name="Check Cell 8" xfId="185" xr:uid="{00000000-0005-0000-0000-0000B0000000}"/>
    <cellStyle name="Comma" xfId="1" builtinId="3"/>
    <cellStyle name="Comma 10" xfId="186" xr:uid="{00000000-0005-0000-0000-0000B2000000}"/>
    <cellStyle name="Comma 11" xfId="187" xr:uid="{00000000-0005-0000-0000-0000B3000000}"/>
    <cellStyle name="Comma 12" xfId="188" xr:uid="{00000000-0005-0000-0000-0000B4000000}"/>
    <cellStyle name="Comma 13" xfId="189" xr:uid="{00000000-0005-0000-0000-0000B5000000}"/>
    <cellStyle name="Comma 14" xfId="190" xr:uid="{00000000-0005-0000-0000-0000B6000000}"/>
    <cellStyle name="Comma 15" xfId="191" xr:uid="{00000000-0005-0000-0000-0000B7000000}"/>
    <cellStyle name="Comma 16" xfId="6" xr:uid="{00000000-0005-0000-0000-0000B8000000}"/>
    <cellStyle name="Comma 17" xfId="192" xr:uid="{00000000-0005-0000-0000-0000B9000000}"/>
    <cellStyle name="Comma 17 2" xfId="474" xr:uid="{00000000-0005-0000-0000-0000BA000000}"/>
    <cellStyle name="Comma 17 2 2" xfId="523" xr:uid="{00000000-0005-0000-0000-0000BB000000}"/>
    <cellStyle name="Comma 17 2 2 2" xfId="647" xr:uid="{00000000-0005-0000-0000-0000BC000000}"/>
    <cellStyle name="Comma 17 2 3" xfId="606" xr:uid="{00000000-0005-0000-0000-0000BD000000}"/>
    <cellStyle name="Comma 17 3" xfId="502" xr:uid="{00000000-0005-0000-0000-0000BE000000}"/>
    <cellStyle name="Comma 17 3 2" xfId="524" xr:uid="{00000000-0005-0000-0000-0000BF000000}"/>
    <cellStyle name="Comma 17 3 2 2" xfId="648" xr:uid="{00000000-0005-0000-0000-0000C0000000}"/>
    <cellStyle name="Comma 17 3 3" xfId="626" xr:uid="{00000000-0005-0000-0000-0000C1000000}"/>
    <cellStyle name="Comma 17 4" xfId="522" xr:uid="{00000000-0005-0000-0000-0000C2000000}"/>
    <cellStyle name="Comma 17 4 2" xfId="646" xr:uid="{00000000-0005-0000-0000-0000C3000000}"/>
    <cellStyle name="Comma 17 5" xfId="584" xr:uid="{00000000-0005-0000-0000-0000C4000000}"/>
    <cellStyle name="Comma 18" xfId="193" xr:uid="{00000000-0005-0000-0000-0000C5000000}"/>
    <cellStyle name="Comma 19" xfId="7" xr:uid="{00000000-0005-0000-0000-0000C6000000}"/>
    <cellStyle name="Comma 2" xfId="194" xr:uid="{00000000-0005-0000-0000-0000C7000000}"/>
    <cellStyle name="Comma 2 2" xfId="195" xr:uid="{00000000-0005-0000-0000-0000C8000000}"/>
    <cellStyle name="Comma 2 2 2" xfId="453" xr:uid="{00000000-0005-0000-0000-0000C9000000}"/>
    <cellStyle name="Comma 2 2 3" xfId="475" xr:uid="{00000000-0005-0000-0000-0000CA000000}"/>
    <cellStyle name="Comma 2 2 4" xfId="709" xr:uid="{00000000-0005-0000-0000-0000CB000000}"/>
    <cellStyle name="Comma 2 2 5" xfId="710" xr:uid="{00000000-0005-0000-0000-0000CC000000}"/>
    <cellStyle name="Comma 2 3" xfId="196" xr:uid="{00000000-0005-0000-0000-0000CD000000}"/>
    <cellStyle name="Comma 2 4" xfId="197" xr:uid="{00000000-0005-0000-0000-0000CE000000}"/>
    <cellStyle name="Comma 2 5" xfId="711" xr:uid="{00000000-0005-0000-0000-0000CF000000}"/>
    <cellStyle name="Comma 2 6" xfId="712" xr:uid="{00000000-0005-0000-0000-0000D0000000}"/>
    <cellStyle name="Comma 2 7" xfId="713" xr:uid="{00000000-0005-0000-0000-0000D1000000}"/>
    <cellStyle name="Comma 2_Allocators" xfId="198" xr:uid="{00000000-0005-0000-0000-0000D2000000}"/>
    <cellStyle name="Comma 20" xfId="199" xr:uid="{00000000-0005-0000-0000-0000D3000000}"/>
    <cellStyle name="Comma 20 2" xfId="476" xr:uid="{00000000-0005-0000-0000-0000D4000000}"/>
    <cellStyle name="Comma 20 2 2" xfId="526" xr:uid="{00000000-0005-0000-0000-0000D5000000}"/>
    <cellStyle name="Comma 20 2 2 2" xfId="650" xr:uid="{00000000-0005-0000-0000-0000D6000000}"/>
    <cellStyle name="Comma 20 2 3" xfId="607" xr:uid="{00000000-0005-0000-0000-0000D7000000}"/>
    <cellStyle name="Comma 20 3" xfId="503" xr:uid="{00000000-0005-0000-0000-0000D8000000}"/>
    <cellStyle name="Comma 20 3 2" xfId="527" xr:uid="{00000000-0005-0000-0000-0000D9000000}"/>
    <cellStyle name="Comma 20 3 2 2" xfId="651" xr:uid="{00000000-0005-0000-0000-0000DA000000}"/>
    <cellStyle name="Comma 20 3 3" xfId="627" xr:uid="{00000000-0005-0000-0000-0000DB000000}"/>
    <cellStyle name="Comma 20 4" xfId="525" xr:uid="{00000000-0005-0000-0000-0000DC000000}"/>
    <cellStyle name="Comma 20 4 2" xfId="649" xr:uid="{00000000-0005-0000-0000-0000DD000000}"/>
    <cellStyle name="Comma 20 5" xfId="585" xr:uid="{00000000-0005-0000-0000-0000DE000000}"/>
    <cellStyle name="Comma 21" xfId="3" xr:uid="{00000000-0005-0000-0000-0000DF000000}"/>
    <cellStyle name="Comma 22" xfId="738" xr:uid="{00000000-0005-0000-0000-0000E0000000}"/>
    <cellStyle name="Comma 3" xfId="200" xr:uid="{00000000-0005-0000-0000-0000E1000000}"/>
    <cellStyle name="Comma 3 10" xfId="470" xr:uid="{00000000-0005-0000-0000-0000E2000000}"/>
    <cellStyle name="Comma 3 10 2" xfId="500" xr:uid="{00000000-0005-0000-0000-0000E3000000}"/>
    <cellStyle name="Comma 3 10 2 2" xfId="529" xr:uid="{00000000-0005-0000-0000-0000E4000000}"/>
    <cellStyle name="Comma 3 10 2 2 2" xfId="653" xr:uid="{00000000-0005-0000-0000-0000E5000000}"/>
    <cellStyle name="Comma 3 10 2 3" xfId="624" xr:uid="{00000000-0005-0000-0000-0000E6000000}"/>
    <cellStyle name="Comma 3 10 3" xfId="520" xr:uid="{00000000-0005-0000-0000-0000E7000000}"/>
    <cellStyle name="Comma 3 10 3 2" xfId="530" xr:uid="{00000000-0005-0000-0000-0000E8000000}"/>
    <cellStyle name="Comma 3 10 3 2 2" xfId="654" xr:uid="{00000000-0005-0000-0000-0000E9000000}"/>
    <cellStyle name="Comma 3 10 3 3" xfId="644" xr:uid="{00000000-0005-0000-0000-0000EA000000}"/>
    <cellStyle name="Comma 3 10 4" xfId="528" xr:uid="{00000000-0005-0000-0000-0000EB000000}"/>
    <cellStyle name="Comma 3 10 4 2" xfId="652" xr:uid="{00000000-0005-0000-0000-0000EC000000}"/>
    <cellStyle name="Comma 3 10 5" xfId="602" xr:uid="{00000000-0005-0000-0000-0000ED000000}"/>
    <cellStyle name="Comma 3 11" xfId="477" xr:uid="{00000000-0005-0000-0000-0000EE000000}"/>
    <cellStyle name="Comma 3 12" xfId="472" xr:uid="{00000000-0005-0000-0000-0000EF000000}"/>
    <cellStyle name="Comma 3 12 2" xfId="531" xr:uid="{00000000-0005-0000-0000-0000F0000000}"/>
    <cellStyle name="Comma 3 12 2 2" xfId="655" xr:uid="{00000000-0005-0000-0000-0000F1000000}"/>
    <cellStyle name="Comma 3 12 3" xfId="604" xr:uid="{00000000-0005-0000-0000-0000F2000000}"/>
    <cellStyle name="Comma 3 13" xfId="714" xr:uid="{00000000-0005-0000-0000-0000F3000000}"/>
    <cellStyle name="Comma 3 13 2" xfId="715" xr:uid="{00000000-0005-0000-0000-0000F4000000}"/>
    <cellStyle name="Comma 3 2" xfId="201" xr:uid="{00000000-0005-0000-0000-0000F5000000}"/>
    <cellStyle name="Comma 3 3" xfId="202" xr:uid="{00000000-0005-0000-0000-0000F6000000}"/>
    <cellStyle name="Comma 3 4" xfId="454" xr:uid="{00000000-0005-0000-0000-0000F7000000}"/>
    <cellStyle name="Comma 3 4 2" xfId="488" xr:uid="{00000000-0005-0000-0000-0000F8000000}"/>
    <cellStyle name="Comma 3 4 2 2" xfId="533" xr:uid="{00000000-0005-0000-0000-0000F9000000}"/>
    <cellStyle name="Comma 3 4 2 2 2" xfId="657" xr:uid="{00000000-0005-0000-0000-0000FA000000}"/>
    <cellStyle name="Comma 3 4 2 3" xfId="612" xr:uid="{00000000-0005-0000-0000-0000FB000000}"/>
    <cellStyle name="Comma 3 4 3" xfId="508" xr:uid="{00000000-0005-0000-0000-0000FC000000}"/>
    <cellStyle name="Comma 3 4 3 2" xfId="534" xr:uid="{00000000-0005-0000-0000-0000FD000000}"/>
    <cellStyle name="Comma 3 4 3 2 2" xfId="658" xr:uid="{00000000-0005-0000-0000-0000FE000000}"/>
    <cellStyle name="Comma 3 4 3 3" xfId="632" xr:uid="{00000000-0005-0000-0000-0000FF000000}"/>
    <cellStyle name="Comma 3 4 4" xfId="532" xr:uid="{00000000-0005-0000-0000-000000010000}"/>
    <cellStyle name="Comma 3 4 4 2" xfId="656" xr:uid="{00000000-0005-0000-0000-000001010000}"/>
    <cellStyle name="Comma 3 4 5" xfId="590" xr:uid="{00000000-0005-0000-0000-000002010000}"/>
    <cellStyle name="Comma 3 5" xfId="460" xr:uid="{00000000-0005-0000-0000-000003010000}"/>
    <cellStyle name="Comma 3 5 2" xfId="490" xr:uid="{00000000-0005-0000-0000-000004010000}"/>
    <cellStyle name="Comma 3 5 2 2" xfId="536" xr:uid="{00000000-0005-0000-0000-000005010000}"/>
    <cellStyle name="Comma 3 5 2 2 2" xfId="660" xr:uid="{00000000-0005-0000-0000-000006010000}"/>
    <cellStyle name="Comma 3 5 2 3" xfId="614" xr:uid="{00000000-0005-0000-0000-000007010000}"/>
    <cellStyle name="Comma 3 5 3" xfId="510" xr:uid="{00000000-0005-0000-0000-000008010000}"/>
    <cellStyle name="Comma 3 5 3 2" xfId="537" xr:uid="{00000000-0005-0000-0000-000009010000}"/>
    <cellStyle name="Comma 3 5 3 2 2" xfId="661" xr:uid="{00000000-0005-0000-0000-00000A010000}"/>
    <cellStyle name="Comma 3 5 3 3" xfId="634" xr:uid="{00000000-0005-0000-0000-00000B010000}"/>
    <cellStyle name="Comma 3 5 4" xfId="535" xr:uid="{00000000-0005-0000-0000-00000C010000}"/>
    <cellStyle name="Comma 3 5 4 2" xfId="659" xr:uid="{00000000-0005-0000-0000-00000D010000}"/>
    <cellStyle name="Comma 3 5 5" xfId="592" xr:uid="{00000000-0005-0000-0000-00000E010000}"/>
    <cellStyle name="Comma 3 6" xfId="462" xr:uid="{00000000-0005-0000-0000-00000F010000}"/>
    <cellStyle name="Comma 3 6 2" xfId="492" xr:uid="{00000000-0005-0000-0000-000010010000}"/>
    <cellStyle name="Comma 3 6 2 2" xfId="539" xr:uid="{00000000-0005-0000-0000-000011010000}"/>
    <cellStyle name="Comma 3 6 2 2 2" xfId="663" xr:uid="{00000000-0005-0000-0000-000012010000}"/>
    <cellStyle name="Comma 3 6 2 3" xfId="616" xr:uid="{00000000-0005-0000-0000-000013010000}"/>
    <cellStyle name="Comma 3 6 3" xfId="512" xr:uid="{00000000-0005-0000-0000-000014010000}"/>
    <cellStyle name="Comma 3 6 3 2" xfId="540" xr:uid="{00000000-0005-0000-0000-000015010000}"/>
    <cellStyle name="Comma 3 6 3 2 2" xfId="664" xr:uid="{00000000-0005-0000-0000-000016010000}"/>
    <cellStyle name="Comma 3 6 3 3" xfId="636" xr:uid="{00000000-0005-0000-0000-000017010000}"/>
    <cellStyle name="Comma 3 6 4" xfId="538" xr:uid="{00000000-0005-0000-0000-000018010000}"/>
    <cellStyle name="Comma 3 6 4 2" xfId="662" xr:uid="{00000000-0005-0000-0000-000019010000}"/>
    <cellStyle name="Comma 3 6 5" xfId="594" xr:uid="{00000000-0005-0000-0000-00001A010000}"/>
    <cellStyle name="Comma 3 7" xfId="464" xr:uid="{00000000-0005-0000-0000-00001B010000}"/>
    <cellStyle name="Comma 3 7 2" xfId="494" xr:uid="{00000000-0005-0000-0000-00001C010000}"/>
    <cellStyle name="Comma 3 7 2 2" xfId="542" xr:uid="{00000000-0005-0000-0000-00001D010000}"/>
    <cellStyle name="Comma 3 7 2 2 2" xfId="666" xr:uid="{00000000-0005-0000-0000-00001E010000}"/>
    <cellStyle name="Comma 3 7 2 3" xfId="618" xr:uid="{00000000-0005-0000-0000-00001F010000}"/>
    <cellStyle name="Comma 3 7 3" xfId="514" xr:uid="{00000000-0005-0000-0000-000020010000}"/>
    <cellStyle name="Comma 3 7 3 2" xfId="543" xr:uid="{00000000-0005-0000-0000-000021010000}"/>
    <cellStyle name="Comma 3 7 3 2 2" xfId="667" xr:uid="{00000000-0005-0000-0000-000022010000}"/>
    <cellStyle name="Comma 3 7 3 3" xfId="638" xr:uid="{00000000-0005-0000-0000-000023010000}"/>
    <cellStyle name="Comma 3 7 4" xfId="541" xr:uid="{00000000-0005-0000-0000-000024010000}"/>
    <cellStyle name="Comma 3 7 4 2" xfId="665" xr:uid="{00000000-0005-0000-0000-000025010000}"/>
    <cellStyle name="Comma 3 7 5" xfId="596" xr:uid="{00000000-0005-0000-0000-000026010000}"/>
    <cellStyle name="Comma 3 8" xfId="466" xr:uid="{00000000-0005-0000-0000-000027010000}"/>
    <cellStyle name="Comma 3 8 2" xfId="496" xr:uid="{00000000-0005-0000-0000-000028010000}"/>
    <cellStyle name="Comma 3 8 2 2" xfId="545" xr:uid="{00000000-0005-0000-0000-000029010000}"/>
    <cellStyle name="Comma 3 8 2 2 2" xfId="669" xr:uid="{00000000-0005-0000-0000-00002A010000}"/>
    <cellStyle name="Comma 3 8 2 3" xfId="620" xr:uid="{00000000-0005-0000-0000-00002B010000}"/>
    <cellStyle name="Comma 3 8 3" xfId="516" xr:uid="{00000000-0005-0000-0000-00002C010000}"/>
    <cellStyle name="Comma 3 8 3 2" xfId="546" xr:uid="{00000000-0005-0000-0000-00002D010000}"/>
    <cellStyle name="Comma 3 8 3 2 2" xfId="670" xr:uid="{00000000-0005-0000-0000-00002E010000}"/>
    <cellStyle name="Comma 3 8 3 3" xfId="640" xr:uid="{00000000-0005-0000-0000-00002F010000}"/>
    <cellStyle name="Comma 3 8 4" xfId="544" xr:uid="{00000000-0005-0000-0000-000030010000}"/>
    <cellStyle name="Comma 3 8 4 2" xfId="668" xr:uid="{00000000-0005-0000-0000-000031010000}"/>
    <cellStyle name="Comma 3 8 5" xfId="598" xr:uid="{00000000-0005-0000-0000-000032010000}"/>
    <cellStyle name="Comma 3 9" xfId="468" xr:uid="{00000000-0005-0000-0000-000033010000}"/>
    <cellStyle name="Comma 3 9 2" xfId="498" xr:uid="{00000000-0005-0000-0000-000034010000}"/>
    <cellStyle name="Comma 3 9 2 2" xfId="548" xr:uid="{00000000-0005-0000-0000-000035010000}"/>
    <cellStyle name="Comma 3 9 2 2 2" xfId="672" xr:uid="{00000000-0005-0000-0000-000036010000}"/>
    <cellStyle name="Comma 3 9 2 3" xfId="622" xr:uid="{00000000-0005-0000-0000-000037010000}"/>
    <cellStyle name="Comma 3 9 3" xfId="518" xr:uid="{00000000-0005-0000-0000-000038010000}"/>
    <cellStyle name="Comma 3 9 3 2" xfId="549" xr:uid="{00000000-0005-0000-0000-000039010000}"/>
    <cellStyle name="Comma 3 9 3 2 2" xfId="673" xr:uid="{00000000-0005-0000-0000-00003A010000}"/>
    <cellStyle name="Comma 3 9 3 3" xfId="642" xr:uid="{00000000-0005-0000-0000-00003B010000}"/>
    <cellStyle name="Comma 3 9 4" xfId="547" xr:uid="{00000000-0005-0000-0000-00003C010000}"/>
    <cellStyle name="Comma 3 9 4 2" xfId="671" xr:uid="{00000000-0005-0000-0000-00003D010000}"/>
    <cellStyle name="Comma 3 9 5" xfId="600" xr:uid="{00000000-0005-0000-0000-00003E010000}"/>
    <cellStyle name="Comma 4" xfId="203" xr:uid="{00000000-0005-0000-0000-00003F010000}"/>
    <cellStyle name="Comma 4 2" xfId="8" xr:uid="{00000000-0005-0000-0000-000040010000}"/>
    <cellStyle name="Comma 4 3" xfId="204" xr:uid="{00000000-0005-0000-0000-000041010000}"/>
    <cellStyle name="Comma 5" xfId="205" xr:uid="{00000000-0005-0000-0000-000042010000}"/>
    <cellStyle name="Comma 6" xfId="206" xr:uid="{00000000-0005-0000-0000-000043010000}"/>
    <cellStyle name="Comma 6 2" xfId="207" xr:uid="{00000000-0005-0000-0000-000044010000}"/>
    <cellStyle name="Comma 7" xfId="208" xr:uid="{00000000-0005-0000-0000-000045010000}"/>
    <cellStyle name="Comma 7 2" xfId="209" xr:uid="{00000000-0005-0000-0000-000046010000}"/>
    <cellStyle name="Comma 8" xfId="210" xr:uid="{00000000-0005-0000-0000-000047010000}"/>
    <cellStyle name="Comma 8 2" xfId="211" xr:uid="{00000000-0005-0000-0000-000048010000}"/>
    <cellStyle name="Comma 9" xfId="212" xr:uid="{00000000-0005-0000-0000-000049010000}"/>
    <cellStyle name="CommaBlank" xfId="213" xr:uid="{00000000-0005-0000-0000-00004A010000}"/>
    <cellStyle name="CommaBlank 2" xfId="214" xr:uid="{00000000-0005-0000-0000-00004B010000}"/>
    <cellStyle name="Currency 10" xfId="215" xr:uid="{00000000-0005-0000-0000-00004C010000}"/>
    <cellStyle name="Currency 10 2" xfId="478" xr:uid="{00000000-0005-0000-0000-00004D010000}"/>
    <cellStyle name="Currency 10 2 2" xfId="551" xr:uid="{00000000-0005-0000-0000-00004E010000}"/>
    <cellStyle name="Currency 10 2 2 2" xfId="675" xr:uid="{00000000-0005-0000-0000-00004F010000}"/>
    <cellStyle name="Currency 10 2 3" xfId="608" xr:uid="{00000000-0005-0000-0000-000050010000}"/>
    <cellStyle name="Currency 10 3" xfId="504" xr:uid="{00000000-0005-0000-0000-000051010000}"/>
    <cellStyle name="Currency 10 3 2" xfId="552" xr:uid="{00000000-0005-0000-0000-000052010000}"/>
    <cellStyle name="Currency 10 3 2 2" xfId="676" xr:uid="{00000000-0005-0000-0000-000053010000}"/>
    <cellStyle name="Currency 10 3 3" xfId="628" xr:uid="{00000000-0005-0000-0000-000054010000}"/>
    <cellStyle name="Currency 10 4" xfId="550" xr:uid="{00000000-0005-0000-0000-000055010000}"/>
    <cellStyle name="Currency 10 4 2" xfId="674" xr:uid="{00000000-0005-0000-0000-000056010000}"/>
    <cellStyle name="Currency 10 5" xfId="586" xr:uid="{00000000-0005-0000-0000-000057010000}"/>
    <cellStyle name="Currency 11" xfId="459" xr:uid="{00000000-0005-0000-0000-000058010000}"/>
    <cellStyle name="Currency 12" xfId="737" xr:uid="{00000000-0005-0000-0000-000059010000}"/>
    <cellStyle name="Currency 2" xfId="216" xr:uid="{00000000-0005-0000-0000-00005A010000}"/>
    <cellStyle name="Currency 2 2" xfId="217" xr:uid="{00000000-0005-0000-0000-00005B010000}"/>
    <cellStyle name="Currency 2 3" xfId="452" xr:uid="{00000000-0005-0000-0000-00005C010000}"/>
    <cellStyle name="Currency 2 4" xfId="716" xr:uid="{00000000-0005-0000-0000-00005D010000}"/>
    <cellStyle name="Currency 3" xfId="218" xr:uid="{00000000-0005-0000-0000-00005E010000}"/>
    <cellStyle name="Currency 3 2" xfId="219" xr:uid="{00000000-0005-0000-0000-00005F010000}"/>
    <cellStyle name="Currency 3 3" xfId="220" xr:uid="{00000000-0005-0000-0000-000060010000}"/>
    <cellStyle name="Currency 3 4" xfId="221" xr:uid="{00000000-0005-0000-0000-000061010000}"/>
    <cellStyle name="Currency 3 5" xfId="479" xr:uid="{00000000-0005-0000-0000-000062010000}"/>
    <cellStyle name="Currency 4" xfId="222" xr:uid="{00000000-0005-0000-0000-000063010000}"/>
    <cellStyle name="Currency 4 2" xfId="223" xr:uid="{00000000-0005-0000-0000-000064010000}"/>
    <cellStyle name="Currency 4 3" xfId="224" xr:uid="{00000000-0005-0000-0000-000065010000}"/>
    <cellStyle name="Currency 4 4" xfId="225" xr:uid="{00000000-0005-0000-0000-000066010000}"/>
    <cellStyle name="Currency 5" xfId="226" xr:uid="{00000000-0005-0000-0000-000067010000}"/>
    <cellStyle name="Currency 6" xfId="227" xr:uid="{00000000-0005-0000-0000-000068010000}"/>
    <cellStyle name="Currency 7" xfId="228" xr:uid="{00000000-0005-0000-0000-000069010000}"/>
    <cellStyle name="Currency 8" xfId="229" xr:uid="{00000000-0005-0000-0000-00006A010000}"/>
    <cellStyle name="Currency 9" xfId="230" xr:uid="{00000000-0005-0000-0000-00006B010000}"/>
    <cellStyle name="Explanatory Text 2" xfId="231" xr:uid="{00000000-0005-0000-0000-00006C010000}"/>
    <cellStyle name="Explanatory Text 3" xfId="232" xr:uid="{00000000-0005-0000-0000-00006D010000}"/>
    <cellStyle name="Explanatory Text 4" xfId="233" xr:uid="{00000000-0005-0000-0000-00006E010000}"/>
    <cellStyle name="Explanatory Text 5" xfId="234" xr:uid="{00000000-0005-0000-0000-00006F010000}"/>
    <cellStyle name="Explanatory Text 6" xfId="235" xr:uid="{00000000-0005-0000-0000-000070010000}"/>
    <cellStyle name="Good 2" xfId="236" xr:uid="{00000000-0005-0000-0000-000071010000}"/>
    <cellStyle name="Good 3" xfId="237" xr:uid="{00000000-0005-0000-0000-000072010000}"/>
    <cellStyle name="Good 4" xfId="238" xr:uid="{00000000-0005-0000-0000-000073010000}"/>
    <cellStyle name="Good 5" xfId="239" xr:uid="{00000000-0005-0000-0000-000074010000}"/>
    <cellStyle name="Good 6" xfId="240" xr:uid="{00000000-0005-0000-0000-000075010000}"/>
    <cellStyle name="Heading 1 2" xfId="241" xr:uid="{00000000-0005-0000-0000-000076010000}"/>
    <cellStyle name="Heading 1 3" xfId="242" xr:uid="{00000000-0005-0000-0000-000077010000}"/>
    <cellStyle name="Heading 1 4" xfId="243" xr:uid="{00000000-0005-0000-0000-000078010000}"/>
    <cellStyle name="Heading 1 5" xfId="244" xr:uid="{00000000-0005-0000-0000-000079010000}"/>
    <cellStyle name="Heading 1 6" xfId="245" xr:uid="{00000000-0005-0000-0000-00007A010000}"/>
    <cellStyle name="Heading 1 7" xfId="246" xr:uid="{00000000-0005-0000-0000-00007B010000}"/>
    <cellStyle name="Heading 1 8" xfId="247" xr:uid="{00000000-0005-0000-0000-00007C010000}"/>
    <cellStyle name="Heading 2 2" xfId="248" xr:uid="{00000000-0005-0000-0000-00007D010000}"/>
    <cellStyle name="Heading 2 3" xfId="249" xr:uid="{00000000-0005-0000-0000-00007E010000}"/>
    <cellStyle name="Heading 2 4" xfId="250" xr:uid="{00000000-0005-0000-0000-00007F010000}"/>
    <cellStyle name="Heading 2 5" xfId="251" xr:uid="{00000000-0005-0000-0000-000080010000}"/>
    <cellStyle name="Heading 2 6" xfId="252" xr:uid="{00000000-0005-0000-0000-000081010000}"/>
    <cellStyle name="Heading 2 7" xfId="253" xr:uid="{00000000-0005-0000-0000-000082010000}"/>
    <cellStyle name="Heading 2 8" xfId="254" xr:uid="{00000000-0005-0000-0000-000083010000}"/>
    <cellStyle name="Heading 3 2" xfId="255" xr:uid="{00000000-0005-0000-0000-000084010000}"/>
    <cellStyle name="Heading 3 3" xfId="256" xr:uid="{00000000-0005-0000-0000-000085010000}"/>
    <cellStyle name="Heading 3 4" xfId="257" xr:uid="{00000000-0005-0000-0000-000086010000}"/>
    <cellStyle name="Heading 3 5" xfId="258" xr:uid="{00000000-0005-0000-0000-000087010000}"/>
    <cellStyle name="Heading 3 6" xfId="259" xr:uid="{00000000-0005-0000-0000-000088010000}"/>
    <cellStyle name="Heading 3 7" xfId="260" xr:uid="{00000000-0005-0000-0000-000089010000}"/>
    <cellStyle name="Heading 3 8" xfId="261" xr:uid="{00000000-0005-0000-0000-00008A010000}"/>
    <cellStyle name="Heading 4 2" xfId="262" xr:uid="{00000000-0005-0000-0000-00008B010000}"/>
    <cellStyle name="Heading 4 3" xfId="263" xr:uid="{00000000-0005-0000-0000-00008C010000}"/>
    <cellStyle name="Heading 4 4" xfId="264" xr:uid="{00000000-0005-0000-0000-00008D010000}"/>
    <cellStyle name="Heading 4 5" xfId="265" xr:uid="{00000000-0005-0000-0000-00008E010000}"/>
    <cellStyle name="Heading 4 6" xfId="266" xr:uid="{00000000-0005-0000-0000-00008F010000}"/>
    <cellStyle name="Heading 4 7" xfId="267" xr:uid="{00000000-0005-0000-0000-000090010000}"/>
    <cellStyle name="Heading 4 8" xfId="268" xr:uid="{00000000-0005-0000-0000-000091010000}"/>
    <cellStyle name="Input 2" xfId="269" xr:uid="{00000000-0005-0000-0000-000092010000}"/>
    <cellStyle name="Input 3" xfId="270" xr:uid="{00000000-0005-0000-0000-000093010000}"/>
    <cellStyle name="Input 4" xfId="271" xr:uid="{00000000-0005-0000-0000-000094010000}"/>
    <cellStyle name="Input 5" xfId="272" xr:uid="{00000000-0005-0000-0000-000095010000}"/>
    <cellStyle name="Input 6" xfId="273" xr:uid="{00000000-0005-0000-0000-000096010000}"/>
    <cellStyle name="kirkdollars" xfId="274" xr:uid="{00000000-0005-0000-0000-000097010000}"/>
    <cellStyle name="Linked Cell 2" xfId="275" xr:uid="{00000000-0005-0000-0000-000098010000}"/>
    <cellStyle name="Linked Cell 3" xfId="276" xr:uid="{00000000-0005-0000-0000-000099010000}"/>
    <cellStyle name="Linked Cell 4" xfId="277" xr:uid="{00000000-0005-0000-0000-00009A010000}"/>
    <cellStyle name="Linked Cell 5" xfId="278" xr:uid="{00000000-0005-0000-0000-00009B010000}"/>
    <cellStyle name="Linked Cell 6" xfId="279" xr:uid="{00000000-0005-0000-0000-00009C010000}"/>
    <cellStyle name="Neutral 2" xfId="280" xr:uid="{00000000-0005-0000-0000-00009D010000}"/>
    <cellStyle name="Neutral 3" xfId="281" xr:uid="{00000000-0005-0000-0000-00009E010000}"/>
    <cellStyle name="Neutral 4" xfId="282" xr:uid="{00000000-0005-0000-0000-00009F010000}"/>
    <cellStyle name="Neutral 5" xfId="283" xr:uid="{00000000-0005-0000-0000-0000A0010000}"/>
    <cellStyle name="Neutral 6" xfId="284" xr:uid="{00000000-0005-0000-0000-0000A1010000}"/>
    <cellStyle name="Normal" xfId="0" builtinId="0"/>
    <cellStyle name="Normal 10" xfId="285" xr:uid="{00000000-0005-0000-0000-0000A3010000}"/>
    <cellStyle name="Normal 11" xfId="286" xr:uid="{00000000-0005-0000-0000-0000A4010000}"/>
    <cellStyle name="Normal 12" xfId="287" xr:uid="{00000000-0005-0000-0000-0000A5010000}"/>
    <cellStyle name="Normal 13" xfId="288" xr:uid="{00000000-0005-0000-0000-0000A6010000}"/>
    <cellStyle name="Normal 14" xfId="289" xr:uid="{00000000-0005-0000-0000-0000A7010000}"/>
    <cellStyle name="Normal 15" xfId="290" xr:uid="{00000000-0005-0000-0000-0000A8010000}"/>
    <cellStyle name="Normal 15 2" xfId="480" xr:uid="{00000000-0005-0000-0000-0000A9010000}"/>
    <cellStyle name="Normal 15 2 2" xfId="554" xr:uid="{00000000-0005-0000-0000-0000AA010000}"/>
    <cellStyle name="Normal 15 2 2 2" xfId="678" xr:uid="{00000000-0005-0000-0000-0000AB010000}"/>
    <cellStyle name="Normal 15 2 3" xfId="609" xr:uid="{00000000-0005-0000-0000-0000AC010000}"/>
    <cellStyle name="Normal 15 3" xfId="505" xr:uid="{00000000-0005-0000-0000-0000AD010000}"/>
    <cellStyle name="Normal 15 3 2" xfId="555" xr:uid="{00000000-0005-0000-0000-0000AE010000}"/>
    <cellStyle name="Normal 15 3 2 2" xfId="679" xr:uid="{00000000-0005-0000-0000-0000AF010000}"/>
    <cellStyle name="Normal 15 3 3" xfId="629" xr:uid="{00000000-0005-0000-0000-0000B0010000}"/>
    <cellStyle name="Normal 15 4" xfId="553" xr:uid="{00000000-0005-0000-0000-0000B1010000}"/>
    <cellStyle name="Normal 15 4 2" xfId="677" xr:uid="{00000000-0005-0000-0000-0000B2010000}"/>
    <cellStyle name="Normal 15 5" xfId="587" xr:uid="{00000000-0005-0000-0000-0000B3010000}"/>
    <cellStyle name="Normal 16" xfId="291" xr:uid="{00000000-0005-0000-0000-0000B4010000}"/>
    <cellStyle name="Normal 17" xfId="292" xr:uid="{00000000-0005-0000-0000-0000B5010000}"/>
    <cellStyle name="Normal 18" xfId="293" xr:uid="{00000000-0005-0000-0000-0000B6010000}"/>
    <cellStyle name="Normal 19" xfId="294" xr:uid="{00000000-0005-0000-0000-0000B7010000}"/>
    <cellStyle name="Normal 2" xfId="295" xr:uid="{00000000-0005-0000-0000-0000B8010000}"/>
    <cellStyle name="Normal 2 2" xfId="296" xr:uid="{00000000-0005-0000-0000-0000B9010000}"/>
    <cellStyle name="Normal 2 2 2" xfId="717" xr:uid="{00000000-0005-0000-0000-0000BA010000}"/>
    <cellStyle name="Normal 2 2 2 2" xfId="718" xr:uid="{00000000-0005-0000-0000-0000BB010000}"/>
    <cellStyle name="Normal 2 2 3" xfId="719" xr:uid="{00000000-0005-0000-0000-0000BC010000}"/>
    <cellStyle name="Normal 2 2 4" xfId="720" xr:uid="{00000000-0005-0000-0000-0000BD010000}"/>
    <cellStyle name="Normal 2 3" xfId="5" xr:uid="{00000000-0005-0000-0000-0000BE010000}"/>
    <cellStyle name="Normal 2 4" xfId="297" xr:uid="{00000000-0005-0000-0000-0000BF010000}"/>
    <cellStyle name="Normal 2_Adjustment WP" xfId="298" xr:uid="{00000000-0005-0000-0000-0000C0010000}"/>
    <cellStyle name="Normal 20" xfId="299" xr:uid="{00000000-0005-0000-0000-0000C1010000}"/>
    <cellStyle name="Normal 21" xfId="300" xr:uid="{00000000-0005-0000-0000-0000C2010000}"/>
    <cellStyle name="Normal 22" xfId="301" xr:uid="{00000000-0005-0000-0000-0000C3010000}"/>
    <cellStyle name="Normal 23" xfId="302" xr:uid="{00000000-0005-0000-0000-0000C4010000}"/>
    <cellStyle name="Normal 24" xfId="303" xr:uid="{00000000-0005-0000-0000-0000C5010000}"/>
    <cellStyle name="Normal 25" xfId="304" xr:uid="{00000000-0005-0000-0000-0000C6010000}"/>
    <cellStyle name="Normal 26" xfId="305" xr:uid="{00000000-0005-0000-0000-0000C7010000}"/>
    <cellStyle name="Normal 27" xfId="306" xr:uid="{00000000-0005-0000-0000-0000C8010000}"/>
    <cellStyle name="Normal 28" xfId="307" xr:uid="{00000000-0005-0000-0000-0000C9010000}"/>
    <cellStyle name="Normal 29" xfId="308" xr:uid="{00000000-0005-0000-0000-0000CA010000}"/>
    <cellStyle name="Normal 3" xfId="309" xr:uid="{00000000-0005-0000-0000-0000CB010000}"/>
    <cellStyle name="Normal 3 2" xfId="310" xr:uid="{00000000-0005-0000-0000-0000CC010000}"/>
    <cellStyle name="Normal 3 3" xfId="311" xr:uid="{00000000-0005-0000-0000-0000CD010000}"/>
    <cellStyle name="Normal 3 4" xfId="312" xr:uid="{00000000-0005-0000-0000-0000CE010000}"/>
    <cellStyle name="Normal 3 5" xfId="451" xr:uid="{00000000-0005-0000-0000-0000CF010000}"/>
    <cellStyle name="Normal 3 6" xfId="481" xr:uid="{00000000-0005-0000-0000-0000D0010000}"/>
    <cellStyle name="Normal 3 7" xfId="721" xr:uid="{00000000-0005-0000-0000-0000D1010000}"/>
    <cellStyle name="Normal 3_108 Summary" xfId="313" xr:uid="{00000000-0005-0000-0000-0000D2010000}"/>
    <cellStyle name="Normal 30" xfId="314" xr:uid="{00000000-0005-0000-0000-0000D3010000}"/>
    <cellStyle name="Normal 31" xfId="315" xr:uid="{00000000-0005-0000-0000-0000D4010000}"/>
    <cellStyle name="Normal 32" xfId="316" xr:uid="{00000000-0005-0000-0000-0000D5010000}"/>
    <cellStyle name="Normal 33" xfId="317" xr:uid="{00000000-0005-0000-0000-0000D6010000}"/>
    <cellStyle name="Normal 34" xfId="318" xr:uid="{00000000-0005-0000-0000-0000D7010000}"/>
    <cellStyle name="Normal 35" xfId="319" xr:uid="{00000000-0005-0000-0000-0000D8010000}"/>
    <cellStyle name="Normal 35 2" xfId="482" xr:uid="{00000000-0005-0000-0000-0000D9010000}"/>
    <cellStyle name="Normal 35 2 2" xfId="557" xr:uid="{00000000-0005-0000-0000-0000DA010000}"/>
    <cellStyle name="Normal 35 2 2 2" xfId="681" xr:uid="{00000000-0005-0000-0000-0000DB010000}"/>
    <cellStyle name="Normal 35 2 3" xfId="610" xr:uid="{00000000-0005-0000-0000-0000DC010000}"/>
    <cellStyle name="Normal 35 3" xfId="506" xr:uid="{00000000-0005-0000-0000-0000DD010000}"/>
    <cellStyle name="Normal 35 3 2" xfId="558" xr:uid="{00000000-0005-0000-0000-0000DE010000}"/>
    <cellStyle name="Normal 35 3 2 2" xfId="682" xr:uid="{00000000-0005-0000-0000-0000DF010000}"/>
    <cellStyle name="Normal 35 3 3" xfId="630" xr:uid="{00000000-0005-0000-0000-0000E0010000}"/>
    <cellStyle name="Normal 35 4" xfId="556" xr:uid="{00000000-0005-0000-0000-0000E1010000}"/>
    <cellStyle name="Normal 35 4 2" xfId="680" xr:uid="{00000000-0005-0000-0000-0000E2010000}"/>
    <cellStyle name="Normal 35 5" xfId="588" xr:uid="{00000000-0005-0000-0000-0000E3010000}"/>
    <cellStyle name="Normal 36" xfId="2" xr:uid="{00000000-0005-0000-0000-0000E4010000}"/>
    <cellStyle name="Normal 37" xfId="708" xr:uid="{00000000-0005-0000-0000-0000E5010000}"/>
    <cellStyle name="Normal 38" xfId="736" xr:uid="{00000000-0005-0000-0000-0000E6010000}"/>
    <cellStyle name="Normal 4" xfId="320" xr:uid="{00000000-0005-0000-0000-0000E7010000}"/>
    <cellStyle name="Normal 4 2" xfId="455" xr:uid="{00000000-0005-0000-0000-0000E8010000}"/>
    <cellStyle name="Normal 4 3" xfId="483" xr:uid="{00000000-0005-0000-0000-0000E9010000}"/>
    <cellStyle name="Normal 4 4" xfId="722" xr:uid="{00000000-0005-0000-0000-0000EA010000}"/>
    <cellStyle name="Normal 4 5" xfId="723" xr:uid="{00000000-0005-0000-0000-0000EB010000}"/>
    <cellStyle name="Normal 5" xfId="321" xr:uid="{00000000-0005-0000-0000-0000EC010000}"/>
    <cellStyle name="Normal 5 2" xfId="456" xr:uid="{00000000-0005-0000-0000-0000ED010000}"/>
    <cellStyle name="Normal 5 3" xfId="484" xr:uid="{00000000-0005-0000-0000-0000EE010000}"/>
    <cellStyle name="Normal 6" xfId="322" xr:uid="{00000000-0005-0000-0000-0000EF010000}"/>
    <cellStyle name="Normal 6 10" xfId="473" xr:uid="{00000000-0005-0000-0000-0000F0010000}"/>
    <cellStyle name="Normal 6 10 2" xfId="559" xr:uid="{00000000-0005-0000-0000-0000F1010000}"/>
    <cellStyle name="Normal 6 10 2 2" xfId="683" xr:uid="{00000000-0005-0000-0000-0000F2010000}"/>
    <cellStyle name="Normal 6 10 3" xfId="605" xr:uid="{00000000-0005-0000-0000-0000F3010000}"/>
    <cellStyle name="Normal 6 11" xfId="724" xr:uid="{00000000-0005-0000-0000-0000F4010000}"/>
    <cellStyle name="Normal 6 2" xfId="458" xr:uid="{00000000-0005-0000-0000-0000F5010000}"/>
    <cellStyle name="Normal 6 2 2" xfId="489" xr:uid="{00000000-0005-0000-0000-0000F6010000}"/>
    <cellStyle name="Normal 6 2 2 2" xfId="561" xr:uid="{00000000-0005-0000-0000-0000F7010000}"/>
    <cellStyle name="Normal 6 2 2 2 2" xfId="685" xr:uid="{00000000-0005-0000-0000-0000F8010000}"/>
    <cellStyle name="Normal 6 2 2 3" xfId="613" xr:uid="{00000000-0005-0000-0000-0000F9010000}"/>
    <cellStyle name="Normal 6 2 3" xfId="509" xr:uid="{00000000-0005-0000-0000-0000FA010000}"/>
    <cellStyle name="Normal 6 2 3 2" xfId="562" xr:uid="{00000000-0005-0000-0000-0000FB010000}"/>
    <cellStyle name="Normal 6 2 3 2 2" xfId="686" xr:uid="{00000000-0005-0000-0000-0000FC010000}"/>
    <cellStyle name="Normal 6 2 3 3" xfId="633" xr:uid="{00000000-0005-0000-0000-0000FD010000}"/>
    <cellStyle name="Normal 6 2 4" xfId="560" xr:uid="{00000000-0005-0000-0000-0000FE010000}"/>
    <cellStyle name="Normal 6 2 4 2" xfId="684" xr:uid="{00000000-0005-0000-0000-0000FF010000}"/>
    <cellStyle name="Normal 6 2 5" xfId="591" xr:uid="{00000000-0005-0000-0000-000000020000}"/>
    <cellStyle name="Normal 6 3" xfId="461" xr:uid="{00000000-0005-0000-0000-000001020000}"/>
    <cellStyle name="Normal 6 3 2" xfId="491" xr:uid="{00000000-0005-0000-0000-000002020000}"/>
    <cellStyle name="Normal 6 3 2 2" xfId="564" xr:uid="{00000000-0005-0000-0000-000003020000}"/>
    <cellStyle name="Normal 6 3 2 2 2" xfId="688" xr:uid="{00000000-0005-0000-0000-000004020000}"/>
    <cellStyle name="Normal 6 3 2 3" xfId="615" xr:uid="{00000000-0005-0000-0000-000005020000}"/>
    <cellStyle name="Normal 6 3 3" xfId="511" xr:uid="{00000000-0005-0000-0000-000006020000}"/>
    <cellStyle name="Normal 6 3 3 2" xfId="565" xr:uid="{00000000-0005-0000-0000-000007020000}"/>
    <cellStyle name="Normal 6 3 3 2 2" xfId="689" xr:uid="{00000000-0005-0000-0000-000008020000}"/>
    <cellStyle name="Normal 6 3 3 3" xfId="635" xr:uid="{00000000-0005-0000-0000-000009020000}"/>
    <cellStyle name="Normal 6 3 4" xfId="563" xr:uid="{00000000-0005-0000-0000-00000A020000}"/>
    <cellStyle name="Normal 6 3 4 2" xfId="687" xr:uid="{00000000-0005-0000-0000-00000B020000}"/>
    <cellStyle name="Normal 6 3 5" xfId="593" xr:uid="{00000000-0005-0000-0000-00000C020000}"/>
    <cellStyle name="Normal 6 4" xfId="463" xr:uid="{00000000-0005-0000-0000-00000D020000}"/>
    <cellStyle name="Normal 6 4 2" xfId="493" xr:uid="{00000000-0005-0000-0000-00000E020000}"/>
    <cellStyle name="Normal 6 4 2 2" xfId="567" xr:uid="{00000000-0005-0000-0000-00000F020000}"/>
    <cellStyle name="Normal 6 4 2 2 2" xfId="691" xr:uid="{00000000-0005-0000-0000-000010020000}"/>
    <cellStyle name="Normal 6 4 2 3" xfId="617" xr:uid="{00000000-0005-0000-0000-000011020000}"/>
    <cellStyle name="Normal 6 4 3" xfId="513" xr:uid="{00000000-0005-0000-0000-000012020000}"/>
    <cellStyle name="Normal 6 4 3 2" xfId="568" xr:uid="{00000000-0005-0000-0000-000013020000}"/>
    <cellStyle name="Normal 6 4 3 2 2" xfId="692" xr:uid="{00000000-0005-0000-0000-000014020000}"/>
    <cellStyle name="Normal 6 4 3 3" xfId="637" xr:uid="{00000000-0005-0000-0000-000015020000}"/>
    <cellStyle name="Normal 6 4 4" xfId="566" xr:uid="{00000000-0005-0000-0000-000016020000}"/>
    <cellStyle name="Normal 6 4 4 2" xfId="690" xr:uid="{00000000-0005-0000-0000-000017020000}"/>
    <cellStyle name="Normal 6 4 5" xfId="595" xr:uid="{00000000-0005-0000-0000-000018020000}"/>
    <cellStyle name="Normal 6 5" xfId="465" xr:uid="{00000000-0005-0000-0000-000019020000}"/>
    <cellStyle name="Normal 6 5 2" xfId="495" xr:uid="{00000000-0005-0000-0000-00001A020000}"/>
    <cellStyle name="Normal 6 5 2 2" xfId="570" xr:uid="{00000000-0005-0000-0000-00001B020000}"/>
    <cellStyle name="Normal 6 5 2 2 2" xfId="694" xr:uid="{00000000-0005-0000-0000-00001C020000}"/>
    <cellStyle name="Normal 6 5 2 3" xfId="619" xr:uid="{00000000-0005-0000-0000-00001D020000}"/>
    <cellStyle name="Normal 6 5 3" xfId="515" xr:uid="{00000000-0005-0000-0000-00001E020000}"/>
    <cellStyle name="Normal 6 5 3 2" xfId="571" xr:uid="{00000000-0005-0000-0000-00001F020000}"/>
    <cellStyle name="Normal 6 5 3 2 2" xfId="695" xr:uid="{00000000-0005-0000-0000-000020020000}"/>
    <cellStyle name="Normal 6 5 3 3" xfId="639" xr:uid="{00000000-0005-0000-0000-000021020000}"/>
    <cellStyle name="Normal 6 5 4" xfId="569" xr:uid="{00000000-0005-0000-0000-000022020000}"/>
    <cellStyle name="Normal 6 5 4 2" xfId="693" xr:uid="{00000000-0005-0000-0000-000023020000}"/>
    <cellStyle name="Normal 6 5 5" xfId="597" xr:uid="{00000000-0005-0000-0000-000024020000}"/>
    <cellStyle name="Normal 6 6" xfId="467" xr:uid="{00000000-0005-0000-0000-000025020000}"/>
    <cellStyle name="Normal 6 6 2" xfId="497" xr:uid="{00000000-0005-0000-0000-000026020000}"/>
    <cellStyle name="Normal 6 6 2 2" xfId="573" xr:uid="{00000000-0005-0000-0000-000027020000}"/>
    <cellStyle name="Normal 6 6 2 2 2" xfId="697" xr:uid="{00000000-0005-0000-0000-000028020000}"/>
    <cellStyle name="Normal 6 6 2 3" xfId="621" xr:uid="{00000000-0005-0000-0000-000029020000}"/>
    <cellStyle name="Normal 6 6 3" xfId="517" xr:uid="{00000000-0005-0000-0000-00002A020000}"/>
    <cellStyle name="Normal 6 6 3 2" xfId="574" xr:uid="{00000000-0005-0000-0000-00002B020000}"/>
    <cellStyle name="Normal 6 6 3 2 2" xfId="698" xr:uid="{00000000-0005-0000-0000-00002C020000}"/>
    <cellStyle name="Normal 6 6 3 3" xfId="641" xr:uid="{00000000-0005-0000-0000-00002D020000}"/>
    <cellStyle name="Normal 6 6 4" xfId="572" xr:uid="{00000000-0005-0000-0000-00002E020000}"/>
    <cellStyle name="Normal 6 6 4 2" xfId="696" xr:uid="{00000000-0005-0000-0000-00002F020000}"/>
    <cellStyle name="Normal 6 6 5" xfId="599" xr:uid="{00000000-0005-0000-0000-000030020000}"/>
    <cellStyle name="Normal 6 7" xfId="469" xr:uid="{00000000-0005-0000-0000-000031020000}"/>
    <cellStyle name="Normal 6 7 2" xfId="499" xr:uid="{00000000-0005-0000-0000-000032020000}"/>
    <cellStyle name="Normal 6 7 2 2" xfId="576" xr:uid="{00000000-0005-0000-0000-000033020000}"/>
    <cellStyle name="Normal 6 7 2 2 2" xfId="700" xr:uid="{00000000-0005-0000-0000-000034020000}"/>
    <cellStyle name="Normal 6 7 2 3" xfId="623" xr:uid="{00000000-0005-0000-0000-000035020000}"/>
    <cellStyle name="Normal 6 7 3" xfId="519" xr:uid="{00000000-0005-0000-0000-000036020000}"/>
    <cellStyle name="Normal 6 7 3 2" xfId="577" xr:uid="{00000000-0005-0000-0000-000037020000}"/>
    <cellStyle name="Normal 6 7 3 2 2" xfId="701" xr:uid="{00000000-0005-0000-0000-000038020000}"/>
    <cellStyle name="Normal 6 7 3 3" xfId="643" xr:uid="{00000000-0005-0000-0000-000039020000}"/>
    <cellStyle name="Normal 6 7 4" xfId="575" xr:uid="{00000000-0005-0000-0000-00003A020000}"/>
    <cellStyle name="Normal 6 7 4 2" xfId="699" xr:uid="{00000000-0005-0000-0000-00003B020000}"/>
    <cellStyle name="Normal 6 7 5" xfId="601" xr:uid="{00000000-0005-0000-0000-00003C020000}"/>
    <cellStyle name="Normal 6 8" xfId="471" xr:uid="{00000000-0005-0000-0000-00003D020000}"/>
    <cellStyle name="Normal 6 8 2" xfId="501" xr:uid="{00000000-0005-0000-0000-00003E020000}"/>
    <cellStyle name="Normal 6 8 2 2" xfId="579" xr:uid="{00000000-0005-0000-0000-00003F020000}"/>
    <cellStyle name="Normal 6 8 2 2 2" xfId="703" xr:uid="{00000000-0005-0000-0000-000040020000}"/>
    <cellStyle name="Normal 6 8 2 3" xfId="625" xr:uid="{00000000-0005-0000-0000-000041020000}"/>
    <cellStyle name="Normal 6 8 3" xfId="521" xr:uid="{00000000-0005-0000-0000-000042020000}"/>
    <cellStyle name="Normal 6 8 3 2" xfId="580" xr:uid="{00000000-0005-0000-0000-000043020000}"/>
    <cellStyle name="Normal 6 8 3 2 2" xfId="704" xr:uid="{00000000-0005-0000-0000-000044020000}"/>
    <cellStyle name="Normal 6 8 3 3" xfId="645" xr:uid="{00000000-0005-0000-0000-000045020000}"/>
    <cellStyle name="Normal 6 8 4" xfId="578" xr:uid="{00000000-0005-0000-0000-000046020000}"/>
    <cellStyle name="Normal 6 8 4 2" xfId="702" xr:uid="{00000000-0005-0000-0000-000047020000}"/>
    <cellStyle name="Normal 6 8 5" xfId="603" xr:uid="{00000000-0005-0000-0000-000048020000}"/>
    <cellStyle name="Normal 6 9" xfId="485" xr:uid="{00000000-0005-0000-0000-000049020000}"/>
    <cellStyle name="Normal 7" xfId="323" xr:uid="{00000000-0005-0000-0000-00004A020000}"/>
    <cellStyle name="Normal 8" xfId="324" xr:uid="{00000000-0005-0000-0000-00004B020000}"/>
    <cellStyle name="Normal 9" xfId="325" xr:uid="{00000000-0005-0000-0000-00004C020000}"/>
    <cellStyle name="Note 10" xfId="326" xr:uid="{00000000-0005-0000-0000-00004D020000}"/>
    <cellStyle name="Note 11" xfId="327" xr:uid="{00000000-0005-0000-0000-00004E020000}"/>
    <cellStyle name="Note 2" xfId="328" xr:uid="{00000000-0005-0000-0000-00004F020000}"/>
    <cellStyle name="Note 2 2" xfId="329" xr:uid="{00000000-0005-0000-0000-000050020000}"/>
    <cellStyle name="Note 2_Allocators" xfId="330" xr:uid="{00000000-0005-0000-0000-000051020000}"/>
    <cellStyle name="Note 3" xfId="331" xr:uid="{00000000-0005-0000-0000-000052020000}"/>
    <cellStyle name="Note 3 2" xfId="332" xr:uid="{00000000-0005-0000-0000-000053020000}"/>
    <cellStyle name="Note 3 3" xfId="333" xr:uid="{00000000-0005-0000-0000-000054020000}"/>
    <cellStyle name="Note 3_Allocators" xfId="334" xr:uid="{00000000-0005-0000-0000-000055020000}"/>
    <cellStyle name="Note 4" xfId="335" xr:uid="{00000000-0005-0000-0000-000056020000}"/>
    <cellStyle name="Note 4 2" xfId="336" xr:uid="{00000000-0005-0000-0000-000057020000}"/>
    <cellStyle name="Note 4_Allocators" xfId="337" xr:uid="{00000000-0005-0000-0000-000058020000}"/>
    <cellStyle name="Note 5" xfId="338" xr:uid="{00000000-0005-0000-0000-000059020000}"/>
    <cellStyle name="Note 6" xfId="339" xr:uid="{00000000-0005-0000-0000-00005A020000}"/>
    <cellStyle name="Note 6 2" xfId="340" xr:uid="{00000000-0005-0000-0000-00005B020000}"/>
    <cellStyle name="Note 6_Allocators" xfId="341" xr:uid="{00000000-0005-0000-0000-00005C020000}"/>
    <cellStyle name="Note 7" xfId="342" xr:uid="{00000000-0005-0000-0000-00005D020000}"/>
    <cellStyle name="Note 7 2" xfId="343" xr:uid="{00000000-0005-0000-0000-00005E020000}"/>
    <cellStyle name="Note 8" xfId="344" xr:uid="{00000000-0005-0000-0000-00005F020000}"/>
    <cellStyle name="Note 9" xfId="345" xr:uid="{00000000-0005-0000-0000-000060020000}"/>
    <cellStyle name="nPlosion" xfId="346" xr:uid="{00000000-0005-0000-0000-000061020000}"/>
    <cellStyle name="nvision" xfId="347" xr:uid="{00000000-0005-0000-0000-000062020000}"/>
    <cellStyle name="Output 2" xfId="348" xr:uid="{00000000-0005-0000-0000-000063020000}"/>
    <cellStyle name="Output 3" xfId="349" xr:uid="{00000000-0005-0000-0000-000064020000}"/>
    <cellStyle name="Output 4" xfId="350" xr:uid="{00000000-0005-0000-0000-000065020000}"/>
    <cellStyle name="Output 5" xfId="351" xr:uid="{00000000-0005-0000-0000-000066020000}"/>
    <cellStyle name="Output 6" xfId="352" xr:uid="{00000000-0005-0000-0000-000067020000}"/>
    <cellStyle name="Percent 10" xfId="353" xr:uid="{00000000-0005-0000-0000-000068020000}"/>
    <cellStyle name="Percent 11" xfId="354" xr:uid="{00000000-0005-0000-0000-000069020000}"/>
    <cellStyle name="Percent 12" xfId="355" xr:uid="{00000000-0005-0000-0000-00006A020000}"/>
    <cellStyle name="Percent 13" xfId="356" xr:uid="{00000000-0005-0000-0000-00006B020000}"/>
    <cellStyle name="Percent 13 2" xfId="486" xr:uid="{00000000-0005-0000-0000-00006C020000}"/>
    <cellStyle name="Percent 13 2 2" xfId="582" xr:uid="{00000000-0005-0000-0000-00006D020000}"/>
    <cellStyle name="Percent 13 2 2 2" xfId="706" xr:uid="{00000000-0005-0000-0000-00006E020000}"/>
    <cellStyle name="Percent 13 2 3" xfId="611" xr:uid="{00000000-0005-0000-0000-00006F020000}"/>
    <cellStyle name="Percent 13 3" xfId="507" xr:uid="{00000000-0005-0000-0000-000070020000}"/>
    <cellStyle name="Percent 13 3 2" xfId="583" xr:uid="{00000000-0005-0000-0000-000071020000}"/>
    <cellStyle name="Percent 13 3 2 2" xfId="707" xr:uid="{00000000-0005-0000-0000-000072020000}"/>
    <cellStyle name="Percent 13 3 3" xfId="631" xr:uid="{00000000-0005-0000-0000-000073020000}"/>
    <cellStyle name="Percent 13 4" xfId="581" xr:uid="{00000000-0005-0000-0000-000074020000}"/>
    <cellStyle name="Percent 13 4 2" xfId="705" xr:uid="{00000000-0005-0000-0000-000075020000}"/>
    <cellStyle name="Percent 13 5" xfId="589" xr:uid="{00000000-0005-0000-0000-000076020000}"/>
    <cellStyle name="Percent 14" xfId="4" xr:uid="{00000000-0005-0000-0000-000077020000}"/>
    <cellStyle name="Percent 15" xfId="739" xr:uid="{00000000-0005-0000-0000-000078020000}"/>
    <cellStyle name="Percent 2" xfId="357" xr:uid="{00000000-0005-0000-0000-000079020000}"/>
    <cellStyle name="Percent 2 2" xfId="358" xr:uid="{00000000-0005-0000-0000-00007A020000}"/>
    <cellStyle name="Percent 2 2 2" xfId="725" xr:uid="{00000000-0005-0000-0000-00007B020000}"/>
    <cellStyle name="Percent 2 2 3" xfId="726" xr:uid="{00000000-0005-0000-0000-00007C020000}"/>
    <cellStyle name="Percent 2 3" xfId="727" xr:uid="{00000000-0005-0000-0000-00007D020000}"/>
    <cellStyle name="Percent 2 4" xfId="728" xr:uid="{00000000-0005-0000-0000-00007E020000}"/>
    <cellStyle name="Percent 2 5" xfId="729" xr:uid="{00000000-0005-0000-0000-00007F020000}"/>
    <cellStyle name="Percent 3" xfId="359" xr:uid="{00000000-0005-0000-0000-000080020000}"/>
    <cellStyle name="Percent 3 2" xfId="360" xr:uid="{00000000-0005-0000-0000-000081020000}"/>
    <cellStyle name="Percent 3 3" xfId="361" xr:uid="{00000000-0005-0000-0000-000082020000}"/>
    <cellStyle name="Percent 3 4" xfId="457" xr:uid="{00000000-0005-0000-0000-000083020000}"/>
    <cellStyle name="Percent 3 5" xfId="487" xr:uid="{00000000-0005-0000-0000-000084020000}"/>
    <cellStyle name="Percent 4" xfId="362" xr:uid="{00000000-0005-0000-0000-000085020000}"/>
    <cellStyle name="Percent 4 2" xfId="363" xr:uid="{00000000-0005-0000-0000-000086020000}"/>
    <cellStyle name="Percent 4 3" xfId="364" xr:uid="{00000000-0005-0000-0000-000087020000}"/>
    <cellStyle name="Percent 4 4" xfId="365" xr:uid="{00000000-0005-0000-0000-000088020000}"/>
    <cellStyle name="Percent 5" xfId="366" xr:uid="{00000000-0005-0000-0000-000089020000}"/>
    <cellStyle name="Percent 5 2" xfId="367" xr:uid="{00000000-0005-0000-0000-00008A020000}"/>
    <cellStyle name="Percent 6" xfId="368" xr:uid="{00000000-0005-0000-0000-00008B020000}"/>
    <cellStyle name="Percent 6 2" xfId="369" xr:uid="{00000000-0005-0000-0000-00008C020000}"/>
    <cellStyle name="Percent 7" xfId="370" xr:uid="{00000000-0005-0000-0000-00008D020000}"/>
    <cellStyle name="Percent 8" xfId="371" xr:uid="{00000000-0005-0000-0000-00008E020000}"/>
    <cellStyle name="Percent 9" xfId="372" xr:uid="{00000000-0005-0000-0000-00008F020000}"/>
    <cellStyle name="PSChar" xfId="373" xr:uid="{00000000-0005-0000-0000-000090020000}"/>
    <cellStyle name="PSChar 2" xfId="374" xr:uid="{00000000-0005-0000-0000-000091020000}"/>
    <cellStyle name="PSChar 2 2" xfId="375" xr:uid="{00000000-0005-0000-0000-000092020000}"/>
    <cellStyle name="PSChar 2 3" xfId="376" xr:uid="{00000000-0005-0000-0000-000093020000}"/>
    <cellStyle name="PSChar 3" xfId="377" xr:uid="{00000000-0005-0000-0000-000094020000}"/>
    <cellStyle name="PSChar 3 2" xfId="378" xr:uid="{00000000-0005-0000-0000-000095020000}"/>
    <cellStyle name="PSChar 4" xfId="379" xr:uid="{00000000-0005-0000-0000-000096020000}"/>
    <cellStyle name="PSChar 5" xfId="380" xr:uid="{00000000-0005-0000-0000-000097020000}"/>
    <cellStyle name="PSChar 6" xfId="381" xr:uid="{00000000-0005-0000-0000-000098020000}"/>
    <cellStyle name="PSChar 7" xfId="730" xr:uid="{00000000-0005-0000-0000-000099020000}"/>
    <cellStyle name="PSDate" xfId="382" xr:uid="{00000000-0005-0000-0000-00009A020000}"/>
    <cellStyle name="PSDate 2" xfId="383" xr:uid="{00000000-0005-0000-0000-00009B020000}"/>
    <cellStyle name="PSDate 2 2" xfId="384" xr:uid="{00000000-0005-0000-0000-00009C020000}"/>
    <cellStyle name="PSDate 2 3" xfId="385" xr:uid="{00000000-0005-0000-0000-00009D020000}"/>
    <cellStyle name="PSDate 3" xfId="386" xr:uid="{00000000-0005-0000-0000-00009E020000}"/>
    <cellStyle name="PSDate 3 2" xfId="387" xr:uid="{00000000-0005-0000-0000-00009F020000}"/>
    <cellStyle name="PSDate 4" xfId="388" xr:uid="{00000000-0005-0000-0000-0000A0020000}"/>
    <cellStyle name="PSDate 5" xfId="389" xr:uid="{00000000-0005-0000-0000-0000A1020000}"/>
    <cellStyle name="PSDate 6" xfId="390" xr:uid="{00000000-0005-0000-0000-0000A2020000}"/>
    <cellStyle name="PSDate 7" xfId="731" xr:uid="{00000000-0005-0000-0000-0000A3020000}"/>
    <cellStyle name="PSDec" xfId="391" xr:uid="{00000000-0005-0000-0000-0000A4020000}"/>
    <cellStyle name="PSDec 2" xfId="392" xr:uid="{00000000-0005-0000-0000-0000A5020000}"/>
    <cellStyle name="PSDec 2 2" xfId="393" xr:uid="{00000000-0005-0000-0000-0000A6020000}"/>
    <cellStyle name="PSDec 2 3" xfId="394" xr:uid="{00000000-0005-0000-0000-0000A7020000}"/>
    <cellStyle name="PSDec 3" xfId="395" xr:uid="{00000000-0005-0000-0000-0000A8020000}"/>
    <cellStyle name="PSDec 3 2" xfId="396" xr:uid="{00000000-0005-0000-0000-0000A9020000}"/>
    <cellStyle name="PSDec 4" xfId="397" xr:uid="{00000000-0005-0000-0000-0000AA020000}"/>
    <cellStyle name="PSDec 5" xfId="398" xr:uid="{00000000-0005-0000-0000-0000AB020000}"/>
    <cellStyle name="PSDec 6" xfId="399" xr:uid="{00000000-0005-0000-0000-0000AC020000}"/>
    <cellStyle name="PSDec 7" xfId="732" xr:uid="{00000000-0005-0000-0000-0000AD020000}"/>
    <cellStyle name="PSHeading" xfId="400" xr:uid="{00000000-0005-0000-0000-0000AE020000}"/>
    <cellStyle name="PSHeading 10" xfId="401" xr:uid="{00000000-0005-0000-0000-0000AF020000}"/>
    <cellStyle name="PSHeading 11" xfId="402" xr:uid="{00000000-0005-0000-0000-0000B0020000}"/>
    <cellStyle name="PSHeading 12" xfId="733" xr:uid="{00000000-0005-0000-0000-0000B1020000}"/>
    <cellStyle name="PSHeading 2" xfId="403" xr:uid="{00000000-0005-0000-0000-0000B2020000}"/>
    <cellStyle name="PSHeading 2 2" xfId="404" xr:uid="{00000000-0005-0000-0000-0000B3020000}"/>
    <cellStyle name="PSHeading 2 3" xfId="405" xr:uid="{00000000-0005-0000-0000-0000B4020000}"/>
    <cellStyle name="PSHeading 2_108 Summary" xfId="406" xr:uid="{00000000-0005-0000-0000-0000B5020000}"/>
    <cellStyle name="PSHeading 3" xfId="407" xr:uid="{00000000-0005-0000-0000-0000B6020000}"/>
    <cellStyle name="PSHeading 3 2" xfId="408" xr:uid="{00000000-0005-0000-0000-0000B7020000}"/>
    <cellStyle name="PSHeading 3_108 Summary" xfId="409" xr:uid="{00000000-0005-0000-0000-0000B8020000}"/>
    <cellStyle name="PSHeading 4" xfId="410" xr:uid="{00000000-0005-0000-0000-0000B9020000}"/>
    <cellStyle name="PSHeading 5" xfId="411" xr:uid="{00000000-0005-0000-0000-0000BA020000}"/>
    <cellStyle name="PSHeading 6" xfId="412" xr:uid="{00000000-0005-0000-0000-0000BB020000}"/>
    <cellStyle name="PSHeading 7" xfId="413" xr:uid="{00000000-0005-0000-0000-0000BC020000}"/>
    <cellStyle name="PSHeading 8" xfId="414" xr:uid="{00000000-0005-0000-0000-0000BD020000}"/>
    <cellStyle name="PSHeading 9" xfId="415" xr:uid="{00000000-0005-0000-0000-0000BE020000}"/>
    <cellStyle name="PSHeading_101 check" xfId="416" xr:uid="{00000000-0005-0000-0000-0000BF020000}"/>
    <cellStyle name="PSInt" xfId="417" xr:uid="{00000000-0005-0000-0000-0000C0020000}"/>
    <cellStyle name="PSInt 2" xfId="418" xr:uid="{00000000-0005-0000-0000-0000C1020000}"/>
    <cellStyle name="PSInt 2 2" xfId="419" xr:uid="{00000000-0005-0000-0000-0000C2020000}"/>
    <cellStyle name="PSInt 2 3" xfId="420" xr:uid="{00000000-0005-0000-0000-0000C3020000}"/>
    <cellStyle name="PSInt 3" xfId="421" xr:uid="{00000000-0005-0000-0000-0000C4020000}"/>
    <cellStyle name="PSInt 3 2" xfId="422" xr:uid="{00000000-0005-0000-0000-0000C5020000}"/>
    <cellStyle name="PSInt 4" xfId="423" xr:uid="{00000000-0005-0000-0000-0000C6020000}"/>
    <cellStyle name="PSInt 5" xfId="424" xr:uid="{00000000-0005-0000-0000-0000C7020000}"/>
    <cellStyle name="PSInt 6" xfId="425" xr:uid="{00000000-0005-0000-0000-0000C8020000}"/>
    <cellStyle name="PSInt 7" xfId="734" xr:uid="{00000000-0005-0000-0000-0000C9020000}"/>
    <cellStyle name="PSSpacer" xfId="426" xr:uid="{00000000-0005-0000-0000-0000CA020000}"/>
    <cellStyle name="PSSpacer 2" xfId="427" xr:uid="{00000000-0005-0000-0000-0000CB020000}"/>
    <cellStyle name="PSSpacer 2 2" xfId="428" xr:uid="{00000000-0005-0000-0000-0000CC020000}"/>
    <cellStyle name="PSSpacer 2 3" xfId="429" xr:uid="{00000000-0005-0000-0000-0000CD020000}"/>
    <cellStyle name="PSSpacer 3" xfId="430" xr:uid="{00000000-0005-0000-0000-0000CE020000}"/>
    <cellStyle name="PSSpacer 3 2" xfId="431" xr:uid="{00000000-0005-0000-0000-0000CF020000}"/>
    <cellStyle name="PSSpacer 4" xfId="432" xr:uid="{00000000-0005-0000-0000-0000D0020000}"/>
    <cellStyle name="PSSpacer 5" xfId="433" xr:uid="{00000000-0005-0000-0000-0000D1020000}"/>
    <cellStyle name="PSSpacer 6" xfId="434" xr:uid="{00000000-0005-0000-0000-0000D2020000}"/>
    <cellStyle name="PSSpacer 7" xfId="735" xr:uid="{00000000-0005-0000-0000-0000D3020000}"/>
    <cellStyle name="Title 2" xfId="435" xr:uid="{00000000-0005-0000-0000-0000D4020000}"/>
    <cellStyle name="Title 3" xfId="436" xr:uid="{00000000-0005-0000-0000-0000D5020000}"/>
    <cellStyle name="Title 4" xfId="437" xr:uid="{00000000-0005-0000-0000-0000D6020000}"/>
    <cellStyle name="Title 5" xfId="438" xr:uid="{00000000-0005-0000-0000-0000D7020000}"/>
    <cellStyle name="Total 2" xfId="439" xr:uid="{00000000-0005-0000-0000-0000D8020000}"/>
    <cellStyle name="Total 3" xfId="440" xr:uid="{00000000-0005-0000-0000-0000D9020000}"/>
    <cellStyle name="Total 4" xfId="441" xr:uid="{00000000-0005-0000-0000-0000DA020000}"/>
    <cellStyle name="Total 5" xfId="442" xr:uid="{00000000-0005-0000-0000-0000DB020000}"/>
    <cellStyle name="Total 6" xfId="443" xr:uid="{00000000-0005-0000-0000-0000DC020000}"/>
    <cellStyle name="Total 7" xfId="444" xr:uid="{00000000-0005-0000-0000-0000DD020000}"/>
    <cellStyle name="Total 8" xfId="445" xr:uid="{00000000-0005-0000-0000-0000DE020000}"/>
    <cellStyle name="Warning Text 2" xfId="446" xr:uid="{00000000-0005-0000-0000-0000DF020000}"/>
    <cellStyle name="Warning Text 3" xfId="447" xr:uid="{00000000-0005-0000-0000-0000E0020000}"/>
    <cellStyle name="Warning Text 4" xfId="448" xr:uid="{00000000-0005-0000-0000-0000E1020000}"/>
    <cellStyle name="Warning Text 5" xfId="449" xr:uid="{00000000-0005-0000-0000-0000E2020000}"/>
    <cellStyle name="Warning Text 6" xfId="450" xr:uid="{00000000-0005-0000-0000-0000E3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icing\Rate%20Cases\KPCo\2017%20Base%20Case\February%20Test%20Year\JCOS\Financial%20Statements\2017_2%20%20GLR3000%20KYP_CORP_CONSOL%20FE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"/>
      <sheetName val="Modification History"/>
      <sheetName val="BS"/>
      <sheetName val="O&amp;M"/>
      <sheetName val="O&amp;M QRT"/>
      <sheetName val="TRIAL BALANCE"/>
      <sheetName val="KWH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Feb 2017"/>
    </sheetNames>
    <sheetDataSet>
      <sheetData sheetId="0">
        <row r="8">
          <cell r="B8" t="str">
            <v>Line 1</v>
          </cell>
        </row>
        <row r="401">
          <cell r="B401" t="str">
            <v>Line 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8"/>
  <sheetViews>
    <sheetView tabSelected="1" zoomScaleNormal="100" workbookViewId="0">
      <selection activeCell="M19" sqref="M18:M19"/>
    </sheetView>
  </sheetViews>
  <sheetFormatPr defaultColWidth="9.140625" defaultRowHeight="15"/>
  <cols>
    <col min="1" max="1" width="12.5703125" style="21" customWidth="1"/>
    <col min="2" max="2" width="68" style="20" bestFit="1" customWidth="1"/>
    <col min="3" max="3" width="2.7109375" style="1" customWidth="1"/>
    <col min="4" max="4" width="20.28515625" style="1" customWidth="1"/>
    <col min="5" max="5" width="2.7109375" style="1" customWidth="1"/>
    <col min="6" max="6" width="20.85546875" style="1" customWidth="1"/>
    <col min="7" max="7" width="4.85546875" style="1" customWidth="1"/>
    <col min="8" max="8" width="18.85546875" style="1" customWidth="1"/>
    <col min="9" max="9" width="14" style="1" customWidth="1"/>
    <col min="10" max="16384" width="9.140625" style="1"/>
  </cols>
  <sheetData>
    <row r="1" spans="1:9">
      <c r="F1" s="64"/>
      <c r="H1" s="64"/>
      <c r="I1" s="64"/>
    </row>
    <row r="2" spans="1:9">
      <c r="H2" s="64"/>
      <c r="I2" s="64"/>
    </row>
    <row r="3" spans="1:9">
      <c r="D3" s="12" t="s">
        <v>342</v>
      </c>
      <c r="E3" s="10"/>
      <c r="F3" s="9" t="s">
        <v>342</v>
      </c>
      <c r="G3" s="10"/>
      <c r="H3" s="12" t="s">
        <v>344</v>
      </c>
      <c r="I3" s="12"/>
    </row>
    <row r="4" spans="1:9">
      <c r="A4" s="11" t="s">
        <v>335</v>
      </c>
      <c r="D4" s="12" t="s">
        <v>341</v>
      </c>
      <c r="E4" s="10"/>
      <c r="F4" s="12" t="s">
        <v>343</v>
      </c>
      <c r="G4" s="10"/>
      <c r="H4" s="12" t="s">
        <v>345</v>
      </c>
      <c r="I4" s="12"/>
    </row>
    <row r="5" spans="1:9" s="11" customFormat="1">
      <c r="A5" s="11" t="s">
        <v>336</v>
      </c>
      <c r="B5" s="19"/>
      <c r="D5" s="12" t="s">
        <v>331</v>
      </c>
      <c r="E5" s="12"/>
      <c r="F5" s="12" t="s">
        <v>332</v>
      </c>
      <c r="G5" s="12"/>
      <c r="H5" s="12" t="s">
        <v>332</v>
      </c>
      <c r="I5" s="12"/>
    </row>
    <row r="7" spans="1:9">
      <c r="B7" s="1" t="s">
        <v>352</v>
      </c>
      <c r="C7" s="2"/>
      <c r="D7" s="2">
        <f>'Balance Sheet Detail'!E581</f>
        <v>2445357960.4300003</v>
      </c>
      <c r="E7" s="2"/>
      <c r="F7" s="2">
        <f>'Balance Sheet Detail'!I585</f>
        <v>2065208336.9350002</v>
      </c>
      <c r="G7" s="2"/>
      <c r="H7" s="2">
        <f>'Balance Sheet Detail'!K585</f>
        <v>380149623.95799994</v>
      </c>
      <c r="I7" s="2"/>
    </row>
    <row r="8" spans="1:9">
      <c r="C8" s="2"/>
      <c r="D8" s="2"/>
      <c r="E8" s="2"/>
      <c r="F8" s="2"/>
      <c r="G8" s="2"/>
      <c r="H8" s="2"/>
      <c r="I8" s="2"/>
    </row>
    <row r="9" spans="1:9">
      <c r="B9" s="19" t="s">
        <v>333</v>
      </c>
      <c r="C9" s="2"/>
      <c r="D9" s="2"/>
      <c r="E9" s="2"/>
      <c r="F9" s="2"/>
      <c r="G9" s="2"/>
      <c r="H9" s="2"/>
      <c r="I9" s="2"/>
    </row>
    <row r="10" spans="1:9">
      <c r="B10" s="20" t="s">
        <v>338</v>
      </c>
      <c r="C10" s="2"/>
      <c r="D10" s="2">
        <f>-300000000-85199814</f>
        <v>-385199814</v>
      </c>
      <c r="E10" s="2"/>
      <c r="F10" s="2"/>
      <c r="G10" s="2"/>
      <c r="H10" s="2">
        <f>D10-F10</f>
        <v>-385199814</v>
      </c>
      <c r="I10" s="2"/>
    </row>
    <row r="11" spans="1:9">
      <c r="B11" s="20" t="s">
        <v>689</v>
      </c>
      <c r="C11" s="2"/>
      <c r="D11" s="2">
        <v>83097578</v>
      </c>
      <c r="E11" s="2"/>
      <c r="F11" s="2"/>
      <c r="G11" s="2"/>
      <c r="H11" s="2">
        <f>D11-F11</f>
        <v>83097578</v>
      </c>
      <c r="I11" s="2"/>
    </row>
    <row r="12" spans="1:9">
      <c r="B12" s="20" t="s">
        <v>339</v>
      </c>
      <c r="C12" s="2"/>
      <c r="D12" s="2">
        <v>-655168.37</v>
      </c>
      <c r="E12" s="2"/>
      <c r="F12" s="2"/>
      <c r="G12" s="2"/>
      <c r="H12" s="2">
        <f>D12-F12</f>
        <v>-655168.37</v>
      </c>
      <c r="I12" s="2"/>
    </row>
    <row r="13" spans="1:9">
      <c r="B13" s="20" t="s">
        <v>340</v>
      </c>
      <c r="C13" s="2"/>
      <c r="D13" s="2">
        <v>-502365.72</v>
      </c>
      <c r="E13" s="2"/>
      <c r="F13" s="2"/>
      <c r="G13" s="2"/>
      <c r="H13" s="2">
        <f>D13-F13</f>
        <v>-502365.72</v>
      </c>
      <c r="I13" s="2"/>
    </row>
    <row r="14" spans="1:9">
      <c r="B14" s="17"/>
      <c r="C14" s="2"/>
      <c r="D14" s="27"/>
      <c r="E14" s="2"/>
      <c r="F14" s="27"/>
      <c r="G14" s="2"/>
      <c r="H14" s="27"/>
      <c r="I14" s="56"/>
    </row>
    <row r="15" spans="1:9">
      <c r="B15" s="23" t="s">
        <v>353</v>
      </c>
      <c r="C15" s="2"/>
      <c r="D15" s="56">
        <f>+SUM(D7:D13)</f>
        <v>2142098190.3400004</v>
      </c>
      <c r="E15" s="2"/>
      <c r="F15" s="56">
        <f>SUM(F7:F13)</f>
        <v>2065208336.9350002</v>
      </c>
      <c r="G15" s="2"/>
      <c r="H15" s="56">
        <f>SUM(H7:H13)</f>
        <v>76889853.867999941</v>
      </c>
      <c r="I15" s="56"/>
    </row>
    <row r="16" spans="1:9">
      <c r="B16" s="17" t="s">
        <v>615</v>
      </c>
      <c r="C16" s="2"/>
      <c r="D16" s="27">
        <v>-204254654</v>
      </c>
      <c r="E16" s="2"/>
      <c r="F16" s="27">
        <v>9109547.3379999306</v>
      </c>
      <c r="G16" s="2"/>
      <c r="H16" s="27">
        <f>D16-F16</f>
        <v>-213364201.33799994</v>
      </c>
      <c r="I16" s="56"/>
    </row>
    <row r="17" spans="1:9">
      <c r="B17" s="23" t="s">
        <v>353</v>
      </c>
      <c r="C17" s="2"/>
      <c r="D17" s="56">
        <f>SUM(D15:D16)</f>
        <v>1937843536.3400004</v>
      </c>
      <c r="E17" s="2"/>
      <c r="F17" s="56">
        <f>SUM(F15:F16)</f>
        <v>2074317884.273</v>
      </c>
      <c r="G17" s="2"/>
      <c r="H17" s="56">
        <f>SUM(H15:H16)</f>
        <v>-136474347.47</v>
      </c>
      <c r="I17" s="56"/>
    </row>
    <row r="18" spans="1:9">
      <c r="B18" s="17"/>
      <c r="C18" s="2"/>
      <c r="D18" s="56"/>
      <c r="E18" s="2"/>
      <c r="F18" s="2"/>
      <c r="G18" s="2"/>
      <c r="H18" s="2"/>
      <c r="I18" s="2"/>
    </row>
    <row r="19" spans="1:9">
      <c r="B19" s="18" t="s">
        <v>411</v>
      </c>
      <c r="C19" s="2"/>
      <c r="D19" s="56"/>
      <c r="E19" s="2"/>
      <c r="F19" s="65"/>
      <c r="G19" s="2"/>
      <c r="H19" s="2"/>
      <c r="I19" s="2"/>
    </row>
    <row r="20" spans="1:9">
      <c r="A20" s="21">
        <v>56</v>
      </c>
      <c r="B20" s="20" t="s">
        <v>612</v>
      </c>
      <c r="C20" s="2"/>
      <c r="D20" s="2">
        <v>0</v>
      </c>
      <c r="E20" s="2"/>
      <c r="F20" s="2">
        <v>-60772164.894990899</v>
      </c>
      <c r="G20" s="2"/>
      <c r="H20" s="2">
        <f t="shared" ref="H20:H28" si="0">D20-F20</f>
        <v>60772164.894990899</v>
      </c>
      <c r="I20" s="2"/>
    </row>
    <row r="21" spans="1:9">
      <c r="B21" s="17" t="s">
        <v>410</v>
      </c>
      <c r="C21" s="2"/>
      <c r="D21" s="2">
        <v>-1025060</v>
      </c>
      <c r="E21" s="2"/>
      <c r="F21" s="56">
        <v>0</v>
      </c>
      <c r="G21" s="2"/>
      <c r="H21" s="56">
        <f>D21-F21</f>
        <v>-1025060</v>
      </c>
      <c r="I21" s="56"/>
    </row>
    <row r="22" spans="1:9">
      <c r="A22" s="21">
        <v>57</v>
      </c>
      <c r="B22" s="98" t="s">
        <v>334</v>
      </c>
      <c r="C22" s="2"/>
      <c r="D22" s="2">
        <v>-113080671</v>
      </c>
      <c r="E22" s="2"/>
      <c r="F22" s="56">
        <v>-114105731</v>
      </c>
      <c r="G22" s="2"/>
      <c r="H22" s="2">
        <f>D22-F22</f>
        <v>1025060</v>
      </c>
      <c r="I22" s="2"/>
    </row>
    <row r="23" spans="1:9">
      <c r="A23" s="21">
        <v>58</v>
      </c>
      <c r="B23" s="17" t="s">
        <v>535</v>
      </c>
      <c r="C23" s="2"/>
      <c r="D23" s="56">
        <v>-2950021</v>
      </c>
      <c r="E23" s="2"/>
      <c r="F23" s="56">
        <v>-341158</v>
      </c>
      <c r="G23" s="2"/>
      <c r="H23" s="56">
        <f>D23-F23</f>
        <v>-2608863</v>
      </c>
      <c r="I23" s="56"/>
    </row>
    <row r="24" spans="1:9">
      <c r="A24" s="21">
        <v>52</v>
      </c>
      <c r="B24" s="17" t="s">
        <v>687</v>
      </c>
      <c r="C24" s="2"/>
      <c r="D24" s="56">
        <v>0</v>
      </c>
      <c r="E24" s="2"/>
      <c r="F24" s="56">
        <v>10000000</v>
      </c>
      <c r="G24" s="2"/>
      <c r="H24" s="56">
        <f>D24-F24</f>
        <v>-10000000</v>
      </c>
      <c r="I24" s="56"/>
    </row>
    <row r="25" spans="1:9">
      <c r="A25" s="21" t="s">
        <v>686</v>
      </c>
      <c r="B25" s="17" t="s">
        <v>685</v>
      </c>
      <c r="C25" s="2"/>
      <c r="D25" s="56">
        <v>0</v>
      </c>
      <c r="E25" s="2"/>
      <c r="F25" s="56">
        <f>62538198-62538198</f>
        <v>0</v>
      </c>
      <c r="G25" s="2"/>
      <c r="H25" s="56">
        <f>D25-F25</f>
        <v>0</v>
      </c>
      <c r="I25" s="56"/>
    </row>
    <row r="26" spans="1:9">
      <c r="A26" s="21">
        <v>50</v>
      </c>
      <c r="B26" s="17" t="s">
        <v>682</v>
      </c>
      <c r="C26" s="2"/>
      <c r="D26" s="2">
        <v>18000000</v>
      </c>
      <c r="E26" s="2"/>
      <c r="F26" s="2">
        <v>18000000</v>
      </c>
      <c r="G26" s="2"/>
      <c r="H26" s="2">
        <f t="shared" si="0"/>
        <v>0</v>
      </c>
      <c r="I26" s="2"/>
    </row>
    <row r="27" spans="1:9">
      <c r="A27" s="21">
        <v>18</v>
      </c>
      <c r="B27" s="17" t="s">
        <v>683</v>
      </c>
      <c r="C27" s="2"/>
      <c r="D27" s="2"/>
      <c r="E27" s="2"/>
      <c r="F27" s="2">
        <v>18200755</v>
      </c>
      <c r="G27" s="2"/>
      <c r="H27" s="2">
        <f t="shared" si="0"/>
        <v>-18200755</v>
      </c>
      <c r="I27" s="2"/>
    </row>
    <row r="28" spans="1:9">
      <c r="A28" s="21">
        <v>49</v>
      </c>
      <c r="B28" s="17" t="s">
        <v>684</v>
      </c>
      <c r="C28" s="2"/>
      <c r="D28" s="2"/>
      <c r="E28" s="2"/>
      <c r="F28" s="2">
        <v>-127654870</v>
      </c>
      <c r="G28" s="2"/>
      <c r="H28" s="2">
        <f t="shared" si="0"/>
        <v>127654870</v>
      </c>
      <c r="I28" s="2"/>
    </row>
    <row r="29" spans="1:9">
      <c r="A29" s="21">
        <v>55</v>
      </c>
      <c r="B29" s="17" t="s">
        <v>688</v>
      </c>
      <c r="C29" s="2"/>
      <c r="D29" s="27"/>
      <c r="E29" s="2"/>
      <c r="F29" s="27">
        <v>54614594.964151755</v>
      </c>
      <c r="G29" s="2"/>
      <c r="H29" s="27">
        <f>D29-F29</f>
        <v>-54614594.964151755</v>
      </c>
      <c r="I29" s="2"/>
    </row>
    <row r="30" spans="1:9">
      <c r="B30" s="66" t="s">
        <v>337</v>
      </c>
      <c r="C30" s="2"/>
      <c r="D30" s="2">
        <f>SUM(D20:D29)</f>
        <v>-99055752</v>
      </c>
      <c r="E30" s="2"/>
      <c r="F30" s="2">
        <f>SUM(F20:F29)</f>
        <v>-202058573.93083912</v>
      </c>
      <c r="G30" s="2"/>
      <c r="H30" s="2">
        <f>SUM(H20:H29)</f>
        <v>103002821.93083914</v>
      </c>
      <c r="I30" s="2"/>
    </row>
    <row r="31" spans="1:9" ht="15.75" thickBot="1">
      <c r="B31" s="67"/>
      <c r="C31" s="68"/>
      <c r="D31" s="68"/>
      <c r="E31" s="68"/>
      <c r="F31" s="68"/>
      <c r="G31" s="68"/>
      <c r="H31" s="68"/>
      <c r="I31" s="56"/>
    </row>
    <row r="32" spans="1:9">
      <c r="B32" s="69" t="s">
        <v>354</v>
      </c>
      <c r="C32" s="70"/>
      <c r="D32" s="70">
        <f>D17+D30</f>
        <v>1838787784.3400004</v>
      </c>
      <c r="E32" s="70"/>
      <c r="F32" s="70">
        <f>F17+F30</f>
        <v>1872259310.3421609</v>
      </c>
      <c r="G32" s="70"/>
      <c r="H32" s="70">
        <f>H17+H30</f>
        <v>-33471525.539160863</v>
      </c>
      <c r="I32" s="70"/>
    </row>
    <row r="33" spans="2:9">
      <c r="C33" s="2"/>
      <c r="D33" s="2"/>
      <c r="E33" s="2"/>
      <c r="F33" s="2"/>
      <c r="G33" s="2"/>
      <c r="H33" s="2"/>
      <c r="I33" s="2"/>
    </row>
    <row r="34" spans="2:9">
      <c r="B34" s="66"/>
      <c r="C34" s="2"/>
      <c r="D34" s="56"/>
      <c r="E34" s="32"/>
      <c r="F34" s="56"/>
      <c r="I34" s="2"/>
    </row>
    <row r="35" spans="2:9">
      <c r="C35" s="2"/>
      <c r="D35" s="99"/>
      <c r="E35" s="32"/>
      <c r="F35" s="99"/>
      <c r="I35" s="2"/>
    </row>
    <row r="36" spans="2:9">
      <c r="C36" s="2"/>
      <c r="D36" s="56"/>
      <c r="E36" s="56"/>
      <c r="F36" s="56"/>
      <c r="G36" s="2"/>
      <c r="I36" s="2"/>
    </row>
    <row r="37" spans="2:9">
      <c r="C37" s="2"/>
      <c r="D37" s="56"/>
      <c r="E37" s="56"/>
      <c r="F37" s="56"/>
      <c r="G37" s="2"/>
      <c r="I37" s="2"/>
    </row>
    <row r="38" spans="2:9">
      <c r="C38" s="2"/>
      <c r="D38" s="95"/>
      <c r="E38" s="2"/>
      <c r="F38" s="95"/>
      <c r="G38" s="2"/>
      <c r="H38" s="2"/>
      <c r="I38" s="2"/>
    </row>
    <row r="39" spans="2:9">
      <c r="C39" s="2"/>
      <c r="D39" s="2"/>
      <c r="E39" s="2"/>
      <c r="F39" s="2"/>
      <c r="G39" s="2"/>
      <c r="H39" s="2"/>
      <c r="I39" s="2"/>
    </row>
    <row r="40" spans="2:9">
      <c r="C40" s="2"/>
      <c r="D40" s="2"/>
      <c r="E40" s="2"/>
      <c r="F40" s="2"/>
      <c r="G40" s="2"/>
      <c r="H40" s="2"/>
      <c r="I40" s="2"/>
    </row>
    <row r="41" spans="2:9">
      <c r="C41" s="2"/>
      <c r="D41" s="2"/>
      <c r="E41" s="2"/>
      <c r="F41" s="2"/>
      <c r="G41" s="2"/>
      <c r="H41" s="2"/>
      <c r="I41" s="2"/>
    </row>
    <row r="42" spans="2:9">
      <c r="C42" s="2"/>
      <c r="D42" s="2"/>
      <c r="E42" s="2"/>
      <c r="F42" s="2"/>
      <c r="G42" s="2"/>
      <c r="H42" s="2"/>
      <c r="I42" s="2"/>
    </row>
    <row r="43" spans="2:9">
      <c r="C43" s="2"/>
      <c r="D43" s="2"/>
      <c r="E43" s="2"/>
      <c r="F43" s="2"/>
      <c r="G43" s="2"/>
      <c r="H43" s="2"/>
      <c r="I43" s="2"/>
    </row>
    <row r="44" spans="2:9">
      <c r="C44" s="2"/>
      <c r="D44" s="2"/>
      <c r="E44" s="2"/>
      <c r="F44" s="2"/>
      <c r="G44" s="2"/>
      <c r="H44" s="2"/>
      <c r="I44" s="2"/>
    </row>
    <row r="45" spans="2:9">
      <c r="C45" s="2"/>
      <c r="D45" s="2"/>
      <c r="E45" s="2"/>
      <c r="F45" s="2"/>
      <c r="G45" s="2"/>
      <c r="H45" s="2"/>
      <c r="I45" s="2"/>
    </row>
    <row r="46" spans="2:9">
      <c r="C46" s="2"/>
      <c r="D46" s="2"/>
      <c r="E46" s="2"/>
      <c r="F46" s="2"/>
      <c r="G46" s="2"/>
      <c r="H46" s="2"/>
      <c r="I46" s="2"/>
    </row>
    <row r="47" spans="2:9">
      <c r="C47" s="2"/>
      <c r="D47" s="2"/>
      <c r="E47" s="2"/>
      <c r="F47" s="2"/>
      <c r="G47" s="2"/>
      <c r="H47" s="2"/>
      <c r="I47" s="2"/>
    </row>
    <row r="48" spans="2:9">
      <c r="C48" s="2"/>
      <c r="D48" s="2"/>
      <c r="E48" s="2"/>
      <c r="F48" s="2"/>
      <c r="G48" s="2"/>
      <c r="H48" s="2"/>
      <c r="I48" s="2"/>
    </row>
    <row r="49" spans="3:9">
      <c r="C49" s="2"/>
      <c r="D49" s="2"/>
      <c r="E49" s="2"/>
      <c r="F49" s="2"/>
      <c r="G49" s="2"/>
      <c r="H49" s="2"/>
      <c r="I49" s="2"/>
    </row>
    <row r="50" spans="3:9">
      <c r="C50" s="2"/>
      <c r="D50" s="2"/>
      <c r="E50" s="2"/>
      <c r="F50" s="2"/>
      <c r="G50" s="2"/>
      <c r="H50" s="2"/>
      <c r="I50" s="2"/>
    </row>
    <row r="51" spans="3:9">
      <c r="C51" s="2"/>
      <c r="D51" s="2"/>
      <c r="E51" s="2"/>
      <c r="F51" s="2"/>
      <c r="G51" s="2"/>
      <c r="H51" s="2"/>
      <c r="I51" s="2"/>
    </row>
    <row r="52" spans="3:9">
      <c r="C52" s="2"/>
      <c r="D52" s="2"/>
      <c r="E52" s="2"/>
      <c r="F52" s="2"/>
      <c r="G52" s="2"/>
      <c r="H52" s="2"/>
      <c r="I52" s="2"/>
    </row>
    <row r="53" spans="3:9">
      <c r="C53" s="2"/>
      <c r="D53" s="2"/>
      <c r="E53" s="2"/>
      <c r="F53" s="2"/>
      <c r="G53" s="2"/>
      <c r="H53" s="2"/>
      <c r="I53" s="2"/>
    </row>
    <row r="54" spans="3:9">
      <c r="C54" s="2"/>
      <c r="D54" s="2"/>
      <c r="E54" s="2"/>
      <c r="F54" s="2"/>
      <c r="G54" s="2"/>
      <c r="H54" s="2"/>
      <c r="I54" s="2"/>
    </row>
    <row r="55" spans="3:9">
      <c r="C55" s="2"/>
      <c r="D55" s="2"/>
      <c r="E55" s="2"/>
      <c r="F55" s="2"/>
      <c r="G55" s="2"/>
      <c r="H55" s="2"/>
      <c r="I55" s="2"/>
    </row>
    <row r="56" spans="3:9">
      <c r="C56" s="2"/>
      <c r="D56" s="2"/>
      <c r="E56" s="2"/>
      <c r="F56" s="2"/>
      <c r="G56" s="2"/>
      <c r="H56" s="2"/>
      <c r="I56" s="2"/>
    </row>
    <row r="57" spans="3:9">
      <c r="C57" s="2"/>
      <c r="D57" s="2"/>
      <c r="E57" s="2"/>
      <c r="F57" s="2"/>
      <c r="G57" s="2"/>
      <c r="H57" s="2"/>
      <c r="I57" s="2"/>
    </row>
    <row r="58" spans="3:9">
      <c r="C58" s="2"/>
      <c r="D58" s="2"/>
      <c r="E58" s="2"/>
      <c r="F58" s="2"/>
      <c r="G58" s="2"/>
      <c r="H58" s="2"/>
      <c r="I58" s="2"/>
    </row>
    <row r="59" spans="3:9">
      <c r="C59" s="2"/>
      <c r="D59" s="2"/>
      <c r="E59" s="2"/>
      <c r="F59" s="2"/>
      <c r="G59" s="2"/>
      <c r="H59" s="2"/>
      <c r="I59" s="2"/>
    </row>
    <row r="60" spans="3:9">
      <c r="C60" s="2"/>
      <c r="D60" s="2"/>
      <c r="E60" s="2"/>
      <c r="F60" s="2"/>
      <c r="G60" s="2"/>
      <c r="H60" s="2"/>
      <c r="I60" s="2"/>
    </row>
    <row r="61" spans="3:9">
      <c r="C61" s="2"/>
      <c r="D61" s="2"/>
      <c r="E61" s="2"/>
      <c r="F61" s="2"/>
      <c r="G61" s="2"/>
      <c r="H61" s="2"/>
      <c r="I61" s="2"/>
    </row>
    <row r="62" spans="3:9">
      <c r="C62" s="2"/>
      <c r="D62" s="2"/>
      <c r="E62" s="2"/>
      <c r="F62" s="2"/>
      <c r="G62" s="2"/>
      <c r="H62" s="2"/>
      <c r="I62" s="2"/>
    </row>
    <row r="63" spans="3:9">
      <c r="C63" s="2"/>
      <c r="D63" s="2"/>
      <c r="E63" s="2"/>
      <c r="F63" s="2"/>
      <c r="G63" s="2"/>
      <c r="H63" s="2"/>
      <c r="I63" s="2"/>
    </row>
    <row r="64" spans="3:9">
      <c r="C64" s="2"/>
      <c r="D64" s="2"/>
      <c r="E64" s="2"/>
      <c r="F64" s="2"/>
      <c r="G64" s="2"/>
      <c r="H64" s="2"/>
      <c r="I64" s="2"/>
    </row>
    <row r="65" spans="3:9">
      <c r="C65" s="2"/>
      <c r="D65" s="2"/>
      <c r="E65" s="2"/>
      <c r="F65" s="2"/>
      <c r="G65" s="2"/>
      <c r="H65" s="2"/>
      <c r="I65" s="2"/>
    </row>
    <row r="66" spans="3:9">
      <c r="C66" s="2"/>
      <c r="D66" s="2"/>
      <c r="E66" s="2"/>
      <c r="F66" s="2"/>
      <c r="G66" s="2"/>
      <c r="H66" s="2"/>
      <c r="I66" s="2"/>
    </row>
    <row r="67" spans="3:9">
      <c r="C67" s="2"/>
      <c r="D67" s="2"/>
      <c r="E67" s="2"/>
      <c r="F67" s="2"/>
      <c r="G67" s="2"/>
      <c r="H67" s="2"/>
      <c r="I67" s="2"/>
    </row>
    <row r="68" spans="3:9">
      <c r="C68" s="2"/>
      <c r="D68" s="2"/>
      <c r="E68" s="2"/>
      <c r="F68" s="2"/>
      <c r="G68" s="2"/>
      <c r="H68" s="2"/>
      <c r="I68" s="2"/>
    </row>
    <row r="69" spans="3:9">
      <c r="C69" s="2"/>
      <c r="D69" s="2"/>
      <c r="E69" s="2"/>
      <c r="F69" s="2"/>
      <c r="G69" s="2"/>
      <c r="H69" s="2"/>
      <c r="I69" s="2"/>
    </row>
    <row r="70" spans="3:9">
      <c r="C70" s="2"/>
      <c r="D70" s="2"/>
      <c r="E70" s="2"/>
      <c r="F70" s="2"/>
      <c r="G70" s="2"/>
      <c r="H70" s="2"/>
      <c r="I70" s="2"/>
    </row>
    <row r="71" spans="3:9">
      <c r="C71" s="2"/>
      <c r="D71" s="2"/>
      <c r="E71" s="2"/>
      <c r="F71" s="2"/>
      <c r="G71" s="2"/>
      <c r="H71" s="2"/>
      <c r="I71" s="2"/>
    </row>
    <row r="72" spans="3:9">
      <c r="C72" s="2"/>
      <c r="D72" s="2"/>
      <c r="E72" s="2"/>
      <c r="F72" s="2"/>
      <c r="G72" s="2"/>
      <c r="H72" s="2"/>
      <c r="I72" s="2"/>
    </row>
    <row r="73" spans="3:9">
      <c r="C73" s="2"/>
      <c r="D73" s="2"/>
      <c r="E73" s="2"/>
      <c r="F73" s="2"/>
      <c r="G73" s="2"/>
      <c r="H73" s="2"/>
      <c r="I73" s="2"/>
    </row>
    <row r="74" spans="3:9">
      <c r="C74" s="2"/>
      <c r="D74" s="2"/>
      <c r="E74" s="2"/>
      <c r="F74" s="2"/>
      <c r="G74" s="2"/>
      <c r="H74" s="2"/>
      <c r="I74" s="2"/>
    </row>
    <row r="75" spans="3:9">
      <c r="C75" s="2"/>
      <c r="D75" s="2"/>
      <c r="E75" s="2"/>
      <c r="F75" s="2"/>
      <c r="G75" s="2"/>
      <c r="H75" s="2"/>
      <c r="I75" s="2"/>
    </row>
    <row r="76" spans="3:9">
      <c r="C76" s="2"/>
      <c r="D76" s="2"/>
      <c r="E76" s="2"/>
      <c r="F76" s="2"/>
      <c r="G76" s="2"/>
      <c r="H76" s="2"/>
      <c r="I76" s="2"/>
    </row>
    <row r="77" spans="3:9">
      <c r="C77" s="2"/>
      <c r="D77" s="2"/>
      <c r="E77" s="2"/>
      <c r="F77" s="2"/>
      <c r="G77" s="2"/>
      <c r="H77" s="2"/>
      <c r="I77" s="2"/>
    </row>
    <row r="78" spans="3:9">
      <c r="C78" s="2"/>
      <c r="D78" s="2"/>
      <c r="E78" s="2"/>
      <c r="F78" s="2"/>
      <c r="G78" s="2"/>
      <c r="H78" s="2"/>
      <c r="I78" s="2"/>
    </row>
  </sheetData>
  <pageMargins left="0.45" right="0.45" top="0.5" bottom="0.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6"/>
  <sheetViews>
    <sheetView tabSelected="1" view="pageBreakPreview" zoomScale="60" zoomScaleNormal="100" workbookViewId="0">
      <selection activeCell="M19" sqref="M18:M19"/>
    </sheetView>
  </sheetViews>
  <sheetFormatPr defaultColWidth="8.85546875" defaultRowHeight="12.75"/>
  <cols>
    <col min="1" max="1" width="6.7109375" style="28" customWidth="1"/>
    <col min="2" max="2" width="40.28515625" style="28" bestFit="1" customWidth="1"/>
    <col min="3" max="3" width="36.85546875" style="28" bestFit="1" customWidth="1"/>
    <col min="4" max="4" width="21.7109375" style="28" customWidth="1"/>
    <col min="5" max="5" width="15.5703125" style="28" bestFit="1" customWidth="1"/>
    <col min="6" max="16384" width="8.85546875" style="28"/>
  </cols>
  <sheetData>
    <row r="1" spans="1:4" ht="15" customHeight="1">
      <c r="A1" s="103" t="s">
        <v>412</v>
      </c>
      <c r="B1" s="103"/>
      <c r="C1" s="103"/>
      <c r="D1" s="103"/>
    </row>
    <row r="4" spans="1:4">
      <c r="A4" s="63" t="s">
        <v>413</v>
      </c>
    </row>
    <row r="5" spans="1:4">
      <c r="A5" s="63" t="s">
        <v>414</v>
      </c>
      <c r="B5" s="84" t="s">
        <v>415</v>
      </c>
      <c r="C5" s="84"/>
    </row>
    <row r="9" spans="1:4">
      <c r="A9" s="63">
        <v>1</v>
      </c>
      <c r="B9" s="28" t="s">
        <v>420</v>
      </c>
      <c r="C9" s="28" t="s">
        <v>428</v>
      </c>
      <c r="D9" s="100">
        <v>1838787783.5246</v>
      </c>
    </row>
    <row r="10" spans="1:4">
      <c r="A10" s="63"/>
    </row>
    <row r="11" spans="1:4">
      <c r="A11" s="63">
        <f>A9+1</f>
        <v>2</v>
      </c>
      <c r="B11" s="28" t="s">
        <v>416</v>
      </c>
      <c r="C11" s="28" t="s">
        <v>429</v>
      </c>
      <c r="D11" s="100">
        <v>1872259309.9011605</v>
      </c>
    </row>
    <row r="12" spans="1:4">
      <c r="A12" s="63">
        <f>A11+1</f>
        <v>3</v>
      </c>
      <c r="B12" s="28" t="s">
        <v>426</v>
      </c>
      <c r="D12" s="42">
        <f>D9-D11</f>
        <v>-33471526.37656045</v>
      </c>
    </row>
    <row r="13" spans="1:4">
      <c r="D13" s="43"/>
    </row>
    <row r="15" spans="1:4">
      <c r="B15" s="101" t="s">
        <v>422</v>
      </c>
      <c r="C15" s="102"/>
      <c r="D15" s="102"/>
    </row>
    <row r="16" spans="1:4">
      <c r="B16" s="85" t="s">
        <v>350</v>
      </c>
      <c r="C16" s="96"/>
      <c r="D16" s="96"/>
    </row>
    <row r="17" spans="1:4">
      <c r="A17" s="63">
        <f>A12+1</f>
        <v>4</v>
      </c>
      <c r="B17" s="28" t="s">
        <v>445</v>
      </c>
      <c r="D17" s="44">
        <f>'Balance Sheet Detail'!K31</f>
        <v>0</v>
      </c>
    </row>
    <row r="18" spans="1:4">
      <c r="A18" s="63">
        <f>A17+1</f>
        <v>5</v>
      </c>
      <c r="B18" s="28" t="s">
        <v>356</v>
      </c>
      <c r="D18" s="44">
        <f>'Balance Sheet Detail'!K66</f>
        <v>48750389.142999999</v>
      </c>
    </row>
    <row r="19" spans="1:4">
      <c r="A19" s="63">
        <f t="shared" ref="A19:A27" si="0">A18+1</f>
        <v>6</v>
      </c>
      <c r="B19" s="28" t="s">
        <v>36</v>
      </c>
      <c r="D19" s="44">
        <f>'Balance Sheet Detail'!K77</f>
        <v>1128688.4400000002</v>
      </c>
    </row>
    <row r="20" spans="1:4">
      <c r="A20" s="63">
        <f t="shared" si="0"/>
        <v>7</v>
      </c>
      <c r="B20" s="28" t="s">
        <v>417</v>
      </c>
      <c r="D20" s="44">
        <f>'Balance Sheet Detail'!K121</f>
        <v>35538556.274000004</v>
      </c>
    </row>
    <row r="21" spans="1:4">
      <c r="A21" s="63">
        <f t="shared" si="0"/>
        <v>8</v>
      </c>
      <c r="B21" s="28" t="s">
        <v>83</v>
      </c>
      <c r="D21" s="44">
        <f>'Balance Sheet Detail'!K152</f>
        <v>-4325040.7000000011</v>
      </c>
    </row>
    <row r="22" spans="1:4">
      <c r="A22" s="63">
        <f t="shared" si="0"/>
        <v>9</v>
      </c>
      <c r="B22" s="28" t="s">
        <v>418</v>
      </c>
      <c r="D22" s="44">
        <f>'Balance Sheet Detail'!K156</f>
        <v>3015258.43</v>
      </c>
    </row>
    <row r="23" spans="1:4">
      <c r="A23" s="63">
        <f t="shared" si="0"/>
        <v>10</v>
      </c>
      <c r="B23" s="28" t="s">
        <v>446</v>
      </c>
      <c r="D23" s="44">
        <f>'Balance Sheet Detail'!K176</f>
        <v>-52604786.543000005</v>
      </c>
    </row>
    <row r="24" spans="1:4">
      <c r="A24" s="63">
        <f t="shared" si="0"/>
        <v>11</v>
      </c>
      <c r="B24" s="28" t="s">
        <v>431</v>
      </c>
      <c r="D24" s="44">
        <f>'Balance Sheet Detail'!K245</f>
        <v>741366386.10599995</v>
      </c>
    </row>
    <row r="25" spans="1:4">
      <c r="A25" s="63">
        <f t="shared" ref="A25:A26" si="1">A24+1</f>
        <v>12</v>
      </c>
      <c r="B25" s="28" t="s">
        <v>454</v>
      </c>
      <c r="D25" s="44">
        <f>'Balance Sheet Detail'!K249+'Balance Sheet Detail'!K254</f>
        <v>3957052.47</v>
      </c>
    </row>
    <row r="26" spans="1:4">
      <c r="A26" s="63">
        <f t="shared" si="1"/>
        <v>13</v>
      </c>
      <c r="B26" s="28" t="s">
        <v>145</v>
      </c>
      <c r="D26" s="44">
        <f>'Balance Sheet Detail'!K279+'Balance Sheet Detail'!K257</f>
        <v>24339118.697000001</v>
      </c>
    </row>
    <row r="27" spans="1:4">
      <c r="A27" s="63">
        <f t="shared" si="0"/>
        <v>14</v>
      </c>
      <c r="B27" s="28" t="s">
        <v>152</v>
      </c>
      <c r="D27" s="45">
        <f>'Balance Sheet Detail'!K289</f>
        <v>49778732.989999995</v>
      </c>
    </row>
    <row r="28" spans="1:4">
      <c r="A28" s="63">
        <f>A27+1</f>
        <v>15</v>
      </c>
      <c r="B28" s="28" t="s">
        <v>456</v>
      </c>
      <c r="D28" s="44">
        <f>SUM(D17:D27)</f>
        <v>850944355.30700004</v>
      </c>
    </row>
    <row r="29" spans="1:4">
      <c r="A29" s="63"/>
      <c r="D29" s="44">
        <f>SUM(D19:D28)</f>
        <v>1653138321.4710002</v>
      </c>
    </row>
    <row r="30" spans="1:4">
      <c r="A30" s="63"/>
      <c r="B30" s="86" t="s">
        <v>430</v>
      </c>
    </row>
    <row r="31" spans="1:4">
      <c r="A31" s="63">
        <f>A28+1</f>
        <v>16</v>
      </c>
      <c r="B31" s="28" t="s">
        <v>447</v>
      </c>
      <c r="D31" s="44">
        <f>'Balance Sheet Detail'!K319</f>
        <v>564968.75</v>
      </c>
    </row>
    <row r="32" spans="1:4">
      <c r="A32" s="63">
        <f t="shared" ref="A32:A44" si="2">+A31+1</f>
        <v>17</v>
      </c>
      <c r="B32" s="28" t="s">
        <v>449</v>
      </c>
      <c r="D32" s="44">
        <f>'Balance Sheet Detail'!K328</f>
        <v>-4060462.9</v>
      </c>
    </row>
    <row r="33" spans="1:4">
      <c r="A33" s="63">
        <f t="shared" si="2"/>
        <v>18</v>
      </c>
      <c r="B33" s="28" t="s">
        <v>448</v>
      </c>
      <c r="D33" s="44">
        <f>'Balance Sheet Detail'!K348</f>
        <v>-99978612.150000006</v>
      </c>
    </row>
    <row r="34" spans="1:4">
      <c r="A34" s="63">
        <f t="shared" si="2"/>
        <v>19</v>
      </c>
      <c r="B34" s="28" t="s">
        <v>419</v>
      </c>
      <c r="D34" s="44">
        <f>'Balance Sheet Detail'!K372+'Balance Sheet Detail'!K383</f>
        <v>-112514279.41999999</v>
      </c>
    </row>
    <row r="35" spans="1:4">
      <c r="A35" s="63">
        <f t="shared" si="2"/>
        <v>20</v>
      </c>
      <c r="B35" s="28" t="s">
        <v>450</v>
      </c>
      <c r="D35" s="44">
        <f>'Balance Sheet Detail'!K386</f>
        <v>0</v>
      </c>
    </row>
    <row r="36" spans="1:4">
      <c r="A36" s="63">
        <f t="shared" si="2"/>
        <v>21</v>
      </c>
      <c r="B36" s="28" t="s">
        <v>236</v>
      </c>
      <c r="D36" s="44">
        <f>'Balance Sheet Detail'!K442</f>
        <v>-24486480.424999993</v>
      </c>
    </row>
    <row r="37" spans="1:4">
      <c r="A37" s="63">
        <f t="shared" ref="A37" si="3">+A36+1</f>
        <v>22</v>
      </c>
      <c r="B37" s="28" t="s">
        <v>244</v>
      </c>
      <c r="D37" s="44">
        <f>'Balance Sheet Detail'!K452</f>
        <v>-14731344.454000002</v>
      </c>
    </row>
    <row r="38" spans="1:4">
      <c r="A38" s="63">
        <f t="shared" si="2"/>
        <v>23</v>
      </c>
      <c r="B38" s="28" t="s">
        <v>451</v>
      </c>
      <c r="D38" s="44">
        <f>'Balance Sheet Detail'!K458</f>
        <v>-621646.48</v>
      </c>
    </row>
    <row r="39" spans="1:4">
      <c r="A39" s="63">
        <f t="shared" si="2"/>
        <v>24</v>
      </c>
      <c r="B39" s="28" t="s">
        <v>452</v>
      </c>
      <c r="D39" s="44">
        <f>'Balance Sheet Detail'!K464-'Balance Sheet Detail'!K461-'Balance Sheet Detail'!K463</f>
        <v>-43669.470000000016</v>
      </c>
    </row>
    <row r="40" spans="1:4">
      <c r="A40" s="63">
        <f t="shared" si="2"/>
        <v>25</v>
      </c>
      <c r="B40" s="28" t="s">
        <v>292</v>
      </c>
      <c r="D40" s="44">
        <f>'Balance Sheet Detail'!K517</f>
        <v>-10553622</v>
      </c>
    </row>
    <row r="41" spans="1:4">
      <c r="A41" s="63">
        <f t="shared" si="2"/>
        <v>26</v>
      </c>
      <c r="B41" s="28" t="s">
        <v>300</v>
      </c>
      <c r="D41" s="44">
        <f>'Balance Sheet Detail'!K531</f>
        <v>-83417723.450000003</v>
      </c>
    </row>
    <row r="42" spans="1:4">
      <c r="A42" s="63">
        <f t="shared" si="2"/>
        <v>27</v>
      </c>
      <c r="B42" s="28" t="s">
        <v>311</v>
      </c>
      <c r="D42" s="44">
        <f>'Balance Sheet Detail'!K551</f>
        <v>-116900881.508</v>
      </c>
    </row>
    <row r="43" spans="1:4">
      <c r="A43" s="63">
        <f t="shared" si="2"/>
        <v>28</v>
      </c>
      <c r="B43" s="28" t="s">
        <v>316</v>
      </c>
      <c r="D43" s="45">
        <f>'Balance Sheet Detail'!K574</f>
        <v>-11314267.942000002</v>
      </c>
    </row>
    <row r="44" spans="1:4">
      <c r="A44" s="63">
        <f t="shared" si="2"/>
        <v>29</v>
      </c>
      <c r="B44" s="28" t="s">
        <v>457</v>
      </c>
      <c r="D44" s="46">
        <f>SUM(D31:D43)</f>
        <v>-478058021.449</v>
      </c>
    </row>
    <row r="45" spans="1:4" ht="13.5" thickBot="1">
      <c r="A45" s="63"/>
      <c r="D45" s="47"/>
    </row>
    <row r="46" spans="1:4">
      <c r="A46" s="63">
        <f>+A44+1</f>
        <v>30</v>
      </c>
      <c r="B46" s="28" t="s">
        <v>453</v>
      </c>
      <c r="D46" s="48">
        <f>D28+D44</f>
        <v>372886333.85800004</v>
      </c>
    </row>
    <row r="47" spans="1:4">
      <c r="A47" s="63"/>
      <c r="D47" s="49"/>
    </row>
    <row r="48" spans="1:4">
      <c r="A48" s="63"/>
      <c r="D48" s="44"/>
    </row>
    <row r="49" spans="1:4">
      <c r="A49" s="63">
        <v>31</v>
      </c>
      <c r="B49" s="28" t="s">
        <v>616</v>
      </c>
      <c r="C49" s="28" t="s">
        <v>618</v>
      </c>
      <c r="D49" s="50">
        <f>'Balance Sheet Detail'!I579</f>
        <v>-7263290.0999999996</v>
      </c>
    </row>
    <row r="50" spans="1:4">
      <c r="A50" s="63">
        <f>A49+1</f>
        <v>32</v>
      </c>
      <c r="B50" s="28" t="s">
        <v>619</v>
      </c>
      <c r="D50" s="51">
        <f>D48-D49</f>
        <v>7263290.0999999996</v>
      </c>
    </row>
    <row r="51" spans="1:4">
      <c r="A51" s="63"/>
      <c r="D51" s="51"/>
    </row>
    <row r="52" spans="1:4">
      <c r="A52" s="63">
        <f>A50+1</f>
        <v>33</v>
      </c>
      <c r="B52" s="87" t="s">
        <v>458</v>
      </c>
      <c r="D52" s="52">
        <f>D46+D50</f>
        <v>380149623.95800006</v>
      </c>
    </row>
    <row r="53" spans="1:4">
      <c r="A53" s="63"/>
    </row>
    <row r="54" spans="1:4">
      <c r="A54" s="63"/>
      <c r="B54" s="87" t="s">
        <v>421</v>
      </c>
    </row>
    <row r="55" spans="1:4">
      <c r="A55" s="63">
        <f>A52+1</f>
        <v>34</v>
      </c>
      <c r="B55" s="28" t="s">
        <v>427</v>
      </c>
      <c r="D55" s="44">
        <f>SUM('Summary Sheet'!H10:H13)</f>
        <v>-303259770.09000003</v>
      </c>
    </row>
    <row r="56" spans="1:4">
      <c r="A56" s="63">
        <f t="shared" ref="A56:A59" si="4">+A55+1</f>
        <v>35</v>
      </c>
      <c r="B56" s="28" t="s">
        <v>423</v>
      </c>
      <c r="D56" s="44">
        <f>'Summary Sheet'!H16</f>
        <v>-213364201.33799994</v>
      </c>
    </row>
    <row r="57" spans="1:4">
      <c r="A57" s="63">
        <f t="shared" si="4"/>
        <v>36</v>
      </c>
      <c r="B57" s="28" t="s">
        <v>424</v>
      </c>
      <c r="D57" s="44">
        <f>SUM('Summary Sheet'!H20:H20)</f>
        <v>60772164.894990899</v>
      </c>
    </row>
    <row r="58" spans="1:4">
      <c r="A58" s="63">
        <f t="shared" si="4"/>
        <v>37</v>
      </c>
      <c r="B58" s="28" t="s">
        <v>425</v>
      </c>
      <c r="D58" s="45">
        <f>SUM('Summary Sheet'!H21:H29)</f>
        <v>42230657.035848245</v>
      </c>
    </row>
    <row r="59" spans="1:4">
      <c r="A59" s="63">
        <f t="shared" si="4"/>
        <v>38</v>
      </c>
      <c r="B59" s="28" t="s">
        <v>617</v>
      </c>
      <c r="D59" s="44">
        <f>SUM(D55:D58)</f>
        <v>-413621149.49716079</v>
      </c>
    </row>
    <row r="60" spans="1:4">
      <c r="A60" s="63"/>
    </row>
    <row r="61" spans="1:4" ht="13.5" thickBot="1">
      <c r="A61" s="63">
        <f>A59+1</f>
        <v>39</v>
      </c>
      <c r="B61" s="87" t="s">
        <v>459</v>
      </c>
      <c r="D61" s="53">
        <f>D52+D59</f>
        <v>-33471525.539160728</v>
      </c>
    </row>
    <row r="62" spans="1:4" ht="13.5" thickTop="1">
      <c r="A62" s="63"/>
    </row>
    <row r="63" spans="1:4">
      <c r="A63" s="63"/>
    </row>
    <row r="64" spans="1:4">
      <c r="D64" s="62"/>
    </row>
    <row r="65" spans="4:4">
      <c r="D65" s="51"/>
    </row>
    <row r="66" spans="4:4">
      <c r="D66" s="62"/>
    </row>
  </sheetData>
  <mergeCells count="2">
    <mergeCell ref="B15:D15"/>
    <mergeCell ref="A1:D1"/>
  </mergeCells>
  <pageMargins left="0.45" right="0.45" top="0.5" bottom="0.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85"/>
  <sheetViews>
    <sheetView tabSelected="1" view="pageBreakPreview" zoomScale="60" zoomScaleNormal="80" workbookViewId="0">
      <selection activeCell="M19" sqref="M18:M19"/>
    </sheetView>
  </sheetViews>
  <sheetFormatPr defaultColWidth="9.140625" defaultRowHeight="15"/>
  <cols>
    <col min="1" max="1" width="11.140625" style="57" bestFit="1" customWidth="1"/>
    <col min="2" max="2" width="41.5703125" style="1" bestFit="1" customWidth="1"/>
    <col min="3" max="3" width="20.85546875" style="3" bestFit="1" customWidth="1"/>
    <col min="4" max="4" width="2.7109375" style="1" customWidth="1"/>
    <col min="5" max="5" width="19.28515625" style="10" bestFit="1" customWidth="1"/>
    <col min="6" max="6" width="2.7109375" style="10" customWidth="1"/>
    <col min="7" max="7" width="18.7109375" style="10" bestFit="1" customWidth="1"/>
    <col min="8" max="8" width="2.7109375" style="10" customWidth="1"/>
    <col min="9" max="9" width="19.28515625" style="10" bestFit="1" customWidth="1"/>
    <col min="10" max="10" width="2.7109375" style="72" customWidth="1"/>
    <col min="11" max="11" width="17.140625" style="10" bestFit="1" customWidth="1"/>
    <col min="12" max="16384" width="9.140625" style="1"/>
  </cols>
  <sheetData>
    <row r="1" spans="1:11">
      <c r="C1" s="7" t="s">
        <v>348</v>
      </c>
      <c r="E1" s="12" t="s">
        <v>342</v>
      </c>
      <c r="G1" s="22" t="s">
        <v>346</v>
      </c>
      <c r="I1" s="9" t="s">
        <v>342</v>
      </c>
      <c r="K1" s="12" t="s">
        <v>344</v>
      </c>
    </row>
    <row r="2" spans="1:11">
      <c r="B2" s="10"/>
      <c r="C2" s="7" t="s">
        <v>349</v>
      </c>
      <c r="E2" s="12" t="s">
        <v>341</v>
      </c>
      <c r="G2" s="12" t="s">
        <v>347</v>
      </c>
      <c r="I2" s="12" t="s">
        <v>343</v>
      </c>
      <c r="K2" s="12" t="s">
        <v>345</v>
      </c>
    </row>
    <row r="3" spans="1:11" s="11" customFormat="1">
      <c r="A3" s="59"/>
      <c r="B3" s="11" t="s">
        <v>0</v>
      </c>
      <c r="C3" s="7" t="s">
        <v>614</v>
      </c>
      <c r="E3" s="12" t="s">
        <v>331</v>
      </c>
      <c r="F3" s="12"/>
      <c r="G3" s="12" t="s">
        <v>331</v>
      </c>
      <c r="H3" s="12"/>
      <c r="I3" s="12" t="s">
        <v>332</v>
      </c>
      <c r="J3" s="12"/>
      <c r="K3" s="12" t="s">
        <v>332</v>
      </c>
    </row>
    <row r="5" spans="1:11">
      <c r="A5" s="57">
        <v>1010001</v>
      </c>
      <c r="B5" s="1" t="s">
        <v>1</v>
      </c>
      <c r="C5" s="3">
        <v>3364986011.5500002</v>
      </c>
      <c r="D5" s="1" t="s">
        <v>437</v>
      </c>
      <c r="G5" s="3">
        <f>C5-E5</f>
        <v>3364986011.5500002</v>
      </c>
      <c r="I5" s="10">
        <f>C5</f>
        <v>3364986011.5500002</v>
      </c>
      <c r="K5" s="3">
        <f>G5-I5</f>
        <v>0</v>
      </c>
    </row>
    <row r="6" spans="1:11">
      <c r="A6" s="57">
        <v>1010008</v>
      </c>
      <c r="B6" s="1" t="s">
        <v>461</v>
      </c>
      <c r="C6" s="3">
        <v>3189989.87</v>
      </c>
      <c r="D6" s="1" t="s">
        <v>437</v>
      </c>
      <c r="G6" s="3">
        <f t="shared" ref="G6:G10" si="0">C6-E6</f>
        <v>3189989.87</v>
      </c>
      <c r="I6" s="10">
        <f t="shared" ref="I6:I10" si="1">C6</f>
        <v>3189989.87</v>
      </c>
      <c r="K6" s="3">
        <f>G6-I6</f>
        <v>0</v>
      </c>
    </row>
    <row r="7" spans="1:11">
      <c r="A7" s="57">
        <v>1011001</v>
      </c>
      <c r="B7" s="1" t="s">
        <v>2</v>
      </c>
      <c r="C7" s="3">
        <v>1449570.6</v>
      </c>
      <c r="G7" s="3">
        <f t="shared" si="0"/>
        <v>1449570.6</v>
      </c>
      <c r="I7" s="10">
        <f t="shared" si="1"/>
        <v>1449570.6</v>
      </c>
      <c r="K7" s="3">
        <f t="shared" ref="K7" si="2">G7-I7</f>
        <v>0</v>
      </c>
    </row>
    <row r="8" spans="1:11">
      <c r="A8" s="57" t="s">
        <v>462</v>
      </c>
      <c r="B8" s="1" t="s">
        <v>6</v>
      </c>
      <c r="C8" s="3">
        <v>0</v>
      </c>
      <c r="G8" s="3">
        <f t="shared" si="0"/>
        <v>0</v>
      </c>
      <c r="I8" s="10">
        <f t="shared" si="1"/>
        <v>0</v>
      </c>
      <c r="K8" s="3">
        <f>G8-I8</f>
        <v>0</v>
      </c>
    </row>
    <row r="9" spans="1:11">
      <c r="A9" s="57" t="s">
        <v>463</v>
      </c>
      <c r="B9" s="1" t="s">
        <v>464</v>
      </c>
      <c r="C9" s="3">
        <v>3680847.2</v>
      </c>
      <c r="G9" s="3">
        <f t="shared" si="0"/>
        <v>3680847.2</v>
      </c>
      <c r="I9" s="10">
        <f t="shared" si="1"/>
        <v>3680847.2</v>
      </c>
      <c r="K9" s="3">
        <f>G9-I9</f>
        <v>0</v>
      </c>
    </row>
    <row r="10" spans="1:11">
      <c r="A10" s="57">
        <v>1011032</v>
      </c>
      <c r="B10" s="1" t="s">
        <v>465</v>
      </c>
      <c r="C10" s="3">
        <v>492985.35000000003</v>
      </c>
      <c r="G10" s="3">
        <f t="shared" si="0"/>
        <v>492985.35000000003</v>
      </c>
      <c r="I10" s="10">
        <f t="shared" si="1"/>
        <v>492985.35000000003</v>
      </c>
      <c r="K10" s="3">
        <f>G10-I10</f>
        <v>0</v>
      </c>
    </row>
    <row r="11" spans="1:11">
      <c r="A11" s="57">
        <v>1011036</v>
      </c>
      <c r="B11" s="1" t="s">
        <v>466</v>
      </c>
      <c r="C11" s="8">
        <v>-516593.22000000003</v>
      </c>
      <c r="G11" s="8">
        <f>C11-E11</f>
        <v>-516593.22000000003</v>
      </c>
      <c r="H11" s="15"/>
      <c r="I11" s="15">
        <f>C11</f>
        <v>-516593.22000000003</v>
      </c>
      <c r="J11" s="73"/>
      <c r="K11" s="8">
        <f t="shared" ref="K11" si="3">G11-I11</f>
        <v>0</v>
      </c>
    </row>
    <row r="12" spans="1:11">
      <c r="A12" s="57">
        <v>1060001</v>
      </c>
      <c r="B12" s="1" t="s">
        <v>4</v>
      </c>
      <c r="C12" s="8">
        <v>284377331.05000001</v>
      </c>
      <c r="D12" s="32" t="s">
        <v>438</v>
      </c>
      <c r="E12" s="15"/>
      <c r="F12" s="15"/>
      <c r="G12" s="8">
        <f>C12-E12</f>
        <v>284377331.05000001</v>
      </c>
      <c r="H12" s="15"/>
      <c r="I12" s="15">
        <f>C12</f>
        <v>284377331.05000001</v>
      </c>
      <c r="J12" s="73"/>
      <c r="K12" s="8">
        <f>G12-I12</f>
        <v>0</v>
      </c>
    </row>
    <row r="13" spans="1:11">
      <c r="A13" s="57">
        <v>1060007</v>
      </c>
      <c r="B13" s="1" t="s">
        <v>467</v>
      </c>
      <c r="C13" s="8">
        <v>11401.72</v>
      </c>
      <c r="D13" s="32" t="s">
        <v>438</v>
      </c>
      <c r="E13" s="15"/>
      <c r="F13" s="15"/>
      <c r="G13" s="8">
        <f>C13-E13</f>
        <v>11401.72</v>
      </c>
      <c r="H13" s="15"/>
      <c r="I13" s="15">
        <f>C13</f>
        <v>11401.72</v>
      </c>
      <c r="J13" s="73"/>
      <c r="K13" s="3">
        <f>G13-I13</f>
        <v>0</v>
      </c>
    </row>
    <row r="14" spans="1:11">
      <c r="A14" s="57">
        <v>1823022</v>
      </c>
      <c r="B14" s="1" t="s">
        <v>110</v>
      </c>
      <c r="C14" s="3">
        <v>250824</v>
      </c>
      <c r="G14" s="3">
        <f>C14-E14</f>
        <v>250824</v>
      </c>
      <c r="I14" s="15">
        <f t="shared" ref="I14:I15" si="4">C14</f>
        <v>250824</v>
      </c>
      <c r="K14" s="3">
        <f>G14-I14</f>
        <v>0</v>
      </c>
    </row>
    <row r="15" spans="1:11">
      <c r="A15" s="57">
        <v>1823054</v>
      </c>
      <c r="B15" s="1" t="s">
        <v>111</v>
      </c>
      <c r="C15" s="4">
        <v>39063</v>
      </c>
      <c r="G15" s="4">
        <f>C15-E15</f>
        <v>39063</v>
      </c>
      <c r="I15" s="14">
        <f t="shared" si="4"/>
        <v>39063</v>
      </c>
      <c r="K15" s="4">
        <f>G15-I15</f>
        <v>0</v>
      </c>
    </row>
    <row r="16" spans="1:11">
      <c r="B16" s="1" t="s">
        <v>5</v>
      </c>
      <c r="C16" s="3">
        <f>SUM(C5:C15)</f>
        <v>3657961431.1199999</v>
      </c>
      <c r="G16" s="3">
        <f>SUM(G5:G15)</f>
        <v>3657961431.1199999</v>
      </c>
      <c r="I16" s="3">
        <f>SUM(I5:I15)</f>
        <v>3657961431.1199999</v>
      </c>
      <c r="K16" s="3">
        <f>SUM(K5:K11)</f>
        <v>0</v>
      </c>
    </row>
    <row r="17" spans="1:11">
      <c r="G17" s="3"/>
      <c r="K17" s="3"/>
    </row>
    <row r="18" spans="1:11">
      <c r="A18" s="57">
        <v>1011006</v>
      </c>
      <c r="B18" s="1" t="s">
        <v>9</v>
      </c>
      <c r="C18" s="4">
        <v>-463950.17</v>
      </c>
      <c r="G18" s="4">
        <f>C18-E18</f>
        <v>-463950.17</v>
      </c>
      <c r="I18" s="14">
        <f>C18</f>
        <v>-463950.17</v>
      </c>
      <c r="K18" s="4">
        <f>G18-I18</f>
        <v>0</v>
      </c>
    </row>
    <row r="19" spans="1:11" s="13" customFormat="1">
      <c r="A19" s="60"/>
      <c r="B19" s="13" t="s">
        <v>8</v>
      </c>
      <c r="C19" s="5">
        <f>SUM(C16:C18)</f>
        <v>3657497480.9499998</v>
      </c>
      <c r="E19" s="16"/>
      <c r="F19" s="16"/>
      <c r="G19" s="5">
        <f>SUM(G16:G18)</f>
        <v>3657497480.9499998</v>
      </c>
      <c r="H19" s="16"/>
      <c r="I19" s="5">
        <f>SUM(I16:I18)</f>
        <v>3657497480.9499998</v>
      </c>
      <c r="J19" s="74"/>
      <c r="K19" s="5">
        <f>SUM(K16:K18)</f>
        <v>0</v>
      </c>
    </row>
    <row r="20" spans="1:11">
      <c r="G20" s="3"/>
      <c r="K20" s="3"/>
    </row>
    <row r="21" spans="1:11">
      <c r="A21" s="57">
        <v>1080001</v>
      </c>
      <c r="B21" s="1" t="s">
        <v>10</v>
      </c>
      <c r="C21" s="3">
        <v>1295377633.418</v>
      </c>
      <c r="G21" s="3">
        <f>C21-E21</f>
        <v>1295377633.418</v>
      </c>
      <c r="I21" s="10">
        <f>C21</f>
        <v>1295377633.418</v>
      </c>
      <c r="K21" s="3">
        <f>G21-I21</f>
        <v>0</v>
      </c>
    </row>
    <row r="22" spans="1:11">
      <c r="A22" s="57">
        <v>1080005</v>
      </c>
      <c r="B22" s="1" t="s">
        <v>11</v>
      </c>
      <c r="C22" s="3">
        <v>-16969951.259</v>
      </c>
      <c r="G22" s="3">
        <f>C22-E22</f>
        <v>-16969951.259</v>
      </c>
      <c r="I22" s="10">
        <f>C22</f>
        <v>-16969951.259</v>
      </c>
      <c r="K22" s="3">
        <f>G22-I22</f>
        <v>0</v>
      </c>
    </row>
    <row r="23" spans="1:11">
      <c r="A23" s="57">
        <v>1080011</v>
      </c>
      <c r="B23" s="1" t="s">
        <v>12</v>
      </c>
      <c r="C23" s="3">
        <v>122500162.09999999</v>
      </c>
      <c r="G23" s="3">
        <f>C23-E23</f>
        <v>122500162.09999999</v>
      </c>
      <c r="I23" s="10">
        <f>C23</f>
        <v>122500162.09999999</v>
      </c>
      <c r="K23" s="3">
        <f>G23-I23</f>
        <v>0</v>
      </c>
    </row>
    <row r="24" spans="1:11">
      <c r="A24" s="57">
        <v>1080013</v>
      </c>
      <c r="B24" s="1" t="s">
        <v>13</v>
      </c>
      <c r="C24" s="25">
        <v>0</v>
      </c>
      <c r="D24" s="29"/>
      <c r="E24" s="9"/>
      <c r="F24" s="9"/>
      <c r="G24" s="3">
        <f t="shared" ref="G24:G25" si="5">C24-E24</f>
        <v>0</v>
      </c>
      <c r="I24" s="10">
        <f t="shared" ref="I24:I25" si="6">C24</f>
        <v>0</v>
      </c>
    </row>
    <row r="25" spans="1:11">
      <c r="A25" s="57" t="s">
        <v>620</v>
      </c>
      <c r="B25" s="1" t="s">
        <v>621</v>
      </c>
      <c r="C25" s="25">
        <v>1095672.78</v>
      </c>
      <c r="D25" s="29"/>
      <c r="E25" s="9"/>
      <c r="F25" s="9"/>
      <c r="G25" s="4">
        <f t="shared" si="5"/>
        <v>1095672.78</v>
      </c>
      <c r="H25" s="9"/>
      <c r="I25" s="14">
        <f t="shared" si="6"/>
        <v>1095672.78</v>
      </c>
      <c r="J25" s="12"/>
      <c r="K25" s="55">
        <f>G25-I25</f>
        <v>0</v>
      </c>
    </row>
    <row r="26" spans="1:11">
      <c r="B26" s="1" t="s">
        <v>432</v>
      </c>
      <c r="C26" s="91">
        <f>SUM(C21:C25)</f>
        <v>1402003517.0389998</v>
      </c>
      <c r="D26" s="1" t="s">
        <v>442</v>
      </c>
      <c r="G26" s="5">
        <f>SUM(G21:G25)</f>
        <v>1402003517.0389998</v>
      </c>
      <c r="I26" s="16">
        <f>SUM(I21:I25)</f>
        <v>1402003517.0389998</v>
      </c>
      <c r="K26" s="3">
        <f>SUM(K21:K25)</f>
        <v>0</v>
      </c>
    </row>
    <row r="27" spans="1:11">
      <c r="G27" s="3"/>
      <c r="K27" s="3"/>
    </row>
    <row r="28" spans="1:11">
      <c r="A28" s="57">
        <v>1110001</v>
      </c>
      <c r="B28" s="1" t="s">
        <v>14</v>
      </c>
      <c r="C28" s="25">
        <v>59074.12</v>
      </c>
      <c r="D28" s="1" t="s">
        <v>443</v>
      </c>
      <c r="G28" s="24">
        <f t="shared" ref="G28:G29" si="7">C28-E28</f>
        <v>59074.12</v>
      </c>
      <c r="I28" s="31">
        <f t="shared" ref="I28:I29" si="8">C28</f>
        <v>59074.12</v>
      </c>
      <c r="J28" s="12"/>
      <c r="K28" s="24">
        <f t="shared" ref="K28" si="9">G28-I28</f>
        <v>0</v>
      </c>
    </row>
    <row r="29" spans="1:11">
      <c r="A29" s="57" t="s">
        <v>468</v>
      </c>
      <c r="B29" s="1" t="s">
        <v>469</v>
      </c>
      <c r="C29" s="55">
        <v>-7.0000000000000007E-2</v>
      </c>
      <c r="D29" s="1">
        <f>SUM(D19:D28)</f>
        <v>0</v>
      </c>
      <c r="G29" s="55">
        <f t="shared" si="7"/>
        <v>-7.0000000000000007E-2</v>
      </c>
      <c r="I29" s="94">
        <f t="shared" si="8"/>
        <v>-7.0000000000000007E-2</v>
      </c>
      <c r="J29" s="12"/>
      <c r="K29" s="55">
        <v>0</v>
      </c>
    </row>
    <row r="30" spans="1:11">
      <c r="B30" s="1" t="s">
        <v>433</v>
      </c>
      <c r="C30" s="4">
        <f>C28+C29</f>
        <v>59074.05</v>
      </c>
      <c r="G30" s="33">
        <f>G28+G29</f>
        <v>59074.05</v>
      </c>
      <c r="I30" s="33">
        <f>I28+I29</f>
        <v>59074.05</v>
      </c>
      <c r="J30" s="73"/>
      <c r="K30" s="4">
        <f>K28</f>
        <v>0</v>
      </c>
    </row>
    <row r="31" spans="1:11" s="13" customFormat="1">
      <c r="A31" s="60"/>
      <c r="B31" s="13" t="s">
        <v>15</v>
      </c>
      <c r="C31" s="5">
        <f>C19-C26-C30</f>
        <v>2255434889.8610001</v>
      </c>
      <c r="E31" s="16"/>
      <c r="F31" s="16"/>
      <c r="G31" s="5">
        <f>G19-G26-G30</f>
        <v>2255434889.8610001</v>
      </c>
      <c r="H31" s="16"/>
      <c r="I31" s="5">
        <f>I19-I26-I30</f>
        <v>2255434889.8610001</v>
      </c>
      <c r="J31" s="75"/>
      <c r="K31" s="5">
        <f>K19-K26-K30</f>
        <v>0</v>
      </c>
    </row>
    <row r="32" spans="1:11" s="13" customFormat="1">
      <c r="A32" s="60"/>
      <c r="C32" s="5"/>
      <c r="E32" s="16"/>
      <c r="F32" s="16"/>
      <c r="G32" s="5"/>
      <c r="H32" s="16"/>
      <c r="I32" s="5"/>
      <c r="J32" s="75"/>
      <c r="K32" s="5"/>
    </row>
    <row r="33" spans="1:11">
      <c r="A33" s="57">
        <v>1050001</v>
      </c>
      <c r="B33" s="1" t="s">
        <v>3</v>
      </c>
      <c r="C33" s="3">
        <v>801671.21</v>
      </c>
      <c r="G33" s="3">
        <f>C33-E33</f>
        <v>801671.21</v>
      </c>
      <c r="I33" s="10">
        <f>C33</f>
        <v>801671.21</v>
      </c>
      <c r="K33" s="3">
        <f>G33-I33</f>
        <v>0</v>
      </c>
    </row>
    <row r="34" spans="1:11">
      <c r="A34" s="57">
        <v>1070001</v>
      </c>
      <c r="B34" s="1" t="s">
        <v>7</v>
      </c>
      <c r="C34" s="8">
        <v>164314687.28200001</v>
      </c>
      <c r="D34" s="32"/>
      <c r="E34" s="15"/>
      <c r="F34" s="15"/>
      <c r="G34" s="8">
        <f>C34-E34</f>
        <v>164314687.28200001</v>
      </c>
      <c r="H34" s="15"/>
      <c r="I34" s="15">
        <f>C34</f>
        <v>164314687.28200001</v>
      </c>
      <c r="J34" s="73"/>
      <c r="K34" s="8">
        <f>G34-I34</f>
        <v>0</v>
      </c>
    </row>
    <row r="35" spans="1:11">
      <c r="A35" s="57" t="s">
        <v>545</v>
      </c>
      <c r="B35" s="1" t="s">
        <v>546</v>
      </c>
      <c r="C35" s="4">
        <v>1898852.33</v>
      </c>
      <c r="G35" s="4">
        <f>C35-E35</f>
        <v>1898852.33</v>
      </c>
      <c r="I35" s="14">
        <f>C35</f>
        <v>1898852.33</v>
      </c>
      <c r="J35" s="73"/>
      <c r="K35" s="4">
        <f>G35-I35</f>
        <v>0</v>
      </c>
    </row>
    <row r="36" spans="1:11" ht="15.75" thickBot="1">
      <c r="C36" s="5">
        <f>+C33+C34+C35</f>
        <v>167015210.82200003</v>
      </c>
      <c r="G36" s="5">
        <f>+G33+G34+G35</f>
        <v>167015210.82200003</v>
      </c>
      <c r="I36" s="5">
        <f>+I33+I34+I35</f>
        <v>167015210.82200003</v>
      </c>
      <c r="K36" s="5">
        <f>+K33+K34+K35</f>
        <v>0</v>
      </c>
    </row>
    <row r="37" spans="1:11">
      <c r="B37" s="80" t="s">
        <v>436</v>
      </c>
      <c r="C37" s="36"/>
      <c r="D37" s="37"/>
      <c r="E37" s="38"/>
      <c r="G37" s="3"/>
      <c r="K37" s="3"/>
    </row>
    <row r="38" spans="1:11">
      <c r="B38" s="81" t="s">
        <v>440</v>
      </c>
      <c r="C38" s="8">
        <f>C5+C6+C12+C13</f>
        <v>3652564734.1900001</v>
      </c>
      <c r="D38" s="32" t="s">
        <v>439</v>
      </c>
      <c r="E38" s="39"/>
      <c r="G38" s="3"/>
      <c r="K38" s="3"/>
    </row>
    <row r="39" spans="1:11">
      <c r="B39" s="82" t="s">
        <v>441</v>
      </c>
      <c r="C39" s="4">
        <f>C26+C28+C29</f>
        <v>1402062591.0889997</v>
      </c>
      <c r="D39" s="32" t="s">
        <v>460</v>
      </c>
      <c r="E39" s="39"/>
      <c r="G39" s="3"/>
      <c r="K39" s="3"/>
    </row>
    <row r="40" spans="1:11" ht="15.75" thickBot="1">
      <c r="B40" s="83" t="s">
        <v>444</v>
      </c>
      <c r="C40" s="88">
        <f>C38+C39</f>
        <v>5054627325.2789993</v>
      </c>
      <c r="D40" s="40"/>
      <c r="E40" s="41"/>
      <c r="G40" s="3"/>
      <c r="K40" s="3"/>
    </row>
    <row r="41" spans="1:11">
      <c r="G41" s="3"/>
      <c r="K41" s="3"/>
    </row>
    <row r="42" spans="1:11">
      <c r="A42" s="57">
        <v>1210001</v>
      </c>
      <c r="B42" s="1" t="s">
        <v>16</v>
      </c>
      <c r="C42" s="55">
        <v>502365.72000000003</v>
      </c>
      <c r="G42" s="55">
        <f>C42-E42</f>
        <v>502365.72000000003</v>
      </c>
      <c r="I42" s="31"/>
      <c r="K42" s="55">
        <f>G42-I42</f>
        <v>502365.72000000003</v>
      </c>
    </row>
    <row r="43" spans="1:11">
      <c r="B43" s="1" t="s">
        <v>17</v>
      </c>
      <c r="C43" s="3">
        <f>SUM(C42)</f>
        <v>502365.72000000003</v>
      </c>
      <c r="G43" s="5">
        <f>SUM(G42)</f>
        <v>502365.72000000003</v>
      </c>
      <c r="I43" s="3">
        <f>SUM(I42)</f>
        <v>0</v>
      </c>
      <c r="K43" s="3">
        <f>SUM(K42)</f>
        <v>502365.72000000003</v>
      </c>
    </row>
    <row r="44" spans="1:11">
      <c r="A44" s="57">
        <v>1220001</v>
      </c>
      <c r="B44" s="1" t="s">
        <v>18</v>
      </c>
      <c r="C44" s="24">
        <v>182353.09</v>
      </c>
      <c r="G44" s="24">
        <f>C44-E44</f>
        <v>182353.09</v>
      </c>
      <c r="K44" s="24">
        <f>G44-I44</f>
        <v>182353.09</v>
      </c>
    </row>
    <row r="45" spans="1:11">
      <c r="A45" s="57">
        <v>1220003</v>
      </c>
      <c r="B45" s="1" t="s">
        <v>470</v>
      </c>
      <c r="C45" s="55">
        <v>0</v>
      </c>
      <c r="G45" s="55">
        <f>C45-E45</f>
        <v>0</v>
      </c>
      <c r="H45" s="31"/>
      <c r="I45" s="31"/>
      <c r="J45" s="76"/>
      <c r="K45" s="55">
        <f>G45-I45</f>
        <v>0</v>
      </c>
    </row>
    <row r="46" spans="1:11">
      <c r="B46" s="1" t="s">
        <v>19</v>
      </c>
      <c r="C46" s="3">
        <f>SUM(C44:C45)</f>
        <v>182353.09</v>
      </c>
      <c r="G46" s="5">
        <f>SUM(G44:G45)</f>
        <v>182353.09</v>
      </c>
      <c r="H46" s="31"/>
      <c r="I46" s="24">
        <f>SUM(I44)</f>
        <v>0</v>
      </c>
      <c r="J46" s="76"/>
      <c r="K46" s="24">
        <f>SUM(K44:K45)</f>
        <v>182353.09</v>
      </c>
    </row>
    <row r="47" spans="1:11">
      <c r="A47" s="57">
        <v>1240002</v>
      </c>
      <c r="B47" s="1" t="s">
        <v>22</v>
      </c>
      <c r="C47" s="3">
        <v>0</v>
      </c>
      <c r="G47" s="3">
        <f t="shared" ref="G47:G52" si="10">C47-E47</f>
        <v>0</v>
      </c>
      <c r="K47" s="3">
        <f t="shared" ref="K47:K52" si="11">G47-I47</f>
        <v>0</v>
      </c>
    </row>
    <row r="48" spans="1:11">
      <c r="A48" s="57">
        <v>1240005</v>
      </c>
      <c r="B48" s="1" t="s">
        <v>99</v>
      </c>
      <c r="C48" s="3">
        <v>0</v>
      </c>
      <c r="G48" s="3">
        <f t="shared" si="10"/>
        <v>0</v>
      </c>
      <c r="K48" s="3">
        <f t="shared" si="11"/>
        <v>0</v>
      </c>
    </row>
    <row r="49" spans="1:11">
      <c r="A49" s="57">
        <v>1240007</v>
      </c>
      <c r="B49" s="1" t="s">
        <v>23</v>
      </c>
      <c r="C49" s="3">
        <v>0</v>
      </c>
      <c r="G49" s="3">
        <f t="shared" si="10"/>
        <v>0</v>
      </c>
      <c r="K49" s="3">
        <f t="shared" si="11"/>
        <v>0</v>
      </c>
    </row>
    <row r="50" spans="1:11">
      <c r="A50" s="57">
        <v>1240027</v>
      </c>
      <c r="B50" s="1" t="s">
        <v>20</v>
      </c>
      <c r="C50" s="24">
        <v>-35121.360000000001</v>
      </c>
      <c r="D50" s="30"/>
      <c r="E50" s="31"/>
      <c r="F50" s="31"/>
      <c r="G50" s="24">
        <f t="shared" si="10"/>
        <v>-35121.360000000001</v>
      </c>
      <c r="H50" s="31"/>
      <c r="I50" s="31"/>
      <c r="J50" s="76"/>
      <c r="K50" s="24">
        <f t="shared" si="11"/>
        <v>-35121.360000000001</v>
      </c>
    </row>
    <row r="51" spans="1:11">
      <c r="A51" s="57">
        <v>1240028</v>
      </c>
      <c r="B51" s="1" t="s">
        <v>355</v>
      </c>
      <c r="C51" s="24">
        <v>46947.270000000004</v>
      </c>
      <c r="D51" s="30"/>
      <c r="E51" s="31"/>
      <c r="F51" s="31"/>
      <c r="G51" s="24">
        <f t="shared" si="10"/>
        <v>46947.270000000004</v>
      </c>
      <c r="H51" s="31"/>
      <c r="I51" s="31">
        <v>0</v>
      </c>
      <c r="J51" s="76"/>
      <c r="K51" s="24">
        <f t="shared" si="11"/>
        <v>46947.270000000004</v>
      </c>
    </row>
    <row r="52" spans="1:11">
      <c r="A52" s="57">
        <v>1240029</v>
      </c>
      <c r="B52" s="1" t="s">
        <v>21</v>
      </c>
      <c r="C52" s="24">
        <v>655168.37</v>
      </c>
      <c r="D52" s="30"/>
      <c r="E52" s="31"/>
      <c r="F52" s="31"/>
      <c r="G52" s="24">
        <f t="shared" si="10"/>
        <v>655168.37</v>
      </c>
      <c r="H52" s="31"/>
      <c r="I52" s="31"/>
      <c r="J52" s="76"/>
      <c r="K52" s="24">
        <f t="shared" si="11"/>
        <v>655168.37</v>
      </c>
    </row>
    <row r="53" spans="1:11">
      <c r="A53" s="57">
        <v>1240092</v>
      </c>
      <c r="B53" s="1" t="s">
        <v>24</v>
      </c>
      <c r="C53" s="55">
        <v>19009</v>
      </c>
      <c r="D53" s="30"/>
      <c r="E53" s="31"/>
      <c r="F53" s="31"/>
      <c r="G53" s="55">
        <f t="shared" ref="G53" si="12">C53-E53</f>
        <v>19009</v>
      </c>
      <c r="H53" s="31"/>
      <c r="I53" s="31"/>
      <c r="J53" s="76"/>
      <c r="K53" s="55">
        <f t="shared" ref="K53" si="13">G53-I53</f>
        <v>19009</v>
      </c>
    </row>
    <row r="54" spans="1:11">
      <c r="B54" s="1" t="s">
        <v>25</v>
      </c>
      <c r="C54" s="8">
        <f>SUM(C47:C53)</f>
        <v>686003.28</v>
      </c>
      <c r="D54" s="32"/>
      <c r="E54" s="15"/>
      <c r="F54" s="15"/>
      <c r="G54" s="54">
        <f>SUM(G47:G53)</f>
        <v>686003.28</v>
      </c>
      <c r="H54" s="15"/>
      <c r="I54" s="8">
        <f>SUM(I47:I53)</f>
        <v>0</v>
      </c>
      <c r="J54" s="73"/>
      <c r="K54" s="8">
        <f>SUM(K47:K53)</f>
        <v>686003.28</v>
      </c>
    </row>
    <row r="55" spans="1:11">
      <c r="C55" s="8"/>
      <c r="D55" s="32"/>
      <c r="E55" s="15"/>
      <c r="F55" s="15"/>
      <c r="G55" s="8"/>
      <c r="H55" s="15"/>
      <c r="I55" s="15"/>
      <c r="J55" s="73"/>
      <c r="K55" s="8"/>
    </row>
    <row r="56" spans="1:11">
      <c r="A56" s="57">
        <v>1290001</v>
      </c>
      <c r="B56" s="1" t="s">
        <v>26</v>
      </c>
      <c r="C56" s="3">
        <v>38308637.439999998</v>
      </c>
      <c r="G56" s="3">
        <f t="shared" ref="G56:G57" si="14">C56-E56</f>
        <v>38308637.439999998</v>
      </c>
      <c r="K56" s="3">
        <f t="shared" ref="K56:K57" si="15">G56-I56</f>
        <v>38308637.439999998</v>
      </c>
    </row>
    <row r="57" spans="1:11">
      <c r="A57" s="57">
        <v>1290002</v>
      </c>
      <c r="B57" s="1" t="s">
        <v>27</v>
      </c>
      <c r="C57" s="55">
        <v>1103186.3500000001</v>
      </c>
      <c r="D57" s="29"/>
      <c r="E57" s="9"/>
      <c r="F57" s="9"/>
      <c r="G57" s="55">
        <f t="shared" si="14"/>
        <v>1103186.3500000001</v>
      </c>
      <c r="H57" s="9"/>
      <c r="I57" s="9"/>
      <c r="J57" s="12"/>
      <c r="K57" s="55">
        <f t="shared" si="15"/>
        <v>1103186.3500000001</v>
      </c>
    </row>
    <row r="58" spans="1:11">
      <c r="B58" s="1" t="s">
        <v>28</v>
      </c>
      <c r="C58" s="3">
        <f>SUM(C56:C57)</f>
        <v>39411823.789999999</v>
      </c>
      <c r="G58" s="5">
        <f>SUM(G56:G57)</f>
        <v>39411823.789999999</v>
      </c>
      <c r="I58" s="3">
        <f>SUM(I56:I57)</f>
        <v>0</v>
      </c>
      <c r="K58" s="3">
        <f>SUM(K56:K57)</f>
        <v>39411823.789999999</v>
      </c>
    </row>
    <row r="59" spans="1:11">
      <c r="G59" s="3"/>
      <c r="K59" s="3"/>
    </row>
    <row r="60" spans="1:11">
      <c r="A60" s="57">
        <v>1581000</v>
      </c>
      <c r="B60" s="1" t="s">
        <v>29</v>
      </c>
      <c r="C60" s="55">
        <v>8332549.3430000003</v>
      </c>
      <c r="G60" s="55">
        <f>C60-E60</f>
        <v>8332549.3430000003</v>
      </c>
      <c r="I60" s="9">
        <v>0</v>
      </c>
      <c r="K60" s="55">
        <f>G60-I60</f>
        <v>8332549.3430000003</v>
      </c>
    </row>
    <row r="61" spans="1:11">
      <c r="B61" s="1" t="s">
        <v>30</v>
      </c>
      <c r="C61" s="3">
        <f>SUM(C60:C60)</f>
        <v>8332549.3430000003</v>
      </c>
      <c r="G61" s="5">
        <f>SUM(G60:G60)</f>
        <v>8332549.3430000003</v>
      </c>
      <c r="I61" s="3">
        <f>SUM(I60:I60)</f>
        <v>0</v>
      </c>
      <c r="K61" s="24">
        <f t="shared" ref="K61" si="16">G61-I61</f>
        <v>8332549.3430000003</v>
      </c>
    </row>
    <row r="62" spans="1:11">
      <c r="G62" s="3"/>
      <c r="K62" s="3"/>
    </row>
    <row r="63" spans="1:11">
      <c r="A63" s="57">
        <v>1750002</v>
      </c>
      <c r="B63" s="1" t="s">
        <v>31</v>
      </c>
      <c r="C63" s="3">
        <v>0.1</v>
      </c>
      <c r="G63" s="3">
        <f>C63-E63</f>
        <v>0.1</v>
      </c>
      <c r="K63" s="3">
        <f>G63-I63</f>
        <v>0.1</v>
      </c>
    </row>
    <row r="64" spans="1:11">
      <c r="A64" s="57">
        <v>1750022</v>
      </c>
      <c r="B64" s="1" t="s">
        <v>32</v>
      </c>
      <c r="C64" s="24">
        <v>0</v>
      </c>
      <c r="D64" s="29"/>
      <c r="E64" s="9"/>
      <c r="F64" s="9"/>
      <c r="G64" s="24">
        <f t="shared" ref="G64" si="17">C64-E64</f>
        <v>0</v>
      </c>
      <c r="H64" s="9"/>
      <c r="I64" s="9"/>
      <c r="J64" s="12"/>
      <c r="K64" s="24">
        <f t="shared" ref="K64" si="18">G64-I64</f>
        <v>0</v>
      </c>
    </row>
    <row r="65" spans="1:11">
      <c r="B65" s="1" t="s">
        <v>33</v>
      </c>
      <c r="C65" s="4">
        <f>SUM(C63:C64)</f>
        <v>0.1</v>
      </c>
      <c r="G65" s="33">
        <f>SUM(G63:G64)</f>
        <v>0.1</v>
      </c>
      <c r="I65" s="14"/>
      <c r="K65" s="4">
        <f>SUM(K63:K64)</f>
        <v>0.1</v>
      </c>
    </row>
    <row r="66" spans="1:11">
      <c r="B66" s="1" t="s">
        <v>34</v>
      </c>
      <c r="C66" s="3">
        <f>C43-C46+C54+C58+C61+C65</f>
        <v>48750389.142999999</v>
      </c>
      <c r="G66" s="3">
        <f>G43-G46+G54+G58+G61+G65</f>
        <v>48750389.142999999</v>
      </c>
      <c r="I66" s="3">
        <f>I43+I46+I54+I58+I61+I65</f>
        <v>0</v>
      </c>
      <c r="K66" s="3">
        <f>K43-K46+K54+K58+K61+K65</f>
        <v>48750389.142999999</v>
      </c>
    </row>
    <row r="67" spans="1:11">
      <c r="G67" s="3"/>
      <c r="K67" s="3"/>
    </row>
    <row r="68" spans="1:11">
      <c r="G68" s="3"/>
      <c r="K68" s="3"/>
    </row>
    <row r="69" spans="1:11">
      <c r="A69" s="57">
        <v>1310000</v>
      </c>
      <c r="B69" s="1" t="s">
        <v>35</v>
      </c>
      <c r="C69" s="25">
        <v>1105712.1100000001</v>
      </c>
      <c r="D69" s="30"/>
      <c r="E69" s="31"/>
      <c r="F69" s="31"/>
      <c r="G69" s="25">
        <f t="shared" ref="G69:G76" si="19">C69-E69</f>
        <v>1105712.1100000001</v>
      </c>
      <c r="H69" s="31"/>
      <c r="I69" s="31"/>
      <c r="J69" s="76"/>
      <c r="K69" s="25">
        <f t="shared" ref="K69:K76" si="20">G69-I69</f>
        <v>1105712.1100000001</v>
      </c>
    </row>
    <row r="70" spans="1:11">
      <c r="A70" s="57">
        <v>1340018</v>
      </c>
      <c r="B70" s="1" t="s">
        <v>100</v>
      </c>
      <c r="C70" s="24">
        <v>1613024.2919999999</v>
      </c>
      <c r="D70" s="30"/>
      <c r="E70" s="31"/>
      <c r="F70" s="31"/>
      <c r="G70" s="24">
        <f t="shared" si="19"/>
        <v>1613024.2919999999</v>
      </c>
      <c r="H70" s="31"/>
      <c r="I70" s="31">
        <f>G70</f>
        <v>1613024.2919999999</v>
      </c>
      <c r="J70" s="76"/>
      <c r="K70" s="24">
        <f t="shared" si="20"/>
        <v>0</v>
      </c>
    </row>
    <row r="71" spans="1:11">
      <c r="A71" s="57">
        <v>1340043</v>
      </c>
      <c r="B71" s="1" t="s">
        <v>101</v>
      </c>
      <c r="C71" s="24">
        <v>0</v>
      </c>
      <c r="D71" s="30"/>
      <c r="E71" s="31"/>
      <c r="F71" s="31"/>
      <c r="G71" s="24">
        <f t="shared" si="19"/>
        <v>0</v>
      </c>
      <c r="H71" s="31"/>
      <c r="I71" s="31"/>
      <c r="J71" s="76"/>
      <c r="K71" s="24">
        <f t="shared" si="20"/>
        <v>0</v>
      </c>
    </row>
    <row r="72" spans="1:11">
      <c r="A72" s="57">
        <v>1340048</v>
      </c>
      <c r="B72" s="1" t="s">
        <v>102</v>
      </c>
      <c r="C72" s="24">
        <v>-134731</v>
      </c>
      <c r="D72" s="30"/>
      <c r="E72" s="31"/>
      <c r="F72" s="31"/>
      <c r="G72" s="24">
        <f t="shared" si="19"/>
        <v>-134731</v>
      </c>
      <c r="H72" s="31"/>
      <c r="I72" s="31">
        <f>G72</f>
        <v>-134731</v>
      </c>
      <c r="J72" s="76"/>
      <c r="K72" s="24">
        <f t="shared" si="20"/>
        <v>0</v>
      </c>
    </row>
    <row r="73" spans="1:11">
      <c r="A73" s="57">
        <v>1340050</v>
      </c>
      <c r="B73" s="1" t="s">
        <v>37</v>
      </c>
      <c r="C73" s="24">
        <v>0</v>
      </c>
      <c r="D73" s="30"/>
      <c r="E73" s="31"/>
      <c r="F73" s="31"/>
      <c r="G73" s="24">
        <f t="shared" si="19"/>
        <v>0</v>
      </c>
      <c r="H73" s="31"/>
      <c r="I73" s="31"/>
      <c r="J73" s="76"/>
      <c r="K73" s="24">
        <f t="shared" si="20"/>
        <v>0</v>
      </c>
    </row>
    <row r="74" spans="1:11">
      <c r="A74" s="57">
        <v>1340051</v>
      </c>
      <c r="B74" s="1" t="s">
        <v>38</v>
      </c>
      <c r="C74" s="24">
        <v>21003.350000000002</v>
      </c>
      <c r="D74" s="30"/>
      <c r="E74" s="31"/>
      <c r="F74" s="31"/>
      <c r="G74" s="24">
        <f t="shared" si="19"/>
        <v>21003.350000000002</v>
      </c>
      <c r="H74" s="31"/>
      <c r="I74" s="31">
        <f>G74</f>
        <v>21003.350000000002</v>
      </c>
      <c r="J74" s="76"/>
      <c r="K74" s="24">
        <f t="shared" si="20"/>
        <v>0</v>
      </c>
    </row>
    <row r="75" spans="1:11">
      <c r="A75" s="57">
        <v>1340053</v>
      </c>
      <c r="B75" s="1" t="s">
        <v>409</v>
      </c>
      <c r="C75" s="24">
        <v>22976.33</v>
      </c>
      <c r="D75" s="29"/>
      <c r="E75" s="9"/>
      <c r="F75" s="9"/>
      <c r="G75" s="24">
        <f t="shared" si="19"/>
        <v>22976.33</v>
      </c>
      <c r="H75" s="9"/>
      <c r="I75" s="9"/>
      <c r="J75" s="12"/>
      <c r="K75" s="24">
        <f t="shared" si="20"/>
        <v>22976.33</v>
      </c>
    </row>
    <row r="76" spans="1:11">
      <c r="A76" s="58" t="s">
        <v>471</v>
      </c>
      <c r="B76" s="1" t="s">
        <v>472</v>
      </c>
      <c r="C76" s="55">
        <v>820552.97</v>
      </c>
      <c r="D76" s="29"/>
      <c r="E76" s="9"/>
      <c r="F76" s="9"/>
      <c r="G76" s="55">
        <f t="shared" si="19"/>
        <v>820552.97</v>
      </c>
      <c r="H76" s="9"/>
      <c r="I76" s="94">
        <f>G76</f>
        <v>820552.97</v>
      </c>
      <c r="J76" s="12"/>
      <c r="K76" s="55">
        <f t="shared" si="20"/>
        <v>0</v>
      </c>
    </row>
    <row r="77" spans="1:11">
      <c r="B77" s="1" t="s">
        <v>36</v>
      </c>
      <c r="C77" s="3">
        <f>SUM(C69:C76)</f>
        <v>3448538.0520000001</v>
      </c>
      <c r="G77" s="5">
        <f>SUM(G69:G76)</f>
        <v>3448538.0520000001</v>
      </c>
      <c r="I77" s="3">
        <f>SUM(I69:I76)</f>
        <v>2319849.6119999997</v>
      </c>
      <c r="K77" s="3">
        <f>SUM(K69:K76)</f>
        <v>1128688.4400000002</v>
      </c>
    </row>
    <row r="78" spans="1:11">
      <c r="G78" s="3"/>
      <c r="K78" s="3"/>
    </row>
    <row r="79" spans="1:11">
      <c r="A79" s="57">
        <v>1450000</v>
      </c>
      <c r="B79" s="1" t="s">
        <v>39</v>
      </c>
      <c r="C79" s="55">
        <v>0</v>
      </c>
      <c r="G79" s="55">
        <f>C79-E79</f>
        <v>0</v>
      </c>
      <c r="K79" s="55">
        <f>G79-I79</f>
        <v>0</v>
      </c>
    </row>
    <row r="80" spans="1:11">
      <c r="B80" s="1" t="s">
        <v>40</v>
      </c>
      <c r="C80" s="3">
        <f>SUM(C79)</f>
        <v>0</v>
      </c>
      <c r="G80" s="5">
        <f>SUM(G79)</f>
        <v>0</v>
      </c>
      <c r="I80" s="3"/>
      <c r="K80" s="3">
        <f>SUM(K79)</f>
        <v>0</v>
      </c>
    </row>
    <row r="81" spans="1:11">
      <c r="G81" s="3"/>
      <c r="K81" s="3"/>
    </row>
    <row r="82" spans="1:11">
      <c r="A82" s="57">
        <v>1420001</v>
      </c>
      <c r="B82" s="1" t="s">
        <v>41</v>
      </c>
      <c r="C82" s="3">
        <v>45894739.255999997</v>
      </c>
      <c r="G82" s="3">
        <f>C82-E82</f>
        <v>45894739.255999997</v>
      </c>
      <c r="K82" s="3">
        <f>G82-I82</f>
        <v>45894739.255999997</v>
      </c>
    </row>
    <row r="83" spans="1:11">
      <c r="A83" s="57">
        <v>1420014</v>
      </c>
      <c r="B83" s="1" t="s">
        <v>42</v>
      </c>
      <c r="C83" s="3">
        <v>612985.08100000001</v>
      </c>
      <c r="G83" s="3">
        <f t="shared" ref="G83:G100" si="21">C83-E83</f>
        <v>612985.08100000001</v>
      </c>
      <c r="K83" s="3">
        <f t="shared" ref="K83:K100" si="22">G83-I83</f>
        <v>612985.08100000001</v>
      </c>
    </row>
    <row r="84" spans="1:11">
      <c r="A84" s="57">
        <v>1420019</v>
      </c>
      <c r="B84" s="1" t="s">
        <v>43</v>
      </c>
      <c r="C84" s="3">
        <v>7092</v>
      </c>
      <c r="G84" s="3">
        <f t="shared" si="21"/>
        <v>7092</v>
      </c>
      <c r="K84" s="3">
        <f t="shared" si="22"/>
        <v>7092</v>
      </c>
    </row>
    <row r="85" spans="1:11">
      <c r="A85" s="57">
        <v>1420022</v>
      </c>
      <c r="B85" s="1" t="s">
        <v>44</v>
      </c>
      <c r="C85" s="3">
        <v>-44553929.130000003</v>
      </c>
      <c r="G85" s="3">
        <f t="shared" si="21"/>
        <v>-44553929.130000003</v>
      </c>
      <c r="K85" s="3">
        <f t="shared" si="22"/>
        <v>-44553929.130000003</v>
      </c>
    </row>
    <row r="86" spans="1:11">
      <c r="A86" s="57">
        <v>1420023</v>
      </c>
      <c r="B86" s="1" t="s">
        <v>45</v>
      </c>
      <c r="C86" s="3">
        <v>5.0000000000000001E-3</v>
      </c>
      <c r="G86" s="3">
        <f t="shared" si="21"/>
        <v>5.0000000000000001E-3</v>
      </c>
      <c r="K86" s="3">
        <f t="shared" si="22"/>
        <v>5.0000000000000001E-3</v>
      </c>
    </row>
    <row r="87" spans="1:11">
      <c r="A87" s="57">
        <v>1420024</v>
      </c>
      <c r="B87" s="1" t="s">
        <v>46</v>
      </c>
      <c r="C87" s="3">
        <v>-0.12</v>
      </c>
      <c r="G87" s="3">
        <f t="shared" si="21"/>
        <v>-0.12</v>
      </c>
      <c r="K87" s="3">
        <f t="shared" si="22"/>
        <v>-0.12</v>
      </c>
    </row>
    <row r="88" spans="1:11">
      <c r="A88" s="57">
        <v>1420027</v>
      </c>
      <c r="B88" s="1" t="s">
        <v>47</v>
      </c>
      <c r="C88" s="3">
        <v>619976</v>
      </c>
      <c r="G88" s="3">
        <f t="shared" si="21"/>
        <v>619976</v>
      </c>
      <c r="K88" s="3">
        <f t="shared" si="22"/>
        <v>619976</v>
      </c>
    </row>
    <row r="89" spans="1:11">
      <c r="A89" s="57">
        <v>1420028</v>
      </c>
      <c r="B89" s="1" t="s">
        <v>357</v>
      </c>
      <c r="C89" s="3">
        <v>9904.43</v>
      </c>
      <c r="G89" s="3">
        <f t="shared" si="21"/>
        <v>9904.43</v>
      </c>
      <c r="K89" s="3">
        <f t="shared" si="22"/>
        <v>9904.43</v>
      </c>
    </row>
    <row r="90" spans="1:11">
      <c r="A90" s="57" t="s">
        <v>547</v>
      </c>
      <c r="B90" s="1" t="s">
        <v>548</v>
      </c>
      <c r="C90" s="3">
        <v>250</v>
      </c>
      <c r="G90" s="3">
        <f t="shared" si="21"/>
        <v>250</v>
      </c>
      <c r="K90" s="3">
        <f t="shared" si="22"/>
        <v>250</v>
      </c>
    </row>
    <row r="91" spans="1:11">
      <c r="A91" s="57">
        <v>1420042</v>
      </c>
      <c r="B91" s="1" t="s">
        <v>476</v>
      </c>
      <c r="C91" s="3">
        <v>-0.01</v>
      </c>
      <c r="G91" s="3">
        <f t="shared" si="21"/>
        <v>-0.01</v>
      </c>
      <c r="K91" s="3">
        <f t="shared" si="22"/>
        <v>-0.01</v>
      </c>
    </row>
    <row r="92" spans="1:11">
      <c r="A92" s="57">
        <v>1420044</v>
      </c>
      <c r="B92" s="1" t="s">
        <v>48</v>
      </c>
      <c r="C92" s="3">
        <v>9484095</v>
      </c>
      <c r="G92" s="3">
        <f t="shared" si="21"/>
        <v>9484095</v>
      </c>
      <c r="K92" s="3">
        <f t="shared" si="22"/>
        <v>9484095</v>
      </c>
    </row>
    <row r="93" spans="1:11">
      <c r="A93" s="57" t="s">
        <v>549</v>
      </c>
      <c r="B93" s="1" t="s">
        <v>550</v>
      </c>
      <c r="C93" s="3">
        <v>2E-3</v>
      </c>
      <c r="G93" s="3">
        <f t="shared" si="21"/>
        <v>2E-3</v>
      </c>
      <c r="K93" s="3">
        <f t="shared" si="22"/>
        <v>2E-3</v>
      </c>
    </row>
    <row r="94" spans="1:11">
      <c r="A94" s="57">
        <v>1420054</v>
      </c>
      <c r="B94" s="1" t="s">
        <v>49</v>
      </c>
      <c r="C94" s="3">
        <v>0</v>
      </c>
      <c r="G94" s="3">
        <f t="shared" si="21"/>
        <v>0</v>
      </c>
      <c r="K94" s="3">
        <f t="shared" si="22"/>
        <v>0</v>
      </c>
    </row>
    <row r="95" spans="1:11">
      <c r="A95" s="57">
        <v>1420058</v>
      </c>
      <c r="B95" s="1" t="s">
        <v>358</v>
      </c>
      <c r="C95" s="3">
        <v>-114940.04000000001</v>
      </c>
      <c r="G95" s="3">
        <f>C95-E95</f>
        <v>-114940.04000000001</v>
      </c>
      <c r="K95" s="3">
        <f t="shared" si="22"/>
        <v>-114940.04000000001</v>
      </c>
    </row>
    <row r="96" spans="1:11">
      <c r="A96" s="57">
        <v>1420059</v>
      </c>
      <c r="B96" s="1" t="s">
        <v>359</v>
      </c>
      <c r="C96" s="3">
        <v>19767.77</v>
      </c>
      <c r="G96" s="3">
        <f>C96-E96</f>
        <v>19767.77</v>
      </c>
      <c r="K96" s="3">
        <f t="shared" si="22"/>
        <v>19767.77</v>
      </c>
    </row>
    <row r="97" spans="1:11">
      <c r="A97" s="57" t="s">
        <v>473</v>
      </c>
      <c r="B97" s="1" t="s">
        <v>474</v>
      </c>
      <c r="C97" s="3">
        <v>493763.72000000003</v>
      </c>
      <c r="G97" s="3">
        <f>C97-E97</f>
        <v>493763.72000000003</v>
      </c>
      <c r="K97" s="3">
        <f t="shared" si="22"/>
        <v>493763.72000000003</v>
      </c>
    </row>
    <row r="98" spans="1:11">
      <c r="A98" s="57" t="s">
        <v>622</v>
      </c>
      <c r="B98" s="1" t="s">
        <v>623</v>
      </c>
      <c r="C98" s="3">
        <v>0</v>
      </c>
      <c r="G98" s="3">
        <f>C98-E98</f>
        <v>0</v>
      </c>
      <c r="K98" s="3">
        <f t="shared" si="22"/>
        <v>0</v>
      </c>
    </row>
    <row r="99" spans="1:11">
      <c r="A99" s="57">
        <v>1420102</v>
      </c>
      <c r="B99" s="1" t="s">
        <v>50</v>
      </c>
      <c r="C99" s="3">
        <v>3232711.63</v>
      </c>
      <c r="G99" s="3">
        <f t="shared" si="21"/>
        <v>3232711.63</v>
      </c>
      <c r="K99" s="3">
        <f t="shared" si="22"/>
        <v>3232711.63</v>
      </c>
    </row>
    <row r="100" spans="1:11">
      <c r="A100" s="57">
        <v>1420103</v>
      </c>
      <c r="B100" s="1" t="s">
        <v>475</v>
      </c>
      <c r="C100" s="55">
        <v>0</v>
      </c>
      <c r="G100" s="55">
        <f t="shared" si="21"/>
        <v>0</v>
      </c>
      <c r="K100" s="55">
        <f t="shared" si="22"/>
        <v>0</v>
      </c>
    </row>
    <row r="101" spans="1:11">
      <c r="B101" s="1" t="s">
        <v>51</v>
      </c>
      <c r="C101" s="3">
        <f>SUM(C82:C100)</f>
        <v>15706415.593999997</v>
      </c>
      <c r="G101" s="5">
        <f>SUM(G82:G100)</f>
        <v>15706415.593999997</v>
      </c>
      <c r="I101" s="3">
        <f>SUM(I82:I100)</f>
        <v>0</v>
      </c>
      <c r="K101" s="3">
        <f>SUM(K82:K100)</f>
        <v>15706415.593999997</v>
      </c>
    </row>
    <row r="102" spans="1:11">
      <c r="G102" s="3"/>
      <c r="K102" s="3"/>
    </row>
    <row r="103" spans="1:11">
      <c r="A103" s="57">
        <v>1430002</v>
      </c>
      <c r="B103" s="1" t="s">
        <v>138</v>
      </c>
      <c r="C103" s="3">
        <v>0</v>
      </c>
      <c r="G103" s="3">
        <f>C103-E103</f>
        <v>0</v>
      </c>
      <c r="K103" s="3">
        <f>G103-I103</f>
        <v>0</v>
      </c>
    </row>
    <row r="104" spans="1:11">
      <c r="A104" s="57">
        <v>1430022</v>
      </c>
      <c r="B104" s="1" t="s">
        <v>52</v>
      </c>
      <c r="C104" s="3">
        <v>4539.43</v>
      </c>
      <c r="G104" s="3">
        <f t="shared" ref="G104:G108" si="23">C104-E104</f>
        <v>4539.43</v>
      </c>
      <c r="K104" s="3">
        <f t="shared" ref="K104:K108" si="24">G104-I104</f>
        <v>4539.43</v>
      </c>
    </row>
    <row r="105" spans="1:11">
      <c r="A105" s="57">
        <v>1430081</v>
      </c>
      <c r="B105" s="1" t="s">
        <v>53</v>
      </c>
      <c r="C105" s="3">
        <v>-331.28000000000003</v>
      </c>
      <c r="G105" s="3">
        <f t="shared" si="23"/>
        <v>-331.28000000000003</v>
      </c>
      <c r="K105" s="3">
        <f t="shared" si="24"/>
        <v>-331.28000000000003</v>
      </c>
    </row>
    <row r="106" spans="1:11">
      <c r="A106" s="57">
        <v>1430083</v>
      </c>
      <c r="B106" s="1" t="s">
        <v>54</v>
      </c>
      <c r="C106" s="3">
        <v>0</v>
      </c>
      <c r="G106" s="3">
        <f t="shared" si="23"/>
        <v>0</v>
      </c>
      <c r="K106" s="3">
        <f t="shared" si="24"/>
        <v>0</v>
      </c>
    </row>
    <row r="107" spans="1:11">
      <c r="A107" s="57">
        <v>1430101</v>
      </c>
      <c r="B107" s="1" t="s">
        <v>55</v>
      </c>
      <c r="C107" s="3">
        <v>0</v>
      </c>
      <c r="G107" s="3">
        <f t="shared" si="23"/>
        <v>0</v>
      </c>
      <c r="K107" s="3">
        <f t="shared" si="24"/>
        <v>0</v>
      </c>
    </row>
    <row r="108" spans="1:11">
      <c r="A108" s="57">
        <v>1430102</v>
      </c>
      <c r="B108" s="1" t="s">
        <v>56</v>
      </c>
      <c r="C108" s="55">
        <v>70258.600000000006</v>
      </c>
      <c r="D108" s="29"/>
      <c r="E108" s="9"/>
      <c r="F108" s="9"/>
      <c r="G108" s="55">
        <f t="shared" si="23"/>
        <v>70258.600000000006</v>
      </c>
      <c r="H108" s="9"/>
      <c r="I108" s="9"/>
      <c r="J108" s="12"/>
      <c r="K108" s="55">
        <f t="shared" si="24"/>
        <v>70258.600000000006</v>
      </c>
    </row>
    <row r="109" spans="1:11">
      <c r="B109" s="1" t="s">
        <v>58</v>
      </c>
      <c r="C109" s="3">
        <f>SUM(C103:C108)</f>
        <v>74466.75</v>
      </c>
      <c r="G109" s="5">
        <f>SUM(G103:G108)</f>
        <v>74466.75</v>
      </c>
      <c r="I109" s="3">
        <f>SUM(I103:I108)</f>
        <v>0</v>
      </c>
      <c r="K109" s="3">
        <f>SUM(K103:K108)</f>
        <v>74466.75</v>
      </c>
    </row>
    <row r="110" spans="1:11">
      <c r="G110" s="3"/>
      <c r="K110" s="3"/>
    </row>
    <row r="111" spans="1:11">
      <c r="A111" s="57" t="s">
        <v>551</v>
      </c>
      <c r="B111" s="1" t="s">
        <v>552</v>
      </c>
      <c r="C111" s="3">
        <v>0</v>
      </c>
      <c r="G111" s="3">
        <f>C111-E111</f>
        <v>0</v>
      </c>
      <c r="H111" s="3"/>
      <c r="K111" s="3">
        <f>G111-I111</f>
        <v>0</v>
      </c>
    </row>
    <row r="112" spans="1:11">
      <c r="A112" s="57">
        <v>1440002</v>
      </c>
      <c r="B112" s="1" t="s">
        <v>59</v>
      </c>
      <c r="C112" s="55">
        <v>371.91</v>
      </c>
      <c r="D112" s="30"/>
      <c r="E112" s="31"/>
      <c r="F112" s="31"/>
      <c r="G112" s="55">
        <f>C112-E112</f>
        <v>371.91</v>
      </c>
      <c r="H112" s="31"/>
      <c r="I112" s="31"/>
      <c r="J112" s="76"/>
      <c r="K112" s="55">
        <f>G112-I112</f>
        <v>371.91</v>
      </c>
    </row>
    <row r="113" spans="1:11">
      <c r="B113" s="1" t="s">
        <v>60</v>
      </c>
      <c r="C113" s="3">
        <f>SUM(C111:C112)</f>
        <v>371.91</v>
      </c>
      <c r="G113" s="5">
        <f>SUM(G111:G112)</f>
        <v>371.91</v>
      </c>
      <c r="I113" s="3">
        <f>SUM(I111:I112)</f>
        <v>0</v>
      </c>
      <c r="K113" s="3">
        <f>SUM(K111:K112)</f>
        <v>371.91</v>
      </c>
    </row>
    <row r="114" spans="1:11">
      <c r="G114" s="3"/>
      <c r="K114" s="3"/>
    </row>
    <row r="115" spans="1:11">
      <c r="A115" s="57">
        <v>1460001</v>
      </c>
      <c r="B115" s="1" t="s">
        <v>61</v>
      </c>
      <c r="C115" s="3">
        <v>18047753.870000001</v>
      </c>
      <c r="G115" s="3">
        <f>C115-E115</f>
        <v>18047753.870000001</v>
      </c>
      <c r="K115" s="3">
        <f>G115-I115</f>
        <v>18047753.870000001</v>
      </c>
    </row>
    <row r="116" spans="1:11">
      <c r="A116" s="57">
        <v>1460006</v>
      </c>
      <c r="B116" s="1" t="s">
        <v>62</v>
      </c>
      <c r="C116" s="3">
        <v>235036.21</v>
      </c>
      <c r="G116" s="3">
        <f t="shared" ref="G116:G119" si="25">C116-E116</f>
        <v>235036.21</v>
      </c>
      <c r="K116" s="3">
        <f t="shared" ref="K116:K119" si="26">G116-I116</f>
        <v>235036.21</v>
      </c>
    </row>
    <row r="117" spans="1:11">
      <c r="A117" s="57">
        <v>1460009</v>
      </c>
      <c r="B117" s="1" t="s">
        <v>63</v>
      </c>
      <c r="C117" s="3">
        <v>4582.59</v>
      </c>
      <c r="G117" s="3">
        <f t="shared" si="25"/>
        <v>4582.59</v>
      </c>
      <c r="K117" s="3">
        <f t="shared" si="26"/>
        <v>4582.59</v>
      </c>
    </row>
    <row r="118" spans="1:11">
      <c r="A118" s="57">
        <v>1460011</v>
      </c>
      <c r="B118" s="1" t="s">
        <v>64</v>
      </c>
      <c r="C118" s="3">
        <v>1330558.97</v>
      </c>
      <c r="G118" s="3">
        <f t="shared" si="25"/>
        <v>1330558.97</v>
      </c>
      <c r="K118" s="3">
        <f t="shared" si="26"/>
        <v>1330558.97</v>
      </c>
    </row>
    <row r="119" spans="1:11">
      <c r="A119" s="57">
        <v>1460025</v>
      </c>
      <c r="B119" s="1" t="s">
        <v>65</v>
      </c>
      <c r="C119" s="55">
        <v>140114.20000000001</v>
      </c>
      <c r="D119" s="29"/>
      <c r="E119" s="9"/>
      <c r="F119" s="9"/>
      <c r="G119" s="55">
        <f t="shared" si="25"/>
        <v>140114.20000000001</v>
      </c>
      <c r="H119" s="9"/>
      <c r="I119" s="9"/>
      <c r="J119" s="12"/>
      <c r="K119" s="55">
        <f t="shared" si="26"/>
        <v>140114.20000000001</v>
      </c>
    </row>
    <row r="120" spans="1:11">
      <c r="B120" s="1" t="s">
        <v>66</v>
      </c>
      <c r="C120" s="4">
        <f>SUM(C115:C119)</f>
        <v>19758045.84</v>
      </c>
      <c r="G120" s="33">
        <f>SUM(G115:G119)</f>
        <v>19758045.84</v>
      </c>
      <c r="I120" s="3">
        <f>SUM(I115:I119)</f>
        <v>0</v>
      </c>
      <c r="K120" s="4">
        <f>SUM(K115:K119)</f>
        <v>19758045.84</v>
      </c>
    </row>
    <row r="121" spans="1:11">
      <c r="B121" s="1" t="s">
        <v>455</v>
      </c>
      <c r="C121" s="3">
        <f>C101+C109+C120-C113</f>
        <v>35538556.274000004</v>
      </c>
      <c r="G121" s="3">
        <f>G101+G109+G120-G113</f>
        <v>35538556.274000004</v>
      </c>
      <c r="I121" s="3"/>
      <c r="K121" s="3">
        <f>K101+K109+K120-K113</f>
        <v>35538556.274000004</v>
      </c>
    </row>
    <row r="122" spans="1:11">
      <c r="G122" s="3"/>
      <c r="K122" s="3"/>
    </row>
    <row r="123" spans="1:11">
      <c r="A123" s="57">
        <v>1510001</v>
      </c>
      <c r="B123" s="1" t="s">
        <v>67</v>
      </c>
      <c r="C123" s="3">
        <v>55539789.090000004</v>
      </c>
      <c r="G123" s="3">
        <f>C123-E123</f>
        <v>55539789.090000004</v>
      </c>
      <c r="I123" s="10">
        <f>C123</f>
        <v>55539789.090000004</v>
      </c>
      <c r="K123" s="3">
        <f>G123-I123</f>
        <v>0</v>
      </c>
    </row>
    <row r="124" spans="1:11">
      <c r="A124" s="57">
        <v>1510002</v>
      </c>
      <c r="B124" s="1" t="s">
        <v>68</v>
      </c>
      <c r="C124" s="3">
        <v>647435.38</v>
      </c>
      <c r="G124" s="3">
        <f t="shared" ref="G124:G127" si="27">C124-E124</f>
        <v>647435.38</v>
      </c>
      <c r="I124" s="10">
        <f t="shared" ref="I124:I127" si="28">C124</f>
        <v>647435.38</v>
      </c>
      <c r="K124" s="3">
        <f t="shared" ref="K124:K127" si="29">G124-I124</f>
        <v>0</v>
      </c>
    </row>
    <row r="125" spans="1:11">
      <c r="A125" s="57">
        <v>1510003</v>
      </c>
      <c r="B125" s="1" t="s">
        <v>360</v>
      </c>
      <c r="C125" s="3">
        <v>150844.63</v>
      </c>
      <c r="G125" s="3">
        <f t="shared" si="27"/>
        <v>150844.63</v>
      </c>
      <c r="I125" s="10">
        <f t="shared" si="28"/>
        <v>150844.63</v>
      </c>
      <c r="K125" s="3">
        <f t="shared" si="29"/>
        <v>0</v>
      </c>
    </row>
    <row r="126" spans="1:11">
      <c r="A126" s="57">
        <v>1510020</v>
      </c>
      <c r="B126" s="1" t="s">
        <v>69</v>
      </c>
      <c r="C126" s="3">
        <v>482245.12</v>
      </c>
      <c r="G126" s="3">
        <f t="shared" si="27"/>
        <v>482245.12</v>
      </c>
      <c r="I126" s="10">
        <f t="shared" si="28"/>
        <v>482245.12</v>
      </c>
      <c r="K126" s="3">
        <f t="shared" si="29"/>
        <v>0</v>
      </c>
    </row>
    <row r="127" spans="1:11">
      <c r="A127" s="57">
        <v>1520000</v>
      </c>
      <c r="B127" s="1" t="s">
        <v>70</v>
      </c>
      <c r="C127" s="55">
        <v>2810210.0440000002</v>
      </c>
      <c r="G127" s="55">
        <f t="shared" si="27"/>
        <v>2810210.0440000002</v>
      </c>
      <c r="I127" s="94">
        <f t="shared" si="28"/>
        <v>2810210.0440000002</v>
      </c>
      <c r="J127" s="12"/>
      <c r="K127" s="55">
        <f t="shared" si="29"/>
        <v>0</v>
      </c>
    </row>
    <row r="128" spans="1:11">
      <c r="B128" s="1" t="s">
        <v>71</v>
      </c>
      <c r="C128" s="3">
        <f>SUM(C123:C127)</f>
        <v>59630524.264000006</v>
      </c>
      <c r="G128" s="5">
        <f>SUM(G123:G127)</f>
        <v>59630524.264000006</v>
      </c>
      <c r="I128" s="16">
        <f>SUM(I123:I127)</f>
        <v>59630524.264000006</v>
      </c>
      <c r="K128" s="3">
        <f>SUM(K123:K127)</f>
        <v>0</v>
      </c>
    </row>
    <row r="129" spans="1:11">
      <c r="G129" s="3"/>
      <c r="K129" s="3"/>
    </row>
    <row r="130" spans="1:11">
      <c r="A130" s="58" t="s">
        <v>477</v>
      </c>
      <c r="B130" s="1" t="s">
        <v>29</v>
      </c>
      <c r="C130" s="3">
        <v>8332549.3430000003</v>
      </c>
      <c r="G130" s="3">
        <f>C130-E130</f>
        <v>8332549.3430000003</v>
      </c>
      <c r="I130" s="10">
        <f t="shared" ref="I130:I131" si="30">C130</f>
        <v>8332549.3430000003</v>
      </c>
      <c r="K130" s="3">
        <f>G130-I130</f>
        <v>0</v>
      </c>
    </row>
    <row r="131" spans="1:11">
      <c r="A131" s="57">
        <v>1581003</v>
      </c>
      <c r="B131" s="1" t="s">
        <v>80</v>
      </c>
      <c r="C131" s="3">
        <v>74757.687000000005</v>
      </c>
      <c r="G131" s="3">
        <f>C131-E131</f>
        <v>74757.687000000005</v>
      </c>
      <c r="I131" s="10">
        <f t="shared" si="30"/>
        <v>74757.687000000005</v>
      </c>
      <c r="K131" s="3">
        <f>G131-I131</f>
        <v>0</v>
      </c>
    </row>
    <row r="132" spans="1:11">
      <c r="A132" s="57">
        <v>1581009</v>
      </c>
      <c r="B132" s="1" t="s">
        <v>81</v>
      </c>
      <c r="C132" s="24">
        <v>20011.75</v>
      </c>
      <c r="G132" s="24">
        <f t="shared" ref="G132:G133" si="31">C132-E132</f>
        <v>20011.75</v>
      </c>
      <c r="I132" s="92">
        <f t="shared" ref="I132:I133" si="32">C132</f>
        <v>20011.75</v>
      </c>
      <c r="J132" s="12"/>
      <c r="K132" s="24">
        <f>G132-I132</f>
        <v>0</v>
      </c>
    </row>
    <row r="133" spans="1:11">
      <c r="A133" s="57" t="s">
        <v>624</v>
      </c>
      <c r="B133" s="1" t="s">
        <v>625</v>
      </c>
      <c r="C133" s="55">
        <v>82000</v>
      </c>
      <c r="G133" s="55">
        <f t="shared" si="31"/>
        <v>82000</v>
      </c>
      <c r="I133" s="94">
        <f t="shared" si="32"/>
        <v>82000</v>
      </c>
      <c r="J133" s="12"/>
      <c r="K133" s="55">
        <f>G133-I133</f>
        <v>0</v>
      </c>
    </row>
    <row r="134" spans="1:11">
      <c r="B134" s="1" t="s">
        <v>82</v>
      </c>
      <c r="C134" s="54">
        <f>SUM(C130:C133)</f>
        <v>8509318.7800000012</v>
      </c>
      <c r="G134" s="5">
        <f>SUM(G130:G133)</f>
        <v>8509318.7800000012</v>
      </c>
      <c r="I134" s="5">
        <f>SUM(I130:I133)</f>
        <v>8509318.7800000012</v>
      </c>
      <c r="K134" s="3">
        <f>SUM(K131:K132)</f>
        <v>0</v>
      </c>
    </row>
    <row r="135" spans="1:11">
      <c r="C135" s="5"/>
      <c r="G135" s="5"/>
      <c r="I135" s="5"/>
      <c r="K135" s="3">
        <f>SUM(K132:K134)</f>
        <v>0</v>
      </c>
    </row>
    <row r="136" spans="1:11">
      <c r="A136" s="58" t="s">
        <v>477</v>
      </c>
      <c r="B136" s="1" t="s">
        <v>29</v>
      </c>
      <c r="C136" s="4">
        <v>8332549.3430000003</v>
      </c>
      <c r="G136" s="4">
        <f>C136-E136</f>
        <v>8332549.3430000003</v>
      </c>
      <c r="I136" s="14">
        <v>0</v>
      </c>
      <c r="K136" s="4">
        <f>G136-I136</f>
        <v>8332549.3430000003</v>
      </c>
    </row>
    <row r="137" spans="1:11">
      <c r="A137" s="58"/>
      <c r="B137" s="61" t="s">
        <v>536</v>
      </c>
      <c r="C137" s="5">
        <f>+C136</f>
        <v>8332549.3430000003</v>
      </c>
      <c r="G137" s="5">
        <f>+G136</f>
        <v>8332549.3430000003</v>
      </c>
      <c r="I137" s="10">
        <v>0</v>
      </c>
      <c r="K137" s="5">
        <f>+G137</f>
        <v>8332549.3430000003</v>
      </c>
    </row>
    <row r="138" spans="1:11">
      <c r="G138" s="3"/>
      <c r="K138" s="3"/>
    </row>
    <row r="139" spans="1:11">
      <c r="A139" s="57">
        <v>1540001</v>
      </c>
      <c r="B139" s="1" t="s">
        <v>72</v>
      </c>
      <c r="C139" s="3">
        <v>20144386.305</v>
      </c>
      <c r="G139" s="3">
        <f>C139-E139</f>
        <v>20144386.305</v>
      </c>
      <c r="I139" s="10">
        <f>C139</f>
        <v>20144386.305</v>
      </c>
      <c r="K139" s="3">
        <f>G139-I139</f>
        <v>0</v>
      </c>
    </row>
    <row r="140" spans="1:11">
      <c r="A140" s="57" t="s">
        <v>478</v>
      </c>
      <c r="B140" s="1" t="s">
        <v>479</v>
      </c>
      <c r="C140" s="3">
        <v>1551.21</v>
      </c>
      <c r="G140" s="3">
        <f t="shared" ref="G140:G147" si="33">C140-E140</f>
        <v>1551.21</v>
      </c>
      <c r="I140" s="10">
        <f t="shared" ref="I140:I147" si="34">C140</f>
        <v>1551.21</v>
      </c>
      <c r="K140" s="3"/>
    </row>
    <row r="141" spans="1:11">
      <c r="A141" s="57">
        <v>1540004</v>
      </c>
      <c r="B141" s="1" t="s">
        <v>73</v>
      </c>
      <c r="C141" s="3">
        <v>85726.516999999993</v>
      </c>
      <c r="G141" s="3">
        <f t="shared" si="33"/>
        <v>85726.516999999993</v>
      </c>
      <c r="I141" s="10">
        <f t="shared" si="34"/>
        <v>85726.516999999993</v>
      </c>
      <c r="K141" s="3">
        <f t="shared" ref="K141:K147" si="35">G141-I141</f>
        <v>0</v>
      </c>
    </row>
    <row r="142" spans="1:11">
      <c r="A142" s="57">
        <v>1540006</v>
      </c>
      <c r="B142" s="1" t="s">
        <v>74</v>
      </c>
      <c r="C142" s="3">
        <v>1039614.73</v>
      </c>
      <c r="G142" s="3">
        <f t="shared" si="33"/>
        <v>1039614.73</v>
      </c>
      <c r="I142" s="10">
        <f t="shared" si="34"/>
        <v>1039614.73</v>
      </c>
      <c r="K142" s="3">
        <f t="shared" si="35"/>
        <v>0</v>
      </c>
    </row>
    <row r="143" spans="1:11">
      <c r="A143" s="57">
        <v>1540012</v>
      </c>
      <c r="B143" s="1" t="s">
        <v>75</v>
      </c>
      <c r="C143" s="3">
        <v>267326.34000000003</v>
      </c>
      <c r="G143" s="3">
        <f t="shared" si="33"/>
        <v>267326.34000000003</v>
      </c>
      <c r="I143" s="10">
        <f t="shared" si="34"/>
        <v>267326.34000000003</v>
      </c>
      <c r="K143" s="3">
        <f t="shared" si="35"/>
        <v>0</v>
      </c>
    </row>
    <row r="144" spans="1:11">
      <c r="A144" s="57">
        <v>1540013</v>
      </c>
      <c r="B144" s="1" t="s">
        <v>76</v>
      </c>
      <c r="C144" s="3">
        <v>756014.58</v>
      </c>
      <c r="G144" s="3">
        <f t="shared" si="33"/>
        <v>756014.58</v>
      </c>
      <c r="I144" s="10">
        <f t="shared" si="34"/>
        <v>756014.58</v>
      </c>
      <c r="K144" s="3">
        <f t="shared" si="35"/>
        <v>0</v>
      </c>
    </row>
    <row r="145" spans="1:11">
      <c r="A145" s="57">
        <v>1540022</v>
      </c>
      <c r="B145" s="1" t="s">
        <v>77</v>
      </c>
      <c r="C145" s="3">
        <v>0</v>
      </c>
      <c r="G145" s="3">
        <f t="shared" si="33"/>
        <v>0</v>
      </c>
      <c r="I145" s="10">
        <f t="shared" si="34"/>
        <v>0</v>
      </c>
      <c r="K145" s="3">
        <f t="shared" si="35"/>
        <v>0</v>
      </c>
    </row>
    <row r="146" spans="1:11">
      <c r="A146" s="57">
        <v>1540023</v>
      </c>
      <c r="B146" s="1" t="s">
        <v>78</v>
      </c>
      <c r="C146" s="3">
        <v>547477.72</v>
      </c>
      <c r="G146" s="3">
        <f t="shared" si="33"/>
        <v>547477.72</v>
      </c>
      <c r="I146" s="10">
        <f t="shared" si="34"/>
        <v>547477.72</v>
      </c>
      <c r="K146" s="3">
        <f t="shared" si="35"/>
        <v>0</v>
      </c>
    </row>
    <row r="147" spans="1:11">
      <c r="A147" s="57" t="s">
        <v>553</v>
      </c>
      <c r="B147" s="1" t="s">
        <v>554</v>
      </c>
      <c r="C147" s="4">
        <v>0.01</v>
      </c>
      <c r="G147" s="4">
        <f t="shared" si="33"/>
        <v>0.01</v>
      </c>
      <c r="I147" s="14">
        <f t="shared" si="34"/>
        <v>0.01</v>
      </c>
      <c r="K147" s="4">
        <f t="shared" si="35"/>
        <v>0</v>
      </c>
    </row>
    <row r="148" spans="1:11">
      <c r="B148" s="1" t="s">
        <v>79</v>
      </c>
      <c r="C148" s="3">
        <f>SUM(C139:C147)</f>
        <v>22842097.412</v>
      </c>
      <c r="G148" s="5">
        <f>SUM(G139:G147)</f>
        <v>22842097.412</v>
      </c>
      <c r="I148" s="16">
        <f>SUM(I139:I147)</f>
        <v>22842097.412</v>
      </c>
      <c r="K148" s="3">
        <f>G148-I148</f>
        <v>0</v>
      </c>
    </row>
    <row r="149" spans="1:11">
      <c r="G149" s="3"/>
      <c r="K149" s="3"/>
    </row>
    <row r="150" spans="1:11">
      <c r="A150" s="57">
        <v>1730000</v>
      </c>
      <c r="B150" s="1" t="s">
        <v>83</v>
      </c>
      <c r="C150" s="3">
        <v>7640139.5099999998</v>
      </c>
      <c r="G150" s="3">
        <f>C150-E150</f>
        <v>7640139.5099999998</v>
      </c>
      <c r="K150" s="3">
        <f>G150-I150</f>
        <v>7640139.5099999998</v>
      </c>
    </row>
    <row r="151" spans="1:11">
      <c r="A151" s="57">
        <v>1730002</v>
      </c>
      <c r="B151" s="1" t="s">
        <v>84</v>
      </c>
      <c r="C151" s="55">
        <v>-11965180.210000001</v>
      </c>
      <c r="G151" s="55">
        <f>C151-E151</f>
        <v>-11965180.210000001</v>
      </c>
      <c r="K151" s="55">
        <f>G151-I151</f>
        <v>-11965180.210000001</v>
      </c>
    </row>
    <row r="152" spans="1:11">
      <c r="B152" s="1" t="s">
        <v>83</v>
      </c>
      <c r="C152" s="3">
        <f>SUM(C150:C151)</f>
        <v>-4325040.7000000011</v>
      </c>
      <c r="G152" s="5">
        <f>SUM(G150:G151)</f>
        <v>-4325040.7000000011</v>
      </c>
      <c r="I152" s="3">
        <f>SUM(I150:I151)</f>
        <v>0</v>
      </c>
      <c r="K152" s="3">
        <f>SUM(K150:K151)</f>
        <v>-4325040.7000000011</v>
      </c>
    </row>
    <row r="153" spans="1:11">
      <c r="G153" s="3"/>
      <c r="K153" s="3"/>
    </row>
    <row r="154" spans="1:11">
      <c r="A154" s="57">
        <v>1750001</v>
      </c>
      <c r="B154" s="1" t="s">
        <v>85</v>
      </c>
      <c r="C154" s="3">
        <v>3015258.43</v>
      </c>
      <c r="G154" s="3">
        <f>C154-E154</f>
        <v>3015258.43</v>
      </c>
      <c r="K154" s="3">
        <f>G154-I154</f>
        <v>3015258.43</v>
      </c>
    </row>
    <row r="155" spans="1:11">
      <c r="A155" s="57">
        <v>1750002</v>
      </c>
      <c r="B155" s="1" t="s">
        <v>84</v>
      </c>
      <c r="C155" s="55">
        <v>0</v>
      </c>
      <c r="D155" s="29"/>
      <c r="E155" s="9"/>
      <c r="F155" s="9"/>
      <c r="G155" s="55">
        <f t="shared" ref="G155" si="36">C155-E155</f>
        <v>0</v>
      </c>
      <c r="H155" s="9"/>
      <c r="I155" s="9"/>
      <c r="J155" s="12"/>
      <c r="K155" s="55">
        <f t="shared" ref="K155" si="37">G155-I155</f>
        <v>0</v>
      </c>
    </row>
    <row r="156" spans="1:11">
      <c r="B156" s="1" t="s">
        <v>86</v>
      </c>
      <c r="C156" s="3">
        <f>SUM(C154:C155)-C155</f>
        <v>3015258.43</v>
      </c>
      <c r="G156" s="5">
        <f>SUM(G154:G155)-G155</f>
        <v>3015258.43</v>
      </c>
      <c r="I156" s="3">
        <f>SUM(I154:I155)</f>
        <v>0</v>
      </c>
      <c r="K156" s="5">
        <f>SUM(K154:K155)-K155</f>
        <v>3015258.43</v>
      </c>
    </row>
    <row r="157" spans="1:11">
      <c r="G157" s="3"/>
      <c r="K157" s="3"/>
    </row>
    <row r="158" spans="1:11">
      <c r="A158" s="57">
        <v>1650001</v>
      </c>
      <c r="B158" s="1" t="s">
        <v>87</v>
      </c>
      <c r="C158" s="3">
        <v>242777.77000000002</v>
      </c>
      <c r="G158" s="3">
        <f>C158-E158</f>
        <v>242777.77000000002</v>
      </c>
      <c r="I158" s="10">
        <f>C158</f>
        <v>242777.77000000002</v>
      </c>
      <c r="K158" s="3">
        <f>G158-I158</f>
        <v>0</v>
      </c>
    </row>
    <row r="159" spans="1:11">
      <c r="A159" s="57" t="s">
        <v>557</v>
      </c>
      <c r="B159" s="1" t="s">
        <v>88</v>
      </c>
      <c r="C159" s="3">
        <v>0</v>
      </c>
      <c r="G159" s="3">
        <f t="shared" ref="G159:G174" si="38">C159-E159</f>
        <v>0</v>
      </c>
      <c r="I159" s="10">
        <f t="shared" ref="I159:I172" si="39">C159</f>
        <v>0</v>
      </c>
      <c r="K159" s="3">
        <f t="shared" ref="K159:K174" si="40">G159-I159</f>
        <v>0</v>
      </c>
    </row>
    <row r="160" spans="1:11">
      <c r="A160" s="57" t="s">
        <v>558</v>
      </c>
      <c r="B160" s="1" t="s">
        <v>88</v>
      </c>
      <c r="C160" s="3">
        <v>0</v>
      </c>
      <c r="G160" s="3">
        <f t="shared" si="38"/>
        <v>0</v>
      </c>
      <c r="I160" s="10">
        <f t="shared" si="39"/>
        <v>0</v>
      </c>
      <c r="K160" s="3">
        <f t="shared" si="40"/>
        <v>0</v>
      </c>
    </row>
    <row r="161" spans="1:11">
      <c r="A161" s="57">
        <v>1650006</v>
      </c>
      <c r="B161" s="1" t="s">
        <v>361</v>
      </c>
      <c r="C161" s="3">
        <v>66120.56</v>
      </c>
      <c r="G161" s="3">
        <f t="shared" si="38"/>
        <v>66120.56</v>
      </c>
      <c r="I161" s="10">
        <f t="shared" si="39"/>
        <v>66120.56</v>
      </c>
      <c r="K161" s="3">
        <f t="shared" si="40"/>
        <v>0</v>
      </c>
    </row>
    <row r="162" spans="1:11">
      <c r="A162" s="57">
        <v>1650009</v>
      </c>
      <c r="B162" s="1" t="s">
        <v>89</v>
      </c>
      <c r="C162" s="3">
        <v>125788.27</v>
      </c>
      <c r="G162" s="3">
        <f t="shared" si="38"/>
        <v>125788.27</v>
      </c>
      <c r="I162" s="10">
        <f t="shared" si="39"/>
        <v>125788.27</v>
      </c>
      <c r="K162" s="3">
        <f t="shared" si="40"/>
        <v>0</v>
      </c>
    </row>
    <row r="163" spans="1:11">
      <c r="A163" s="57">
        <v>1650010</v>
      </c>
      <c r="B163" s="1" t="s">
        <v>90</v>
      </c>
      <c r="C163" s="3">
        <v>14250943.050000001</v>
      </c>
      <c r="G163" s="3">
        <f t="shared" si="38"/>
        <v>14250943.050000001</v>
      </c>
      <c r="I163" s="10">
        <f>C163</f>
        <v>14250943.050000001</v>
      </c>
      <c r="K163" s="3">
        <f>G163-I163</f>
        <v>0</v>
      </c>
    </row>
    <row r="164" spans="1:11">
      <c r="A164" s="57" t="s">
        <v>626</v>
      </c>
      <c r="B164" s="1" t="s">
        <v>91</v>
      </c>
      <c r="C164" s="3">
        <v>0</v>
      </c>
      <c r="G164" s="3">
        <f t="shared" si="38"/>
        <v>0</v>
      </c>
      <c r="I164" s="10">
        <f t="shared" si="39"/>
        <v>0</v>
      </c>
      <c r="K164" s="3">
        <f t="shared" si="40"/>
        <v>0</v>
      </c>
    </row>
    <row r="165" spans="1:11">
      <c r="A165" s="57" t="s">
        <v>627</v>
      </c>
      <c r="B165" s="1" t="s">
        <v>91</v>
      </c>
      <c r="C165" s="3">
        <v>332475</v>
      </c>
      <c r="G165" s="3">
        <f t="shared" si="38"/>
        <v>332475</v>
      </c>
      <c r="I165" s="10">
        <f t="shared" si="39"/>
        <v>332475</v>
      </c>
      <c r="K165" s="3">
        <f t="shared" si="40"/>
        <v>0</v>
      </c>
    </row>
    <row r="166" spans="1:11">
      <c r="A166" s="57" t="s">
        <v>628</v>
      </c>
      <c r="B166" s="1" t="s">
        <v>92</v>
      </c>
      <c r="C166" s="3">
        <v>0</v>
      </c>
      <c r="G166" s="3">
        <f t="shared" si="38"/>
        <v>0</v>
      </c>
      <c r="I166" s="10">
        <f t="shared" si="39"/>
        <v>0</v>
      </c>
      <c r="K166" s="3">
        <f t="shared" si="40"/>
        <v>0</v>
      </c>
    </row>
    <row r="167" spans="1:11">
      <c r="A167" s="57" t="s">
        <v>629</v>
      </c>
      <c r="B167" s="1" t="s">
        <v>92</v>
      </c>
      <c r="C167" s="3">
        <v>81180</v>
      </c>
      <c r="G167" s="3">
        <f t="shared" si="38"/>
        <v>81180</v>
      </c>
      <c r="I167" s="10">
        <f t="shared" si="39"/>
        <v>81180</v>
      </c>
      <c r="K167" s="3">
        <f t="shared" si="40"/>
        <v>0</v>
      </c>
    </row>
    <row r="168" spans="1:11">
      <c r="A168" s="57">
        <v>1650014</v>
      </c>
      <c r="B168" s="1" t="s">
        <v>93</v>
      </c>
      <c r="C168" s="3">
        <v>-14250943.050000001</v>
      </c>
      <c r="G168" s="3">
        <f t="shared" si="38"/>
        <v>-14250943.050000001</v>
      </c>
      <c r="K168" s="3">
        <f t="shared" si="40"/>
        <v>-14250943.050000001</v>
      </c>
    </row>
    <row r="169" spans="1:11">
      <c r="A169" s="57">
        <v>1650021</v>
      </c>
      <c r="B169" s="1" t="s">
        <v>94</v>
      </c>
      <c r="C169" s="3">
        <v>465574.62300000002</v>
      </c>
      <c r="G169" s="3">
        <f t="shared" si="38"/>
        <v>465574.62300000002</v>
      </c>
      <c r="I169" s="10">
        <f>C169</f>
        <v>465574.62300000002</v>
      </c>
      <c r="K169" s="3">
        <f t="shared" si="40"/>
        <v>0</v>
      </c>
    </row>
    <row r="170" spans="1:11">
      <c r="A170" s="57">
        <v>1650023</v>
      </c>
      <c r="B170" s="1" t="s">
        <v>95</v>
      </c>
      <c r="C170" s="3">
        <v>38741.93</v>
      </c>
      <c r="G170" s="3">
        <f t="shared" si="38"/>
        <v>38741.93</v>
      </c>
      <c r="I170" s="10">
        <f t="shared" si="39"/>
        <v>38741.93</v>
      </c>
      <c r="K170" s="3">
        <f t="shared" si="40"/>
        <v>0</v>
      </c>
    </row>
    <row r="171" spans="1:11">
      <c r="A171" s="57">
        <v>1650035</v>
      </c>
      <c r="B171" s="1" t="s">
        <v>96</v>
      </c>
      <c r="C171" s="3">
        <v>34208983.539999999</v>
      </c>
      <c r="G171" s="3">
        <f t="shared" si="38"/>
        <v>34208983.539999999</v>
      </c>
      <c r="I171" s="10">
        <f t="shared" si="39"/>
        <v>34208983.539999999</v>
      </c>
      <c r="K171" s="3">
        <f t="shared" si="40"/>
        <v>0</v>
      </c>
    </row>
    <row r="172" spans="1:11">
      <c r="A172" s="57">
        <v>1650036</v>
      </c>
      <c r="B172" s="1" t="s">
        <v>97</v>
      </c>
      <c r="C172" s="3">
        <v>0</v>
      </c>
      <c r="G172" s="3">
        <f t="shared" si="38"/>
        <v>0</v>
      </c>
      <c r="I172" s="10">
        <f t="shared" si="39"/>
        <v>0</v>
      </c>
      <c r="K172" s="3">
        <f t="shared" si="40"/>
        <v>0</v>
      </c>
    </row>
    <row r="173" spans="1:11">
      <c r="A173" s="57">
        <v>1650037</v>
      </c>
      <c r="B173" s="1" t="s">
        <v>98</v>
      </c>
      <c r="C173" s="24">
        <v>-34208983.539999999</v>
      </c>
      <c r="D173" s="30"/>
      <c r="E173" s="31"/>
      <c r="F173" s="31"/>
      <c r="G173" s="24">
        <f t="shared" si="38"/>
        <v>-34208983.539999999</v>
      </c>
      <c r="H173" s="31"/>
      <c r="I173" s="31"/>
      <c r="J173" s="76"/>
      <c r="K173" s="24">
        <f t="shared" si="40"/>
        <v>-34208983.539999999</v>
      </c>
    </row>
    <row r="174" spans="1:11">
      <c r="A174" s="57" t="s">
        <v>555</v>
      </c>
      <c r="B174" s="1" t="s">
        <v>556</v>
      </c>
      <c r="C174" s="24">
        <v>79427.600000000006</v>
      </c>
      <c r="D174" s="30"/>
      <c r="E174" s="31"/>
      <c r="F174" s="31"/>
      <c r="G174" s="24">
        <f t="shared" si="38"/>
        <v>79427.600000000006</v>
      </c>
      <c r="H174" s="31"/>
      <c r="I174" s="31">
        <f>G174</f>
        <v>79427.600000000006</v>
      </c>
      <c r="J174" s="76"/>
      <c r="K174" s="24">
        <f t="shared" si="40"/>
        <v>0</v>
      </c>
    </row>
    <row r="175" spans="1:11">
      <c r="A175" s="57">
        <v>1720000</v>
      </c>
      <c r="B175" s="1" t="s">
        <v>57</v>
      </c>
      <c r="C175" s="24">
        <v>4187689.39</v>
      </c>
      <c r="D175" s="30"/>
      <c r="E175" s="31"/>
      <c r="F175" s="31"/>
      <c r="G175" s="24">
        <f>C175-E175</f>
        <v>4187689.39</v>
      </c>
      <c r="H175" s="31"/>
      <c r="I175" s="31"/>
      <c r="J175" s="76"/>
      <c r="K175" s="24">
        <f>G175-I175</f>
        <v>4187689.39</v>
      </c>
    </row>
    <row r="176" spans="1:11">
      <c r="B176" s="1" t="s">
        <v>434</v>
      </c>
      <c r="C176" s="4">
        <f>SUM(C158:C175)-C137</f>
        <v>-2712774.200000003</v>
      </c>
      <c r="G176" s="4">
        <f>SUM(G158:G175)-G137</f>
        <v>-2712774.200000003</v>
      </c>
      <c r="I176" s="4">
        <f>SUM(I158:I175)-I137</f>
        <v>49892012.343000002</v>
      </c>
      <c r="K176" s="4">
        <f>SUM(K158:K175)-K137</f>
        <v>-52604786.543000005</v>
      </c>
    </row>
    <row r="177" spans="1:11">
      <c r="B177" s="1" t="s">
        <v>104</v>
      </c>
      <c r="C177" s="3">
        <f>C77+C80+C101+C109-C113+C120+C128+C134+C148+C152+C156+C176</f>
        <v>125946478.31200001</v>
      </c>
      <c r="E177" s="3"/>
      <c r="F177" s="3"/>
      <c r="G177" s="3">
        <f>G77+G80+G101+G109-G113+G120+G128+G134+G148+G152+G156+G176</f>
        <v>125946478.31200001</v>
      </c>
      <c r="I177" s="3">
        <f>I77+I80+I101+I109-I113+I120+I128+I134+I148+I152+I156+I176</f>
        <v>143193802.41100001</v>
      </c>
      <c r="J177" s="77"/>
      <c r="K177" s="3">
        <f>K77+K80+K101+K109-K113+K120+K128+K134+K148+K152+K156+K176</f>
        <v>-17247324.099000007</v>
      </c>
    </row>
    <row r="179" spans="1:11">
      <c r="G179" s="3"/>
      <c r="K179" s="3"/>
    </row>
    <row r="180" spans="1:11">
      <c r="A180" s="58" t="s">
        <v>480</v>
      </c>
      <c r="B180" s="1" t="s">
        <v>481</v>
      </c>
      <c r="C180" s="3">
        <v>2506318</v>
      </c>
      <c r="G180" s="3">
        <f>C180-E180</f>
        <v>2506318</v>
      </c>
      <c r="K180" s="3">
        <f>G180-I180</f>
        <v>2506318</v>
      </c>
    </row>
    <row r="181" spans="1:11">
      <c r="A181" s="57">
        <v>1823007</v>
      </c>
      <c r="B181" s="1" t="s">
        <v>105</v>
      </c>
      <c r="C181" s="3">
        <v>2784067</v>
      </c>
      <c r="G181" s="3">
        <f t="shared" ref="G181:G244" si="41">C181-E181</f>
        <v>2784067</v>
      </c>
      <c r="K181" s="3">
        <f>G181-I181</f>
        <v>2784067</v>
      </c>
    </row>
    <row r="182" spans="1:11">
      <c r="A182" s="57">
        <v>1823009</v>
      </c>
      <c r="B182" s="1" t="s">
        <v>106</v>
      </c>
      <c r="C182" s="3">
        <v>4577025.32</v>
      </c>
      <c r="G182" s="3">
        <f t="shared" si="41"/>
        <v>4577025.32</v>
      </c>
      <c r="K182" s="3">
        <f t="shared" ref="K182:K244" si="42">G182-I182</f>
        <v>4577025.32</v>
      </c>
    </row>
    <row r="183" spans="1:11">
      <c r="A183" s="57">
        <v>1823010</v>
      </c>
      <c r="B183" s="1" t="s">
        <v>107</v>
      </c>
      <c r="C183" s="3">
        <v>-65375617.329999998</v>
      </c>
      <c r="G183" s="3">
        <f t="shared" si="41"/>
        <v>-65375617.329999998</v>
      </c>
      <c r="K183" s="3">
        <f t="shared" si="42"/>
        <v>-65375617.329999998</v>
      </c>
    </row>
    <row r="184" spans="1:11">
      <c r="A184" s="57">
        <v>1823011</v>
      </c>
      <c r="B184" s="1" t="s">
        <v>108</v>
      </c>
      <c r="C184" s="3">
        <v>16328416.1</v>
      </c>
      <c r="G184" s="3">
        <f t="shared" si="41"/>
        <v>16328416.1</v>
      </c>
      <c r="K184" s="3">
        <f t="shared" si="42"/>
        <v>16328416.1</v>
      </c>
    </row>
    <row r="185" spans="1:11">
      <c r="A185" s="57">
        <v>1823012</v>
      </c>
      <c r="B185" s="1" t="s">
        <v>109</v>
      </c>
      <c r="C185" s="3">
        <v>44470175.909999996</v>
      </c>
      <c r="G185" s="3">
        <f t="shared" si="41"/>
        <v>44470175.909999996</v>
      </c>
      <c r="K185" s="3">
        <f t="shared" si="42"/>
        <v>44470175.909999996</v>
      </c>
    </row>
    <row r="186" spans="1:11">
      <c r="A186" s="57" t="s">
        <v>559</v>
      </c>
      <c r="B186" s="1" t="s">
        <v>560</v>
      </c>
      <c r="C186" s="3">
        <v>0</v>
      </c>
      <c r="G186" s="3">
        <f t="shared" si="41"/>
        <v>0</v>
      </c>
      <c r="K186" s="3">
        <f t="shared" si="42"/>
        <v>0</v>
      </c>
    </row>
    <row r="187" spans="1:11">
      <c r="A187" s="57">
        <v>1823063</v>
      </c>
      <c r="B187" s="1" t="s">
        <v>112</v>
      </c>
      <c r="C187" s="3">
        <v>3738643.14</v>
      </c>
      <c r="G187" s="3">
        <f t="shared" si="41"/>
        <v>3738643.14</v>
      </c>
      <c r="K187" s="3">
        <f t="shared" si="42"/>
        <v>3738643.14</v>
      </c>
    </row>
    <row r="188" spans="1:11">
      <c r="A188" s="57">
        <v>1823077</v>
      </c>
      <c r="B188" s="1" t="s">
        <v>113</v>
      </c>
      <c r="C188" s="3">
        <v>11658</v>
      </c>
      <c r="G188" s="3">
        <f t="shared" si="41"/>
        <v>11658</v>
      </c>
      <c r="K188" s="3">
        <f t="shared" si="42"/>
        <v>11658</v>
      </c>
    </row>
    <row r="189" spans="1:11">
      <c r="A189" s="57">
        <v>1823078</v>
      </c>
      <c r="B189" s="1" t="s">
        <v>114</v>
      </c>
      <c r="C189" s="3">
        <v>0</v>
      </c>
      <c r="G189" s="3">
        <f t="shared" si="41"/>
        <v>0</v>
      </c>
      <c r="K189" s="3">
        <f t="shared" si="42"/>
        <v>0</v>
      </c>
    </row>
    <row r="190" spans="1:11">
      <c r="A190" s="58" t="s">
        <v>482</v>
      </c>
      <c r="B190" s="1" t="s">
        <v>483</v>
      </c>
      <c r="C190" s="3">
        <v>585005.6</v>
      </c>
      <c r="G190" s="3">
        <f t="shared" si="41"/>
        <v>585005.6</v>
      </c>
      <c r="K190" s="3">
        <f t="shared" si="42"/>
        <v>585005.6</v>
      </c>
    </row>
    <row r="191" spans="1:11">
      <c r="A191" s="57">
        <v>1823115</v>
      </c>
      <c r="B191" s="1" t="s">
        <v>116</v>
      </c>
      <c r="C191" s="3">
        <v>0</v>
      </c>
      <c r="G191" s="3">
        <f t="shared" si="41"/>
        <v>0</v>
      </c>
      <c r="K191" s="3">
        <f t="shared" si="42"/>
        <v>0</v>
      </c>
    </row>
    <row r="192" spans="1:11">
      <c r="A192" s="57">
        <v>1823118</v>
      </c>
      <c r="B192" s="1" t="s">
        <v>117</v>
      </c>
      <c r="C192" s="3">
        <v>0</v>
      </c>
      <c r="G192" s="3">
        <f t="shared" si="41"/>
        <v>0</v>
      </c>
      <c r="K192" s="3">
        <f t="shared" si="42"/>
        <v>0</v>
      </c>
    </row>
    <row r="193" spans="1:11">
      <c r="A193" s="57">
        <v>1823120</v>
      </c>
      <c r="B193" s="1" t="s">
        <v>118</v>
      </c>
      <c r="C193" s="3">
        <v>0</v>
      </c>
      <c r="G193" s="3">
        <f t="shared" si="41"/>
        <v>0</v>
      </c>
      <c r="K193" s="3">
        <f t="shared" si="42"/>
        <v>0</v>
      </c>
    </row>
    <row r="194" spans="1:11">
      <c r="A194" s="57">
        <v>1823121</v>
      </c>
      <c r="B194" s="1" t="s">
        <v>119</v>
      </c>
      <c r="C194" s="3">
        <v>0</v>
      </c>
      <c r="G194" s="3">
        <f t="shared" si="41"/>
        <v>0</v>
      </c>
      <c r="K194" s="3">
        <f t="shared" si="42"/>
        <v>0</v>
      </c>
    </row>
    <row r="195" spans="1:11">
      <c r="A195" s="57">
        <v>1823122</v>
      </c>
      <c r="B195" s="1" t="s">
        <v>120</v>
      </c>
      <c r="C195" s="3">
        <v>0</v>
      </c>
      <c r="G195" s="3">
        <f t="shared" si="41"/>
        <v>0</v>
      </c>
      <c r="K195" s="3">
        <f t="shared" si="42"/>
        <v>0</v>
      </c>
    </row>
    <row r="196" spans="1:11">
      <c r="A196" s="57">
        <v>1823165</v>
      </c>
      <c r="B196" s="1" t="s">
        <v>121</v>
      </c>
      <c r="C196" s="3">
        <v>18985056.75</v>
      </c>
      <c r="G196" s="3">
        <f t="shared" si="41"/>
        <v>18985056.75</v>
      </c>
      <c r="K196" s="3">
        <f t="shared" si="42"/>
        <v>18985056.75</v>
      </c>
    </row>
    <row r="197" spans="1:11">
      <c r="A197" s="57">
        <v>1823166</v>
      </c>
      <c r="B197" s="1" t="s">
        <v>122</v>
      </c>
      <c r="C197" s="3">
        <v>-5202840.25</v>
      </c>
      <c r="G197" s="3">
        <f t="shared" si="41"/>
        <v>-5202840.25</v>
      </c>
      <c r="K197" s="3">
        <f t="shared" si="42"/>
        <v>-5202840.25</v>
      </c>
    </row>
    <row r="198" spans="1:11">
      <c r="A198" s="57">
        <v>1823167</v>
      </c>
      <c r="B198" s="1" t="s">
        <v>123</v>
      </c>
      <c r="C198" s="3">
        <v>-152028.75</v>
      </c>
      <c r="G198" s="3">
        <f t="shared" si="41"/>
        <v>-152028.75</v>
      </c>
      <c r="K198" s="3">
        <f t="shared" si="42"/>
        <v>-152028.75</v>
      </c>
    </row>
    <row r="199" spans="1:11">
      <c r="A199" s="57">
        <v>1823188</v>
      </c>
      <c r="B199" s="1" t="s">
        <v>124</v>
      </c>
      <c r="C199" s="3">
        <v>0</v>
      </c>
      <c r="G199" s="3">
        <f t="shared" si="41"/>
        <v>0</v>
      </c>
      <c r="K199" s="3">
        <f t="shared" si="42"/>
        <v>0</v>
      </c>
    </row>
    <row r="200" spans="1:11">
      <c r="A200" s="57">
        <v>1823299</v>
      </c>
      <c r="B200" s="1" t="s">
        <v>125</v>
      </c>
      <c r="C200" s="3">
        <v>0</v>
      </c>
      <c r="G200" s="3">
        <f t="shared" si="41"/>
        <v>0</v>
      </c>
      <c r="K200" s="3">
        <f t="shared" si="42"/>
        <v>0</v>
      </c>
    </row>
    <row r="201" spans="1:11">
      <c r="A201" s="57">
        <v>1823301</v>
      </c>
      <c r="B201" s="1" t="s">
        <v>126</v>
      </c>
      <c r="C201" s="3">
        <v>43875391.979999997</v>
      </c>
      <c r="G201" s="3">
        <f t="shared" si="41"/>
        <v>43875391.979999997</v>
      </c>
      <c r="K201" s="3">
        <f t="shared" si="42"/>
        <v>43875391.979999997</v>
      </c>
    </row>
    <row r="202" spans="1:11">
      <c r="A202" s="57">
        <v>1823302</v>
      </c>
      <c r="B202" s="1" t="s">
        <v>127</v>
      </c>
      <c r="C202" s="3">
        <v>102763385.47</v>
      </c>
      <c r="G202" s="3">
        <f t="shared" si="41"/>
        <v>102763385.47</v>
      </c>
      <c r="K202" s="3">
        <f t="shared" si="42"/>
        <v>102763385.47</v>
      </c>
    </row>
    <row r="203" spans="1:11">
      <c r="A203" s="57">
        <v>1823306</v>
      </c>
      <c r="B203" s="1" t="s">
        <v>128</v>
      </c>
      <c r="C203" s="3">
        <v>526624.24</v>
      </c>
      <c r="G203" s="3">
        <f t="shared" si="41"/>
        <v>526624.24</v>
      </c>
      <c r="K203" s="3">
        <f t="shared" si="42"/>
        <v>526624.24</v>
      </c>
    </row>
    <row r="204" spans="1:11">
      <c r="A204" s="57" t="s">
        <v>561</v>
      </c>
      <c r="B204" s="1" t="s">
        <v>562</v>
      </c>
      <c r="C204" s="3">
        <v>32790</v>
      </c>
      <c r="G204" s="3">
        <f t="shared" si="41"/>
        <v>32790</v>
      </c>
      <c r="K204" s="3">
        <f t="shared" si="42"/>
        <v>32790</v>
      </c>
    </row>
    <row r="205" spans="1:11">
      <c r="A205" s="57" t="s">
        <v>563</v>
      </c>
      <c r="B205" s="1" t="s">
        <v>562</v>
      </c>
      <c r="C205" s="3">
        <v>41565</v>
      </c>
      <c r="G205" s="3">
        <f t="shared" si="41"/>
        <v>41565</v>
      </c>
      <c r="K205" s="3">
        <f t="shared" si="42"/>
        <v>41565</v>
      </c>
    </row>
    <row r="206" spans="1:11">
      <c r="A206" s="57" t="s">
        <v>630</v>
      </c>
      <c r="B206" s="1" t="s">
        <v>562</v>
      </c>
      <c r="C206" s="3">
        <v>272661</v>
      </c>
      <c r="G206" s="3">
        <f t="shared" si="41"/>
        <v>272661</v>
      </c>
      <c r="K206" s="3">
        <f t="shared" si="42"/>
        <v>272661</v>
      </c>
    </row>
    <row r="207" spans="1:11">
      <c r="A207" s="57" t="s">
        <v>631</v>
      </c>
      <c r="B207" s="1" t="s">
        <v>562</v>
      </c>
      <c r="C207" s="3">
        <v>72095</v>
      </c>
      <c r="G207" s="3">
        <f t="shared" si="41"/>
        <v>72095</v>
      </c>
      <c r="K207" s="3">
        <f t="shared" si="42"/>
        <v>72095</v>
      </c>
    </row>
    <row r="208" spans="1:11">
      <c r="A208" s="57" t="s">
        <v>632</v>
      </c>
      <c r="B208" s="1" t="s">
        <v>562</v>
      </c>
      <c r="C208" s="3">
        <v>10551</v>
      </c>
      <c r="G208" s="3">
        <f t="shared" si="41"/>
        <v>10551</v>
      </c>
      <c r="K208" s="3">
        <f t="shared" si="42"/>
        <v>10551</v>
      </c>
    </row>
    <row r="209" spans="1:11">
      <c r="A209" s="57" t="s">
        <v>363</v>
      </c>
      <c r="B209" s="1" t="s">
        <v>364</v>
      </c>
      <c r="C209" s="24">
        <v>-25092326.760000002</v>
      </c>
      <c r="G209" s="3">
        <f t="shared" si="41"/>
        <v>-25092326.760000002</v>
      </c>
      <c r="K209" s="3">
        <f t="shared" si="42"/>
        <v>-25092326.760000002</v>
      </c>
    </row>
    <row r="210" spans="1:11">
      <c r="A210" s="57" t="s">
        <v>365</v>
      </c>
      <c r="B210" s="1" t="s">
        <v>366</v>
      </c>
      <c r="C210" s="24">
        <v>53338465.390000001</v>
      </c>
      <c r="G210" s="3">
        <f t="shared" si="41"/>
        <v>53338465.390000001</v>
      </c>
      <c r="H210" s="31"/>
      <c r="I210" s="31"/>
      <c r="J210" s="76"/>
      <c r="K210" s="24">
        <f t="shared" si="42"/>
        <v>53338465.390000001</v>
      </c>
    </row>
    <row r="211" spans="1:11">
      <c r="A211" s="57" t="s">
        <v>367</v>
      </c>
      <c r="B211" s="1" t="s">
        <v>368</v>
      </c>
      <c r="C211" s="24">
        <v>3015785.42</v>
      </c>
      <c r="G211" s="3">
        <f t="shared" si="41"/>
        <v>3015785.42</v>
      </c>
      <c r="K211" s="3">
        <f>G211-I211</f>
        <v>3015785.42</v>
      </c>
    </row>
    <row r="212" spans="1:11">
      <c r="A212" s="57" t="s">
        <v>369</v>
      </c>
      <c r="B212" s="1" t="s">
        <v>370</v>
      </c>
      <c r="C212" s="24">
        <v>256509061.91</v>
      </c>
      <c r="G212" s="3">
        <f t="shared" si="41"/>
        <v>256509061.91</v>
      </c>
      <c r="K212" s="3">
        <f t="shared" si="42"/>
        <v>256509061.91</v>
      </c>
    </row>
    <row r="213" spans="1:11">
      <c r="A213" s="57" t="s">
        <v>371</v>
      </c>
      <c r="B213" s="1" t="s">
        <v>372</v>
      </c>
      <c r="C213" s="24">
        <v>110647174.97</v>
      </c>
      <c r="G213" s="3">
        <f t="shared" si="41"/>
        <v>110647174.97</v>
      </c>
      <c r="K213" s="3">
        <f t="shared" si="42"/>
        <v>110647174.97</v>
      </c>
    </row>
    <row r="214" spans="1:11">
      <c r="A214" s="57" t="s">
        <v>373</v>
      </c>
      <c r="B214" s="1" t="s">
        <v>374</v>
      </c>
      <c r="C214" s="24">
        <v>-946743.04</v>
      </c>
      <c r="G214" s="3">
        <f t="shared" si="41"/>
        <v>-946743.04</v>
      </c>
      <c r="K214" s="3">
        <f t="shared" si="42"/>
        <v>-946743.04</v>
      </c>
    </row>
    <row r="215" spans="1:11">
      <c r="A215" s="57" t="s">
        <v>375</v>
      </c>
      <c r="B215" s="1" t="s">
        <v>376</v>
      </c>
      <c r="C215" s="24">
        <v>946742.86</v>
      </c>
      <c r="G215" s="3">
        <f t="shared" si="41"/>
        <v>946742.86</v>
      </c>
      <c r="K215" s="3">
        <f t="shared" si="42"/>
        <v>946742.86</v>
      </c>
    </row>
    <row r="216" spans="1:11">
      <c r="A216" s="57" t="s">
        <v>377</v>
      </c>
      <c r="B216" s="1" t="s">
        <v>378</v>
      </c>
      <c r="C216" s="24">
        <v>0</v>
      </c>
      <c r="G216" s="3">
        <f t="shared" si="41"/>
        <v>0</v>
      </c>
      <c r="K216" s="3">
        <f t="shared" si="42"/>
        <v>0</v>
      </c>
    </row>
    <row r="217" spans="1:11">
      <c r="A217" s="57" t="s">
        <v>486</v>
      </c>
      <c r="B217" s="1" t="s">
        <v>489</v>
      </c>
      <c r="C217" s="24">
        <v>-5337989.28</v>
      </c>
      <c r="G217" s="3">
        <f t="shared" si="41"/>
        <v>-5337989.28</v>
      </c>
      <c r="K217" s="3">
        <f t="shared" si="42"/>
        <v>-5337989.28</v>
      </c>
    </row>
    <row r="218" spans="1:11">
      <c r="A218" s="57" t="s">
        <v>487</v>
      </c>
      <c r="B218" s="1" t="s">
        <v>490</v>
      </c>
      <c r="C218" s="24">
        <v>11566738.17</v>
      </c>
      <c r="G218" s="3">
        <f t="shared" si="41"/>
        <v>11566738.17</v>
      </c>
      <c r="K218" s="3">
        <f t="shared" si="42"/>
        <v>11566738.17</v>
      </c>
    </row>
    <row r="219" spans="1:11">
      <c r="A219" s="57" t="s">
        <v>488</v>
      </c>
      <c r="B219" s="1" t="s">
        <v>491</v>
      </c>
      <c r="C219" s="24">
        <v>39643828.18</v>
      </c>
      <c r="G219" s="3">
        <f t="shared" si="41"/>
        <v>39643828.18</v>
      </c>
      <c r="K219" s="3">
        <f t="shared" si="42"/>
        <v>39643828.18</v>
      </c>
    </row>
    <row r="220" spans="1:11">
      <c r="A220" s="57" t="s">
        <v>379</v>
      </c>
      <c r="B220" s="1" t="s">
        <v>380</v>
      </c>
      <c r="C220" s="24">
        <v>803190.12</v>
      </c>
      <c r="G220" s="3">
        <f t="shared" si="41"/>
        <v>803190.12</v>
      </c>
      <c r="K220" s="3">
        <f t="shared" si="42"/>
        <v>803190.12</v>
      </c>
    </row>
    <row r="221" spans="1:11">
      <c r="A221" s="57" t="s">
        <v>381</v>
      </c>
      <c r="B221" s="1" t="s">
        <v>382</v>
      </c>
      <c r="C221" s="24">
        <v>0</v>
      </c>
      <c r="G221" s="3">
        <f t="shared" si="41"/>
        <v>0</v>
      </c>
      <c r="K221" s="3">
        <f t="shared" si="42"/>
        <v>0</v>
      </c>
    </row>
    <row r="222" spans="1:11">
      <c r="A222" s="57" t="s">
        <v>383</v>
      </c>
      <c r="B222" s="1" t="s">
        <v>384</v>
      </c>
      <c r="C222" s="24">
        <v>-60706330.939999998</v>
      </c>
      <c r="G222" s="3">
        <f t="shared" si="41"/>
        <v>-60706330.939999998</v>
      </c>
      <c r="K222" s="3">
        <f t="shared" si="42"/>
        <v>-60706330.939999998</v>
      </c>
    </row>
    <row r="223" spans="1:11">
      <c r="A223" s="57" t="s">
        <v>385</v>
      </c>
      <c r="B223" s="1" t="s">
        <v>386</v>
      </c>
      <c r="C223" s="24">
        <v>951577.39</v>
      </c>
      <c r="G223" s="3">
        <f t="shared" si="41"/>
        <v>951577.39</v>
      </c>
      <c r="K223" s="3">
        <f t="shared" si="42"/>
        <v>951577.39</v>
      </c>
    </row>
    <row r="224" spans="1:11">
      <c r="A224" s="57" t="s">
        <v>387</v>
      </c>
      <c r="B224" s="1" t="s">
        <v>388</v>
      </c>
      <c r="C224" s="24">
        <v>0</v>
      </c>
      <c r="G224" s="3">
        <f t="shared" si="41"/>
        <v>0</v>
      </c>
      <c r="K224" s="3">
        <f t="shared" si="42"/>
        <v>0</v>
      </c>
    </row>
    <row r="225" spans="1:11">
      <c r="A225" s="57" t="s">
        <v>389</v>
      </c>
      <c r="B225" s="1" t="s">
        <v>390</v>
      </c>
      <c r="C225" s="24">
        <v>5737323</v>
      </c>
      <c r="G225" s="3">
        <f t="shared" si="41"/>
        <v>5737323</v>
      </c>
      <c r="K225" s="3">
        <f t="shared" si="42"/>
        <v>5737323</v>
      </c>
    </row>
    <row r="226" spans="1:11">
      <c r="A226" s="57" t="s">
        <v>391</v>
      </c>
      <c r="B226" s="1" t="s">
        <v>392</v>
      </c>
      <c r="C226" s="24">
        <v>-398350.15</v>
      </c>
      <c r="G226" s="3">
        <f t="shared" si="41"/>
        <v>-398350.15</v>
      </c>
      <c r="K226" s="3">
        <f t="shared" si="42"/>
        <v>-398350.15</v>
      </c>
    </row>
    <row r="227" spans="1:11">
      <c r="A227" s="57" t="s">
        <v>393</v>
      </c>
      <c r="B227" s="1" t="s">
        <v>394</v>
      </c>
      <c r="C227" s="24">
        <v>852986.79</v>
      </c>
      <c r="G227" s="3">
        <f t="shared" si="41"/>
        <v>852986.79</v>
      </c>
      <c r="K227" s="3">
        <f t="shared" si="42"/>
        <v>852986.79</v>
      </c>
    </row>
    <row r="228" spans="1:11">
      <c r="A228" s="57" t="s">
        <v>395</v>
      </c>
      <c r="B228" s="1" t="s">
        <v>396</v>
      </c>
      <c r="C228" s="24">
        <v>2938409.3</v>
      </c>
      <c r="G228" s="3">
        <f t="shared" si="41"/>
        <v>2938409.3</v>
      </c>
      <c r="K228" s="3">
        <f t="shared" si="42"/>
        <v>2938409.3</v>
      </c>
    </row>
    <row r="229" spans="1:11">
      <c r="A229" s="57" t="s">
        <v>397</v>
      </c>
      <c r="B229" s="1" t="s">
        <v>398</v>
      </c>
      <c r="C229" s="24">
        <v>0</v>
      </c>
      <c r="G229" s="3">
        <f t="shared" si="41"/>
        <v>0</v>
      </c>
      <c r="K229" s="3">
        <f t="shared" si="42"/>
        <v>0</v>
      </c>
    </row>
    <row r="230" spans="1:11">
      <c r="A230" s="57" t="s">
        <v>399</v>
      </c>
      <c r="B230" s="1" t="s">
        <v>400</v>
      </c>
      <c r="C230" s="24">
        <v>0</v>
      </c>
      <c r="G230" s="3">
        <f t="shared" si="41"/>
        <v>0</v>
      </c>
      <c r="K230" s="3">
        <f t="shared" si="42"/>
        <v>0</v>
      </c>
    </row>
    <row r="231" spans="1:11">
      <c r="A231" s="57" t="s">
        <v>484</v>
      </c>
      <c r="B231" s="1" t="s">
        <v>392</v>
      </c>
      <c r="C231" s="24">
        <v>56531023.961999997</v>
      </c>
      <c r="G231" s="3">
        <f t="shared" si="41"/>
        <v>56531023.961999997</v>
      </c>
      <c r="K231" s="3">
        <f t="shared" si="42"/>
        <v>56531023.961999997</v>
      </c>
    </row>
    <row r="232" spans="1:11">
      <c r="A232" s="57" t="s">
        <v>485</v>
      </c>
      <c r="B232" s="1" t="s">
        <v>394</v>
      </c>
      <c r="C232" s="24">
        <v>0</v>
      </c>
      <c r="G232" s="3">
        <f t="shared" si="41"/>
        <v>0</v>
      </c>
      <c r="K232" s="3">
        <f t="shared" si="42"/>
        <v>0</v>
      </c>
    </row>
    <row r="233" spans="1:11">
      <c r="A233" s="57" t="s">
        <v>564</v>
      </c>
      <c r="B233" s="1" t="s">
        <v>565</v>
      </c>
      <c r="C233" s="24">
        <v>10509844</v>
      </c>
      <c r="G233" s="3">
        <f t="shared" si="41"/>
        <v>10509844</v>
      </c>
      <c r="K233" s="3">
        <f t="shared" si="42"/>
        <v>10509844</v>
      </c>
    </row>
    <row r="234" spans="1:11">
      <c r="A234" s="57" t="s">
        <v>566</v>
      </c>
      <c r="B234" s="1" t="s">
        <v>567</v>
      </c>
      <c r="C234" s="24">
        <v>45996002.920000002</v>
      </c>
      <c r="D234" s="29"/>
      <c r="E234" s="9"/>
      <c r="F234" s="9"/>
      <c r="G234" s="3">
        <f t="shared" si="41"/>
        <v>45996002.920000002</v>
      </c>
      <c r="H234" s="9"/>
      <c r="I234" s="9"/>
      <c r="J234" s="12"/>
      <c r="K234" s="24">
        <f t="shared" si="42"/>
        <v>45996002.920000002</v>
      </c>
    </row>
    <row r="235" spans="1:11">
      <c r="A235" s="57" t="s">
        <v>653</v>
      </c>
      <c r="B235" s="1" t="s">
        <v>655</v>
      </c>
      <c r="C235" s="24">
        <v>6254426</v>
      </c>
      <c r="D235" s="29"/>
      <c r="E235" s="9"/>
      <c r="F235" s="9"/>
      <c r="G235" s="3">
        <f t="shared" si="41"/>
        <v>6254426</v>
      </c>
      <c r="H235" s="9"/>
      <c r="I235" s="9"/>
      <c r="J235" s="12"/>
      <c r="K235" s="24">
        <f t="shared" si="42"/>
        <v>6254426</v>
      </c>
    </row>
    <row r="236" spans="1:11">
      <c r="A236" s="57" t="s">
        <v>654</v>
      </c>
      <c r="B236" s="1" t="s">
        <v>656</v>
      </c>
      <c r="C236" s="24">
        <v>-6254426</v>
      </c>
      <c r="D236" s="29"/>
      <c r="E236" s="9"/>
      <c r="F236" s="9"/>
      <c r="G236" s="3">
        <f t="shared" si="41"/>
        <v>-6254426</v>
      </c>
      <c r="H236" s="9"/>
      <c r="I236" s="9"/>
      <c r="J236" s="12"/>
      <c r="K236" s="24">
        <f t="shared" si="42"/>
        <v>-6254426</v>
      </c>
    </row>
    <row r="237" spans="1:11">
      <c r="A237" s="57" t="s">
        <v>568</v>
      </c>
      <c r="B237" s="1" t="s">
        <v>569</v>
      </c>
      <c r="C237" s="24">
        <v>0</v>
      </c>
      <c r="D237" s="29"/>
      <c r="E237" s="9"/>
      <c r="F237" s="9"/>
      <c r="G237" s="3">
        <f t="shared" si="41"/>
        <v>0</v>
      </c>
      <c r="H237" s="9"/>
      <c r="I237" s="9"/>
      <c r="J237" s="12"/>
      <c r="K237" s="24">
        <f t="shared" si="42"/>
        <v>0</v>
      </c>
    </row>
    <row r="238" spans="1:11">
      <c r="A238" s="57" t="s">
        <v>570</v>
      </c>
      <c r="B238" s="1" t="s">
        <v>571</v>
      </c>
      <c r="C238" s="24">
        <v>13838283.48</v>
      </c>
      <c r="D238" s="29"/>
      <c r="E238" s="9"/>
      <c r="F238" s="9"/>
      <c r="G238" s="3">
        <f t="shared" si="41"/>
        <v>13838283.48</v>
      </c>
      <c r="H238" s="9"/>
      <c r="I238" s="9"/>
      <c r="J238" s="12"/>
      <c r="K238" s="24">
        <f t="shared" si="42"/>
        <v>13838283.48</v>
      </c>
    </row>
    <row r="239" spans="1:11">
      <c r="A239" s="57" t="s">
        <v>633</v>
      </c>
      <c r="B239" s="1" t="s">
        <v>634</v>
      </c>
      <c r="C239" s="24">
        <v>8415089.1239999998</v>
      </c>
      <c r="D239" s="29"/>
      <c r="E239" s="9"/>
      <c r="F239" s="9"/>
      <c r="G239" s="3">
        <f t="shared" si="41"/>
        <v>8415089.1239999998</v>
      </c>
      <c r="H239" s="9"/>
      <c r="I239" s="9"/>
      <c r="J239" s="12"/>
      <c r="K239" s="24">
        <f t="shared" si="42"/>
        <v>8415089.1239999998</v>
      </c>
    </row>
    <row r="240" spans="1:11">
      <c r="A240" s="57" t="s">
        <v>635</v>
      </c>
      <c r="B240" s="1" t="s">
        <v>636</v>
      </c>
      <c r="C240" s="24">
        <v>2714138.2</v>
      </c>
      <c r="D240" s="29"/>
      <c r="E240" s="9"/>
      <c r="F240" s="9"/>
      <c r="G240" s="3">
        <f t="shared" si="41"/>
        <v>2714138.2</v>
      </c>
      <c r="H240" s="9"/>
      <c r="I240" s="9"/>
      <c r="J240" s="12"/>
      <c r="K240" s="24">
        <f t="shared" si="42"/>
        <v>2714138.2</v>
      </c>
    </row>
    <row r="241" spans="1:11">
      <c r="A241" s="57" t="s">
        <v>637</v>
      </c>
      <c r="B241" s="1" t="s">
        <v>638</v>
      </c>
      <c r="C241" s="24">
        <v>25237763.050000001</v>
      </c>
      <c r="D241" s="29"/>
      <c r="E241" s="9"/>
      <c r="F241" s="9"/>
      <c r="G241" s="3">
        <f t="shared" si="41"/>
        <v>25237763.050000001</v>
      </c>
      <c r="H241" s="9"/>
      <c r="I241" s="9"/>
      <c r="J241" s="12"/>
      <c r="K241" s="24">
        <f t="shared" si="42"/>
        <v>25237763.050000001</v>
      </c>
    </row>
    <row r="242" spans="1:11">
      <c r="A242" s="57" t="s">
        <v>639</v>
      </c>
      <c r="B242" s="1" t="s">
        <v>640</v>
      </c>
      <c r="C242" s="24">
        <v>-10442624.859999999</v>
      </c>
      <c r="D242" s="29"/>
      <c r="E242" s="9"/>
      <c r="F242" s="9"/>
      <c r="G242" s="3">
        <f t="shared" si="41"/>
        <v>-10442624.859999999</v>
      </c>
      <c r="H242" s="9"/>
      <c r="I242" s="9"/>
      <c r="J242" s="12"/>
      <c r="K242" s="24">
        <f t="shared" si="42"/>
        <v>-10442624.859999999</v>
      </c>
    </row>
    <row r="243" spans="1:11">
      <c r="A243" s="57" t="s">
        <v>641</v>
      </c>
      <c r="B243" s="1" t="s">
        <v>642</v>
      </c>
      <c r="C243" s="24">
        <v>10783446.51</v>
      </c>
      <c r="D243" s="29"/>
      <c r="E243" s="9"/>
      <c r="F243" s="9"/>
      <c r="G243" s="3">
        <f t="shared" si="41"/>
        <v>10783446.51</v>
      </c>
      <c r="H243" s="9"/>
      <c r="I243" s="9"/>
      <c r="J243" s="12"/>
      <c r="K243" s="24">
        <f t="shared" si="42"/>
        <v>10783446.51</v>
      </c>
    </row>
    <row r="244" spans="1:11">
      <c r="A244" s="57" t="s">
        <v>643</v>
      </c>
      <c r="B244" s="1" t="s">
        <v>644</v>
      </c>
      <c r="C244" s="24">
        <v>12462933.210000001</v>
      </c>
      <c r="D244" s="29"/>
      <c r="E244" s="9"/>
      <c r="F244" s="9"/>
      <c r="G244" s="3">
        <f t="shared" si="41"/>
        <v>12462933.210000001</v>
      </c>
      <c r="H244" s="9"/>
      <c r="I244" s="9"/>
      <c r="J244" s="12"/>
      <c r="K244" s="24">
        <f t="shared" si="42"/>
        <v>12462933.210000001</v>
      </c>
    </row>
    <row r="245" spans="1:11">
      <c r="B245" s="1" t="s">
        <v>431</v>
      </c>
      <c r="C245" s="91">
        <f>SUM(C180:C244)</f>
        <v>741366386.10599995</v>
      </c>
      <c r="E245" s="3"/>
      <c r="G245" s="91">
        <f>SUM(G180:G244)</f>
        <v>741366386.10599995</v>
      </c>
      <c r="I245" s="3">
        <f>SUM(I180:I234)</f>
        <v>0</v>
      </c>
      <c r="K245" s="91">
        <f>SUM(K180:K244)</f>
        <v>741366386.10599995</v>
      </c>
    </row>
    <row r="246" spans="1:11">
      <c r="G246" s="3"/>
      <c r="K246" s="3"/>
    </row>
    <row r="247" spans="1:11">
      <c r="G247" s="3"/>
      <c r="K247" s="3"/>
    </row>
    <row r="248" spans="1:11">
      <c r="A248" s="57">
        <v>1890004</v>
      </c>
      <c r="B248" s="1" t="s">
        <v>129</v>
      </c>
      <c r="C248" s="55">
        <v>252380.64</v>
      </c>
      <c r="G248" s="55">
        <f>C248-E248</f>
        <v>252380.64</v>
      </c>
      <c r="K248" s="55">
        <f>G248-I248</f>
        <v>252380.64</v>
      </c>
    </row>
    <row r="249" spans="1:11">
      <c r="B249" s="1" t="s">
        <v>130</v>
      </c>
      <c r="C249" s="8">
        <f>SUM(C248)</f>
        <v>252380.64</v>
      </c>
      <c r="D249" s="32"/>
      <c r="E249" s="15"/>
      <c r="F249" s="15"/>
      <c r="G249" s="8">
        <f>SUM(G248)</f>
        <v>252380.64</v>
      </c>
      <c r="H249" s="15"/>
      <c r="I249" s="8">
        <f>SUM(I248)</f>
        <v>0</v>
      </c>
      <c r="J249" s="73"/>
      <c r="K249" s="8">
        <f>SUM(K248)</f>
        <v>252380.64</v>
      </c>
    </row>
    <row r="250" spans="1:11">
      <c r="C250" s="8"/>
      <c r="D250" s="32"/>
      <c r="E250" s="15"/>
      <c r="F250" s="15"/>
      <c r="G250" s="8"/>
      <c r="H250" s="15"/>
      <c r="I250" s="8"/>
      <c r="J250" s="73"/>
      <c r="K250" s="8"/>
    </row>
    <row r="251" spans="1:11">
      <c r="A251" s="57">
        <v>1810002</v>
      </c>
      <c r="B251" s="1" t="s">
        <v>131</v>
      </c>
      <c r="C251" s="3">
        <v>172580.58000000002</v>
      </c>
      <c r="G251" s="3">
        <f>C251-E251</f>
        <v>172580.58000000002</v>
      </c>
      <c r="K251" s="3">
        <f>G251-I251</f>
        <v>172580.58000000002</v>
      </c>
    </row>
    <row r="252" spans="1:11">
      <c r="A252" s="57">
        <v>1810003</v>
      </c>
      <c r="B252" s="1" t="s">
        <v>362</v>
      </c>
      <c r="C252" s="3">
        <v>10370.040000000001</v>
      </c>
      <c r="G252" s="3">
        <f>C252-E252</f>
        <v>10370.040000000001</v>
      </c>
      <c r="K252" s="3">
        <f>G252-I252</f>
        <v>10370.040000000001</v>
      </c>
    </row>
    <row r="253" spans="1:11">
      <c r="A253" s="57">
        <v>1810006</v>
      </c>
      <c r="B253" s="1" t="s">
        <v>132</v>
      </c>
      <c r="C253" s="55">
        <v>3521721.21</v>
      </c>
      <c r="G253" s="55">
        <f>C253-E253</f>
        <v>3521721.21</v>
      </c>
      <c r="K253" s="55">
        <f>G253-I253</f>
        <v>3521721.21</v>
      </c>
    </row>
    <row r="254" spans="1:11">
      <c r="B254" s="1" t="s">
        <v>133</v>
      </c>
      <c r="C254" s="3">
        <f>SUM(C251:C253)</f>
        <v>3704671.83</v>
      </c>
      <c r="G254" s="3">
        <f>SUM(G251:G253)</f>
        <v>3704671.83</v>
      </c>
      <c r="I254" s="3">
        <f>SUM(I251:I253)</f>
        <v>0</v>
      </c>
      <c r="K254" s="3">
        <f>SUM(K251:K253)</f>
        <v>3704671.83</v>
      </c>
    </row>
    <row r="255" spans="1:11">
      <c r="G255" s="3"/>
      <c r="I255" s="3"/>
      <c r="K255" s="3"/>
    </row>
    <row r="256" spans="1:11">
      <c r="A256" s="57" t="s">
        <v>543</v>
      </c>
      <c r="B256" s="1" t="s">
        <v>544</v>
      </c>
      <c r="C256" s="55">
        <v>0</v>
      </c>
      <c r="G256" s="55">
        <f>C256-E256</f>
        <v>0</v>
      </c>
      <c r="K256" s="55">
        <f>G256-I256</f>
        <v>0</v>
      </c>
    </row>
    <row r="257" spans="1:11">
      <c r="B257" s="1" t="s">
        <v>134</v>
      </c>
      <c r="C257" s="3">
        <f>SUM(C256)</f>
        <v>0</v>
      </c>
      <c r="G257" s="3">
        <f>SUM(G256)</f>
        <v>0</v>
      </c>
      <c r="I257" s="3">
        <f>SUM(I256)</f>
        <v>0</v>
      </c>
      <c r="K257" s="3">
        <f>SUM(K256)</f>
        <v>0</v>
      </c>
    </row>
    <row r="258" spans="1:11">
      <c r="G258" s="3"/>
      <c r="I258" s="3"/>
      <c r="K258" s="3"/>
    </row>
    <row r="259" spans="1:11">
      <c r="A259" s="57">
        <v>1830000</v>
      </c>
      <c r="B259" s="1" t="s">
        <v>135</v>
      </c>
      <c r="C259" s="3">
        <v>1040335.853</v>
      </c>
      <c r="G259" s="3">
        <f>C259-E259</f>
        <v>1040335.853</v>
      </c>
      <c r="K259" s="3">
        <f>G259-I259</f>
        <v>1040335.853</v>
      </c>
    </row>
    <row r="260" spans="1:11">
      <c r="A260" s="57">
        <v>1830004</v>
      </c>
      <c r="B260" s="1" t="s">
        <v>136</v>
      </c>
      <c r="C260" s="3">
        <v>0</v>
      </c>
      <c r="G260" s="3">
        <f t="shared" ref="G260:G278" si="43">C260-E260</f>
        <v>0</v>
      </c>
      <c r="K260" s="3">
        <f t="shared" ref="K260:K278" si="44">G260-I260</f>
        <v>0</v>
      </c>
    </row>
    <row r="261" spans="1:11">
      <c r="A261" s="57">
        <v>1860000</v>
      </c>
      <c r="B261" s="1" t="s">
        <v>137</v>
      </c>
      <c r="C261" s="3">
        <v>0</v>
      </c>
      <c r="G261" s="3">
        <f t="shared" si="43"/>
        <v>0</v>
      </c>
      <c r="K261" s="3">
        <f t="shared" si="44"/>
        <v>0</v>
      </c>
    </row>
    <row r="262" spans="1:11">
      <c r="A262" s="57">
        <v>1860001</v>
      </c>
      <c r="B262" s="1" t="s">
        <v>138</v>
      </c>
      <c r="C262" s="3">
        <v>-157142.86000000002</v>
      </c>
      <c r="G262" s="3">
        <f t="shared" si="43"/>
        <v>-157142.86000000002</v>
      </c>
      <c r="K262" s="3">
        <f t="shared" si="44"/>
        <v>-157142.86000000002</v>
      </c>
    </row>
    <row r="263" spans="1:11">
      <c r="A263" s="57">
        <v>1860002</v>
      </c>
      <c r="B263" s="1" t="s">
        <v>401</v>
      </c>
      <c r="C263" s="3">
        <v>-29915.96</v>
      </c>
      <c r="G263" s="3">
        <f t="shared" si="43"/>
        <v>-29915.96</v>
      </c>
      <c r="K263" s="3">
        <f t="shared" si="44"/>
        <v>-29915.96</v>
      </c>
    </row>
    <row r="264" spans="1:11">
      <c r="A264" s="57">
        <v>1860005</v>
      </c>
      <c r="B264" s="1" t="s">
        <v>402</v>
      </c>
      <c r="C264" s="3">
        <v>0</v>
      </c>
      <c r="G264" s="3">
        <f t="shared" si="43"/>
        <v>0</v>
      </c>
      <c r="K264" s="3">
        <f t="shared" si="44"/>
        <v>0</v>
      </c>
    </row>
    <row r="265" spans="1:11">
      <c r="A265" s="57" t="s">
        <v>647</v>
      </c>
      <c r="B265" s="1" t="s">
        <v>648</v>
      </c>
      <c r="C265" s="3">
        <v>354.90000000000003</v>
      </c>
      <c r="G265" s="3">
        <f t="shared" si="43"/>
        <v>354.90000000000003</v>
      </c>
      <c r="K265" s="3">
        <f t="shared" si="44"/>
        <v>354.90000000000003</v>
      </c>
    </row>
    <row r="266" spans="1:11">
      <c r="A266" s="57">
        <v>1860007</v>
      </c>
      <c r="B266" s="1" t="s">
        <v>103</v>
      </c>
      <c r="C266" s="24">
        <v>80242.634000000005</v>
      </c>
      <c r="D266" s="30"/>
      <c r="E266" s="31"/>
      <c r="F266" s="31"/>
      <c r="G266" s="24">
        <f>C266-E266</f>
        <v>80242.634000000005</v>
      </c>
      <c r="H266" s="31"/>
      <c r="I266" s="31"/>
      <c r="J266" s="76"/>
      <c r="K266" s="24">
        <f>G266-I266</f>
        <v>80242.634000000005</v>
      </c>
    </row>
    <row r="267" spans="1:11">
      <c r="A267" s="57" t="s">
        <v>645</v>
      </c>
      <c r="B267" s="1" t="s">
        <v>139</v>
      </c>
      <c r="C267" s="3">
        <v>224193.87</v>
      </c>
      <c r="G267" s="3">
        <f t="shared" si="43"/>
        <v>224193.87</v>
      </c>
      <c r="K267" s="3">
        <f t="shared" si="44"/>
        <v>224193.87</v>
      </c>
    </row>
    <row r="268" spans="1:11">
      <c r="A268" s="57" t="s">
        <v>646</v>
      </c>
      <c r="B268" s="1" t="s">
        <v>139</v>
      </c>
      <c r="C268" s="3">
        <v>11869535</v>
      </c>
      <c r="G268" s="3">
        <f t="shared" si="43"/>
        <v>11869535</v>
      </c>
      <c r="K268" s="3">
        <f t="shared" si="44"/>
        <v>11869535</v>
      </c>
    </row>
    <row r="269" spans="1:11">
      <c r="A269" s="57" t="s">
        <v>649</v>
      </c>
      <c r="B269" s="1" t="s">
        <v>650</v>
      </c>
      <c r="C269" s="3">
        <v>8004.4000000000005</v>
      </c>
      <c r="G269" s="3">
        <f t="shared" si="43"/>
        <v>8004.4000000000005</v>
      </c>
      <c r="K269" s="3">
        <f t="shared" si="44"/>
        <v>8004.4000000000005</v>
      </c>
    </row>
    <row r="270" spans="1:11">
      <c r="A270" s="57">
        <v>1860077</v>
      </c>
      <c r="B270" s="1" t="s">
        <v>140</v>
      </c>
      <c r="C270" s="3">
        <v>1132735.72</v>
      </c>
      <c r="G270" s="3">
        <f t="shared" si="43"/>
        <v>1132735.72</v>
      </c>
      <c r="K270" s="3">
        <f t="shared" si="44"/>
        <v>1132735.72</v>
      </c>
    </row>
    <row r="271" spans="1:11">
      <c r="A271" s="57" t="s">
        <v>651</v>
      </c>
      <c r="B271" s="1" t="s">
        <v>141</v>
      </c>
      <c r="C271" s="3">
        <v>0</v>
      </c>
      <c r="G271" s="3">
        <f t="shared" si="43"/>
        <v>0</v>
      </c>
      <c r="K271" s="3">
        <f t="shared" si="44"/>
        <v>0</v>
      </c>
    </row>
    <row r="272" spans="1:11">
      <c r="A272" s="57" t="s">
        <v>652</v>
      </c>
      <c r="B272" s="1" t="s">
        <v>141</v>
      </c>
      <c r="C272" s="3">
        <v>386340</v>
      </c>
      <c r="G272" s="3">
        <f t="shared" si="43"/>
        <v>386340</v>
      </c>
      <c r="K272" s="3">
        <f t="shared" si="44"/>
        <v>386340</v>
      </c>
    </row>
    <row r="273" spans="1:11">
      <c r="A273" s="57">
        <v>1860087</v>
      </c>
      <c r="B273" s="1" t="s">
        <v>142</v>
      </c>
      <c r="C273" s="3">
        <v>0</v>
      </c>
      <c r="G273" s="3">
        <f t="shared" si="43"/>
        <v>0</v>
      </c>
      <c r="K273" s="3">
        <f t="shared" si="44"/>
        <v>0</v>
      </c>
    </row>
    <row r="274" spans="1:11">
      <c r="A274" s="57">
        <v>1860153</v>
      </c>
      <c r="B274" s="1" t="s">
        <v>143</v>
      </c>
      <c r="C274" s="3">
        <v>427721.92</v>
      </c>
      <c r="G274" s="3">
        <f t="shared" si="43"/>
        <v>427721.92</v>
      </c>
      <c r="K274" s="3">
        <f t="shared" si="44"/>
        <v>427721.92</v>
      </c>
    </row>
    <row r="275" spans="1:11">
      <c r="A275" s="57">
        <v>1860166</v>
      </c>
      <c r="B275" s="1" t="s">
        <v>144</v>
      </c>
      <c r="C275" s="24">
        <v>75239.460000000006</v>
      </c>
      <c r="G275" s="3">
        <f t="shared" si="43"/>
        <v>75239.460000000006</v>
      </c>
      <c r="K275" s="3">
        <f t="shared" si="44"/>
        <v>75239.460000000006</v>
      </c>
    </row>
    <row r="276" spans="1:11">
      <c r="A276" s="57" t="s">
        <v>572</v>
      </c>
      <c r="B276" s="1" t="s">
        <v>573</v>
      </c>
      <c r="C276" s="24">
        <v>9252141</v>
      </c>
      <c r="G276" s="3">
        <f t="shared" si="43"/>
        <v>9252141</v>
      </c>
      <c r="K276" s="3">
        <f t="shared" si="44"/>
        <v>9252141</v>
      </c>
    </row>
    <row r="277" spans="1:11">
      <c r="A277" s="57" t="s">
        <v>574</v>
      </c>
      <c r="B277" s="1" t="s">
        <v>575</v>
      </c>
      <c r="C277" s="24">
        <v>36311</v>
      </c>
      <c r="G277" s="3">
        <f t="shared" si="43"/>
        <v>36311</v>
      </c>
      <c r="K277" s="3">
        <f t="shared" si="44"/>
        <v>36311</v>
      </c>
    </row>
    <row r="278" spans="1:11">
      <c r="A278" s="57" t="s">
        <v>492</v>
      </c>
      <c r="B278" s="1" t="s">
        <v>493</v>
      </c>
      <c r="C278" s="55">
        <v>-6978.24</v>
      </c>
      <c r="D278" s="29"/>
      <c r="E278" s="9"/>
      <c r="F278" s="9"/>
      <c r="G278" s="55">
        <f t="shared" si="43"/>
        <v>-6978.24</v>
      </c>
      <c r="H278" s="9"/>
      <c r="I278" s="9"/>
      <c r="J278" s="12"/>
      <c r="K278" s="55">
        <f t="shared" si="44"/>
        <v>-6978.24</v>
      </c>
    </row>
    <row r="279" spans="1:11">
      <c r="B279" s="1" t="s">
        <v>145</v>
      </c>
      <c r="C279" s="3">
        <f>SUM(C259:C278)</f>
        <v>24339118.697000001</v>
      </c>
      <c r="G279" s="3">
        <f>SUM(G259:G278)</f>
        <v>24339118.697000001</v>
      </c>
      <c r="I279" s="3">
        <f>SUM(I259:I278)</f>
        <v>0</v>
      </c>
      <c r="K279" s="3">
        <f>SUM(K259:K278)</f>
        <v>24339118.697000001</v>
      </c>
    </row>
    <row r="280" spans="1:11">
      <c r="G280" s="3"/>
      <c r="I280" s="3"/>
      <c r="K280" s="3"/>
    </row>
    <row r="281" spans="1:11">
      <c r="A281" s="57">
        <v>1900010</v>
      </c>
      <c r="B281" s="1" t="s">
        <v>146</v>
      </c>
      <c r="C281" s="3">
        <v>0</v>
      </c>
      <c r="G281" s="3">
        <f t="shared" ref="G281:G288" si="45">C281-E281</f>
        <v>0</v>
      </c>
      <c r="K281" s="3">
        <f t="shared" ref="K281:K288" si="46">G281-I281</f>
        <v>0</v>
      </c>
    </row>
    <row r="282" spans="1:11">
      <c r="A282" s="57">
        <v>1900011</v>
      </c>
      <c r="B282" s="1" t="s">
        <v>147</v>
      </c>
      <c r="C282" s="3">
        <v>0</v>
      </c>
      <c r="G282" s="3">
        <f t="shared" si="45"/>
        <v>0</v>
      </c>
      <c r="K282" s="3">
        <f t="shared" si="46"/>
        <v>0</v>
      </c>
    </row>
    <row r="283" spans="1:11">
      <c r="A283" s="57">
        <v>1900015</v>
      </c>
      <c r="B283" s="1" t="s">
        <v>148</v>
      </c>
      <c r="C283" s="3">
        <v>0</v>
      </c>
      <c r="G283" s="3">
        <f t="shared" si="45"/>
        <v>0</v>
      </c>
      <c r="K283" s="3">
        <f t="shared" si="46"/>
        <v>0</v>
      </c>
    </row>
    <row r="284" spans="1:11">
      <c r="A284" s="57">
        <v>1901001</v>
      </c>
      <c r="B284" s="1" t="s">
        <v>538</v>
      </c>
      <c r="C284" s="3">
        <v>16262225.361</v>
      </c>
      <c r="G284" s="3">
        <f t="shared" si="45"/>
        <v>16262225.361</v>
      </c>
      <c r="I284" s="10">
        <f>G284</f>
        <v>16262225.361</v>
      </c>
      <c r="K284" s="3">
        <f t="shared" si="46"/>
        <v>0</v>
      </c>
    </row>
    <row r="285" spans="1:11">
      <c r="A285" s="57">
        <v>1901002</v>
      </c>
      <c r="B285" s="1" t="s">
        <v>296</v>
      </c>
      <c r="C285" s="3">
        <v>16476227.91</v>
      </c>
      <c r="G285" s="3">
        <f t="shared" si="45"/>
        <v>16476227.91</v>
      </c>
      <c r="I285" s="10">
        <f>G285</f>
        <v>16476227.91</v>
      </c>
      <c r="K285" s="3">
        <f t="shared" si="46"/>
        <v>0</v>
      </c>
    </row>
    <row r="286" spans="1:11">
      <c r="A286" s="57">
        <v>1902001</v>
      </c>
      <c r="B286" s="1" t="s">
        <v>149</v>
      </c>
      <c r="C286" s="3">
        <v>-0.01</v>
      </c>
      <c r="G286" s="3">
        <f t="shared" si="45"/>
        <v>-0.01</v>
      </c>
      <c r="K286" s="3">
        <f t="shared" si="46"/>
        <v>-0.01</v>
      </c>
    </row>
    <row r="287" spans="1:11">
      <c r="A287" s="57">
        <v>1903001</v>
      </c>
      <c r="B287" s="1" t="s">
        <v>150</v>
      </c>
      <c r="C287" s="3">
        <v>21576627.82</v>
      </c>
      <c r="G287" s="3">
        <f t="shared" si="45"/>
        <v>21576627.82</v>
      </c>
      <c r="K287" s="3">
        <f t="shared" si="46"/>
        <v>21576627.82</v>
      </c>
    </row>
    <row r="288" spans="1:11">
      <c r="A288" s="57">
        <v>1904001</v>
      </c>
      <c r="B288" s="1" t="s">
        <v>151</v>
      </c>
      <c r="C288" s="3">
        <v>28202105.18</v>
      </c>
      <c r="G288" s="24">
        <f t="shared" si="45"/>
        <v>28202105.18</v>
      </c>
      <c r="K288" s="6">
        <f t="shared" si="46"/>
        <v>28202105.18</v>
      </c>
    </row>
    <row r="289" spans="1:11">
      <c r="B289" s="1" t="s">
        <v>152</v>
      </c>
      <c r="C289" s="4">
        <f>SUM(C281:C288)</f>
        <v>82517186.261000007</v>
      </c>
      <c r="G289" s="4">
        <f>SUM(G281:G288)</f>
        <v>82517186.261000007</v>
      </c>
      <c r="I289" s="89">
        <f>SUM(I281:I288)</f>
        <v>32738453.270999998</v>
      </c>
      <c r="J289" s="73"/>
      <c r="K289" s="4">
        <f>SUM(K281:K288)</f>
        <v>49778732.989999995</v>
      </c>
    </row>
    <row r="290" spans="1:11">
      <c r="B290" s="1" t="s">
        <v>153</v>
      </c>
      <c r="C290" s="3">
        <f>C249+C254+C257+C279+C289</f>
        <v>110813357.428</v>
      </c>
      <c r="G290" s="3">
        <f>G249+G254+G257+G279+G289</f>
        <v>110813357.428</v>
      </c>
      <c r="I290" s="24">
        <f>I249+I254+I257+I279+I289</f>
        <v>32738453.270999998</v>
      </c>
      <c r="J290" s="77"/>
      <c r="K290" s="3">
        <f>K249+K254+K257+K279+K289</f>
        <v>78074904.15699999</v>
      </c>
    </row>
    <row r="291" spans="1:11">
      <c r="G291" s="3"/>
      <c r="K291" s="3"/>
    </row>
    <row r="292" spans="1:11" s="13" customFormat="1">
      <c r="A292" s="60"/>
      <c r="B292" s="13" t="s">
        <v>154</v>
      </c>
      <c r="C292" s="5">
        <f>C31+C66+C177+C245+C290+C36</f>
        <v>3449326711.6719999</v>
      </c>
      <c r="E292" s="16"/>
      <c r="F292" s="16"/>
      <c r="G292" s="5">
        <f>G31+G66+G177+G245+G290+G36</f>
        <v>3449326711.6719999</v>
      </c>
      <c r="H292" s="16"/>
      <c r="I292" s="5">
        <f>I31+I66+I177+I245+I290+I36</f>
        <v>2598382356.3650002</v>
      </c>
      <c r="J292" s="75"/>
      <c r="K292" s="5">
        <f>K31+K66+K177+K245+K290+K36</f>
        <v>850944355.30699992</v>
      </c>
    </row>
    <row r="293" spans="1:11">
      <c r="C293" s="3" t="s">
        <v>155</v>
      </c>
      <c r="G293" s="3" t="s">
        <v>155</v>
      </c>
      <c r="K293" s="3" t="s">
        <v>155</v>
      </c>
    </row>
    <row r="294" spans="1:11">
      <c r="B294" s="1" t="s">
        <v>156</v>
      </c>
      <c r="G294" s="3"/>
      <c r="K294" s="3"/>
    </row>
    <row r="295" spans="1:11">
      <c r="B295" s="1" t="s">
        <v>157</v>
      </c>
      <c r="G295" s="3"/>
      <c r="K295" s="3"/>
    </row>
    <row r="296" spans="1:11">
      <c r="A296" s="57">
        <v>2010001</v>
      </c>
      <c r="B296" s="1" t="s">
        <v>158</v>
      </c>
      <c r="C296" s="55">
        <v>50450000</v>
      </c>
      <c r="E296" s="94">
        <f>C296</f>
        <v>50450000</v>
      </c>
      <c r="F296" s="9"/>
      <c r="G296" s="55">
        <f>C296-E296</f>
        <v>0</v>
      </c>
      <c r="I296" s="14">
        <v>0</v>
      </c>
      <c r="K296" s="55">
        <f>G296-I296</f>
        <v>0</v>
      </c>
    </row>
    <row r="297" spans="1:11">
      <c r="B297" s="1" t="s">
        <v>159</v>
      </c>
      <c r="C297" s="3">
        <f>SUM(C296)</f>
        <v>50450000</v>
      </c>
      <c r="E297" s="10">
        <f>SUM(E296)</f>
        <v>50450000</v>
      </c>
      <c r="G297" s="3">
        <f>SUM(G296)</f>
        <v>0</v>
      </c>
      <c r="I297" s="10">
        <f>SUM(I296)</f>
        <v>0</v>
      </c>
      <c r="K297" s="3">
        <f>SUM(K296)</f>
        <v>0</v>
      </c>
    </row>
    <row r="298" spans="1:11">
      <c r="G298" s="3"/>
      <c r="K298" s="3"/>
    </row>
    <row r="299" spans="1:11">
      <c r="A299" s="57">
        <v>2080000</v>
      </c>
      <c r="B299" s="1" t="s">
        <v>160</v>
      </c>
      <c r="C299" s="3">
        <v>523324094.20999998</v>
      </c>
      <c r="E299" s="10">
        <f>C299</f>
        <v>523324094.20999998</v>
      </c>
      <c r="G299" s="3">
        <f>C299-E299</f>
        <v>0</v>
      </c>
      <c r="K299" s="3">
        <f>G299-I299</f>
        <v>0</v>
      </c>
    </row>
    <row r="300" spans="1:11">
      <c r="A300" s="57" t="s">
        <v>576</v>
      </c>
      <c r="B300" s="1" t="s">
        <v>577</v>
      </c>
      <c r="C300" s="3">
        <v>-97156.388000000006</v>
      </c>
      <c r="E300" s="10">
        <f>C300</f>
        <v>-97156.388000000006</v>
      </c>
      <c r="G300" s="3">
        <f>C300-E300</f>
        <v>0</v>
      </c>
      <c r="K300" s="3">
        <f>G300-I300</f>
        <v>0</v>
      </c>
    </row>
    <row r="301" spans="1:11">
      <c r="A301" s="57">
        <v>2110018</v>
      </c>
      <c r="B301" s="1" t="s">
        <v>161</v>
      </c>
      <c r="C301" s="3">
        <v>2811185.08</v>
      </c>
      <c r="E301" s="10">
        <f t="shared" ref="E301:E304" si="47">C301</f>
        <v>2811185.08</v>
      </c>
      <c r="G301" s="3">
        <f t="shared" ref="G301:G304" si="48">C301-E301</f>
        <v>0</v>
      </c>
      <c r="K301" s="3">
        <f t="shared" ref="K301:K304" si="49">G301-I301</f>
        <v>0</v>
      </c>
    </row>
    <row r="302" spans="1:11">
      <c r="A302" s="57">
        <v>2190006</v>
      </c>
      <c r="B302" s="1" t="s">
        <v>162</v>
      </c>
      <c r="C302" s="3">
        <v>0</v>
      </c>
      <c r="E302" s="10">
        <f t="shared" si="47"/>
        <v>0</v>
      </c>
      <c r="G302" s="3">
        <f t="shared" si="48"/>
        <v>0</v>
      </c>
      <c r="K302" s="3">
        <f t="shared" si="49"/>
        <v>0</v>
      </c>
    </row>
    <row r="303" spans="1:11">
      <c r="A303" s="57">
        <v>2190007</v>
      </c>
      <c r="B303" s="1" t="s">
        <v>163</v>
      </c>
      <c r="C303" s="3">
        <v>0</v>
      </c>
      <c r="E303" s="10">
        <f t="shared" si="47"/>
        <v>0</v>
      </c>
      <c r="G303" s="3">
        <f t="shared" si="48"/>
        <v>0</v>
      </c>
      <c r="K303" s="3">
        <f t="shared" si="49"/>
        <v>0</v>
      </c>
    </row>
    <row r="304" spans="1:11">
      <c r="A304" s="57">
        <v>2190015</v>
      </c>
      <c r="B304" s="1" t="s">
        <v>164</v>
      </c>
      <c r="C304" s="55">
        <v>0</v>
      </c>
      <c r="E304" s="94">
        <f t="shared" si="47"/>
        <v>0</v>
      </c>
      <c r="F304" s="9"/>
      <c r="G304" s="55">
        <f t="shared" si="48"/>
        <v>0</v>
      </c>
      <c r="I304" s="14"/>
      <c r="K304" s="55">
        <f t="shared" si="49"/>
        <v>0</v>
      </c>
    </row>
    <row r="305" spans="1:11">
      <c r="B305" s="1" t="s">
        <v>165</v>
      </c>
      <c r="C305" s="3">
        <f>SUM(C299:C304)</f>
        <v>526038122.90199995</v>
      </c>
      <c r="E305" s="10">
        <f>SUM(E299:E304)</f>
        <v>526038122.90199995</v>
      </c>
      <c r="G305" s="3">
        <f>SUM(G299:G304)</f>
        <v>0</v>
      </c>
      <c r="I305" s="3">
        <f>SUM(I299:I304)</f>
        <v>0</v>
      </c>
      <c r="K305" s="3">
        <f>SUM(K299:K304)</f>
        <v>0</v>
      </c>
    </row>
    <row r="306" spans="1:11">
      <c r="G306" s="3"/>
      <c r="I306" s="3"/>
      <c r="K306" s="3"/>
    </row>
    <row r="307" spans="1:11">
      <c r="B307" s="1" t="s">
        <v>166</v>
      </c>
      <c r="C307" s="4">
        <v>418670024.23800039</v>
      </c>
      <c r="E307" s="14">
        <f>C307</f>
        <v>418670024.23800039</v>
      </c>
      <c r="F307" s="15"/>
      <c r="G307" s="4">
        <f>C307-E307</f>
        <v>0</v>
      </c>
      <c r="I307" s="4">
        <v>0</v>
      </c>
      <c r="K307" s="4">
        <f>G307-I307</f>
        <v>0</v>
      </c>
    </row>
    <row r="308" spans="1:11">
      <c r="B308" s="1" t="s">
        <v>167</v>
      </c>
      <c r="C308" s="3">
        <f>C297+C305+C307</f>
        <v>995158147.14000034</v>
      </c>
      <c r="E308" s="10">
        <f>E297+E305+E307</f>
        <v>995158147.14000034</v>
      </c>
      <c r="G308" s="3">
        <f>G297+G305+G307</f>
        <v>0</v>
      </c>
      <c r="I308" s="3">
        <f>I297+I305+I307</f>
        <v>0</v>
      </c>
      <c r="K308" s="3">
        <f>K297+K305+K307</f>
        <v>0</v>
      </c>
    </row>
    <row r="309" spans="1:11">
      <c r="G309" s="3"/>
      <c r="K309" s="3"/>
    </row>
    <row r="310" spans="1:11">
      <c r="G310" s="3"/>
      <c r="K310" s="3"/>
    </row>
    <row r="311" spans="1:11">
      <c r="A311" s="57" t="s">
        <v>657</v>
      </c>
      <c r="B311" s="1" t="s">
        <v>658</v>
      </c>
      <c r="C311" s="3">
        <v>65000000</v>
      </c>
      <c r="E311" s="10">
        <f>C311</f>
        <v>65000000</v>
      </c>
      <c r="G311" s="3">
        <f t="shared" ref="G311:G313" si="50">C311-E311</f>
        <v>0</v>
      </c>
      <c r="K311" s="3">
        <v>0</v>
      </c>
    </row>
    <row r="312" spans="1:11">
      <c r="A312" s="57">
        <v>2240005</v>
      </c>
      <c r="B312" s="1" t="s">
        <v>168</v>
      </c>
      <c r="C312" s="3">
        <v>0</v>
      </c>
      <c r="E312" s="10">
        <f>C312</f>
        <v>0</v>
      </c>
      <c r="G312" s="3">
        <f t="shared" ref="G312" si="51">C312-E312</f>
        <v>0</v>
      </c>
      <c r="K312" s="3">
        <v>0</v>
      </c>
    </row>
    <row r="313" spans="1:11">
      <c r="A313" s="57">
        <v>2240006</v>
      </c>
      <c r="B313" s="1" t="s">
        <v>169</v>
      </c>
      <c r="C313" s="3">
        <v>1000000000</v>
      </c>
      <c r="E313" s="10">
        <f>C313</f>
        <v>1000000000</v>
      </c>
      <c r="G313" s="3">
        <f t="shared" si="50"/>
        <v>0</v>
      </c>
      <c r="K313" s="3">
        <v>0</v>
      </c>
    </row>
    <row r="314" spans="1:11">
      <c r="A314" s="58" t="s">
        <v>578</v>
      </c>
      <c r="B314" s="1" t="s">
        <v>579</v>
      </c>
      <c r="C314" s="3">
        <v>300000000</v>
      </c>
      <c r="E314" s="10">
        <f>C314</f>
        <v>300000000</v>
      </c>
      <c r="G314" s="3">
        <f t="shared" ref="G314:G315" si="52">(C314-E314)*-1</f>
        <v>0</v>
      </c>
      <c r="K314" s="3">
        <v>0</v>
      </c>
    </row>
    <row r="315" spans="1:11">
      <c r="A315" s="57" t="s">
        <v>659</v>
      </c>
      <c r="B315" s="1" t="s">
        <v>660</v>
      </c>
      <c r="C315" s="4">
        <v>0</v>
      </c>
      <c r="E315" s="14">
        <f>C315</f>
        <v>0</v>
      </c>
      <c r="F315" s="15"/>
      <c r="G315" s="55">
        <f t="shared" si="52"/>
        <v>0</v>
      </c>
      <c r="K315" s="4">
        <f t="shared" ref="K315" si="53">G315-I315</f>
        <v>0</v>
      </c>
    </row>
    <row r="316" spans="1:11">
      <c r="B316" s="1" t="s">
        <v>169</v>
      </c>
      <c r="C316" s="25">
        <f>SUM(C311:C315)</f>
        <v>1365000000</v>
      </c>
      <c r="D316" s="34"/>
      <c r="E316" s="35">
        <f>SUM(E311:E315)</f>
        <v>1365000000</v>
      </c>
      <c r="F316" s="35"/>
      <c r="G316" s="25">
        <f>SUM(G311:G315)</f>
        <v>0</v>
      </c>
      <c r="H316" s="35"/>
      <c r="I316" s="35"/>
      <c r="J316" s="78"/>
      <c r="K316" s="25">
        <f>SUM(K311:K315)</f>
        <v>0</v>
      </c>
    </row>
    <row r="317" spans="1:11">
      <c r="C317" s="25"/>
      <c r="D317" s="34"/>
      <c r="E317" s="35"/>
      <c r="F317" s="35"/>
      <c r="G317" s="25"/>
      <c r="H317" s="35"/>
      <c r="I317" s="35"/>
      <c r="J317" s="78"/>
      <c r="K317" s="25"/>
    </row>
    <row r="318" spans="1:11">
      <c r="A318" s="57">
        <v>2260006</v>
      </c>
      <c r="B318" s="1" t="s">
        <v>170</v>
      </c>
      <c r="C318" s="55">
        <v>564968.75</v>
      </c>
      <c r="E318" s="14">
        <v>0</v>
      </c>
      <c r="F318" s="15"/>
      <c r="G318" s="55">
        <f>+C318</f>
        <v>564968.75</v>
      </c>
      <c r="I318" s="14">
        <v>0</v>
      </c>
      <c r="K318" s="55">
        <f>G318-I318</f>
        <v>564968.75</v>
      </c>
    </row>
    <row r="319" spans="1:11">
      <c r="B319" s="1" t="s">
        <v>435</v>
      </c>
      <c r="C319" s="3">
        <f>+C316-C318</f>
        <v>1364435031.25</v>
      </c>
      <c r="E319" s="3">
        <f>+E316-E318</f>
        <v>1365000000</v>
      </c>
      <c r="G319" s="3">
        <f>SUM(G316:G318)</f>
        <v>564968.75</v>
      </c>
      <c r="I319" s="3">
        <f>SUM(I316:I318)</f>
        <v>0</v>
      </c>
      <c r="K319" s="3">
        <f>SUM(K316:K318)</f>
        <v>564968.75</v>
      </c>
    </row>
    <row r="320" spans="1:11">
      <c r="G320" s="3"/>
      <c r="K320" s="3"/>
    </row>
    <row r="321" spans="1:11">
      <c r="B321" s="1" t="s">
        <v>171</v>
      </c>
      <c r="C321" s="3">
        <f>C308+C319</f>
        <v>2359593178.3900003</v>
      </c>
      <c r="E321" s="3">
        <f>E308+E319</f>
        <v>2360158147.1400003</v>
      </c>
      <c r="F321" s="3"/>
      <c r="G321" s="3">
        <f>G308+G319</f>
        <v>564968.75</v>
      </c>
      <c r="I321" s="3">
        <f>I308+I319</f>
        <v>0</v>
      </c>
      <c r="J321" s="77"/>
      <c r="K321" s="3">
        <f>K308+K319</f>
        <v>564968.75</v>
      </c>
    </row>
    <row r="322" spans="1:11">
      <c r="C322" s="3" t="s">
        <v>155</v>
      </c>
      <c r="G322" s="3" t="s">
        <v>155</v>
      </c>
      <c r="K322" s="3" t="s">
        <v>155</v>
      </c>
    </row>
    <row r="323" spans="1:11">
      <c r="G323" s="3"/>
      <c r="K323" s="3"/>
    </row>
    <row r="324" spans="1:11">
      <c r="A324" s="57">
        <v>2270001</v>
      </c>
      <c r="B324" s="1" t="s">
        <v>172</v>
      </c>
      <c r="C324" s="3">
        <v>839811.27</v>
      </c>
      <c r="G324" s="3">
        <f>(C324-E324)*-1</f>
        <v>-839811.27</v>
      </c>
      <c r="K324" s="3">
        <f>G324-I324</f>
        <v>-839811.27</v>
      </c>
    </row>
    <row r="325" spans="1:11">
      <c r="A325" s="57">
        <v>2270003</v>
      </c>
      <c r="B325" s="1" t="s">
        <v>173</v>
      </c>
      <c r="C325" s="3">
        <v>0</v>
      </c>
      <c r="G325" s="24">
        <f>(C325-E325)*-1</f>
        <v>0</v>
      </c>
      <c r="K325" s="24">
        <f>G325-I325</f>
        <v>0</v>
      </c>
    </row>
    <row r="326" spans="1:11">
      <c r="A326" s="57" t="s">
        <v>494</v>
      </c>
      <c r="B326" s="1" t="s">
        <v>495</v>
      </c>
      <c r="C326" s="3">
        <v>2816882.63</v>
      </c>
      <c r="G326" s="24">
        <f t="shared" ref="G326:G327" si="54">(C326-E326)*-1</f>
        <v>-2816882.63</v>
      </c>
      <c r="K326" s="24">
        <f t="shared" ref="K326:K327" si="55">G326-I326</f>
        <v>-2816882.63</v>
      </c>
    </row>
    <row r="327" spans="1:11">
      <c r="A327" s="57" t="s">
        <v>496</v>
      </c>
      <c r="B327" s="1" t="s">
        <v>497</v>
      </c>
      <c r="C327" s="4">
        <v>403769</v>
      </c>
      <c r="G327" s="55">
        <f t="shared" si="54"/>
        <v>-403769</v>
      </c>
      <c r="K327" s="55">
        <f t="shared" si="55"/>
        <v>-403769</v>
      </c>
    </row>
    <row r="328" spans="1:11">
      <c r="B328" s="1" t="s">
        <v>174</v>
      </c>
      <c r="C328" s="3">
        <f>SUM(C324:C327)</f>
        <v>4060462.9</v>
      </c>
      <c r="G328" s="3">
        <f>SUM(G324:G327)</f>
        <v>-4060462.9</v>
      </c>
      <c r="I328" s="3">
        <f>SUM(I324:I327)</f>
        <v>0</v>
      </c>
      <c r="K328" s="3">
        <f>SUM(K324:K327)</f>
        <v>-4060462.9</v>
      </c>
    </row>
    <row r="329" spans="1:11">
      <c r="G329" s="3"/>
      <c r="K329" s="3"/>
    </row>
    <row r="331" spans="1:11">
      <c r="A331" s="57">
        <v>2282003</v>
      </c>
      <c r="B331" s="1" t="s">
        <v>176</v>
      </c>
      <c r="C331" s="3">
        <v>72471.540000000008</v>
      </c>
      <c r="G331" s="3">
        <f t="shared" ref="G331:G345" si="56">(C331-E331)*-1</f>
        <v>-72471.540000000008</v>
      </c>
      <c r="K331" s="3">
        <f>G331-I331</f>
        <v>-72471.540000000008</v>
      </c>
    </row>
    <row r="332" spans="1:11">
      <c r="A332" s="57" t="s">
        <v>582</v>
      </c>
      <c r="B332" s="1" t="s">
        <v>583</v>
      </c>
      <c r="C332" s="3">
        <v>163541.28</v>
      </c>
      <c r="G332" s="3">
        <f t="shared" si="56"/>
        <v>-163541.28</v>
      </c>
      <c r="K332" s="3">
        <f t="shared" ref="K332:K333" si="57">G332-I332</f>
        <v>-163541.28</v>
      </c>
    </row>
    <row r="333" spans="1:11">
      <c r="A333" s="57" t="s">
        <v>584</v>
      </c>
      <c r="B333" s="1" t="s">
        <v>585</v>
      </c>
      <c r="C333" s="3">
        <v>986382.62</v>
      </c>
      <c r="G333" s="3">
        <f t="shared" si="56"/>
        <v>-986382.62</v>
      </c>
      <c r="K333" s="3">
        <f t="shared" si="57"/>
        <v>-986382.62</v>
      </c>
    </row>
    <row r="334" spans="1:11">
      <c r="A334" s="57">
        <v>2283000</v>
      </c>
      <c r="B334" s="1" t="s">
        <v>177</v>
      </c>
      <c r="C334" s="3">
        <v>215926.78</v>
      </c>
      <c r="G334" s="3">
        <f t="shared" si="56"/>
        <v>-215926.78</v>
      </c>
      <c r="K334" s="3">
        <f t="shared" ref="K334:K345" si="58">G334-I334</f>
        <v>-215926.78</v>
      </c>
    </row>
    <row r="335" spans="1:11">
      <c r="A335" s="57">
        <v>2283002</v>
      </c>
      <c r="B335" s="1" t="s">
        <v>178</v>
      </c>
      <c r="C335" s="3">
        <v>1427.47</v>
      </c>
      <c r="G335" s="3">
        <f t="shared" si="56"/>
        <v>-1427.47</v>
      </c>
      <c r="K335" s="3">
        <f t="shared" si="58"/>
        <v>-1427.47</v>
      </c>
    </row>
    <row r="336" spans="1:11">
      <c r="A336" s="57">
        <v>2283005</v>
      </c>
      <c r="B336" s="1" t="s">
        <v>105</v>
      </c>
      <c r="C336" s="3">
        <v>1461535.47</v>
      </c>
      <c r="G336" s="3">
        <f t="shared" si="56"/>
        <v>-1461535.47</v>
      </c>
      <c r="K336" s="3">
        <f t="shared" si="58"/>
        <v>-1461535.47</v>
      </c>
    </row>
    <row r="337" spans="1:11">
      <c r="A337" s="57">
        <v>2283006</v>
      </c>
      <c r="B337" s="1" t="s">
        <v>179</v>
      </c>
      <c r="C337" s="3">
        <v>-84738.7</v>
      </c>
      <c r="G337" s="3">
        <f t="shared" si="56"/>
        <v>84738.7</v>
      </c>
      <c r="K337" s="3">
        <f t="shared" si="58"/>
        <v>84738.7</v>
      </c>
    </row>
    <row r="338" spans="1:11">
      <c r="A338" s="57">
        <v>2283007</v>
      </c>
      <c r="B338" s="1" t="s">
        <v>180</v>
      </c>
      <c r="C338" s="3">
        <v>0</v>
      </c>
      <c r="G338" s="3">
        <f t="shared" si="56"/>
        <v>0</v>
      </c>
      <c r="K338" s="3">
        <f t="shared" si="58"/>
        <v>0</v>
      </c>
    </row>
    <row r="339" spans="1:11">
      <c r="A339" s="57">
        <v>2283013</v>
      </c>
      <c r="B339" s="1" t="s">
        <v>181</v>
      </c>
      <c r="C339" s="3">
        <v>82033.509999999995</v>
      </c>
      <c r="G339" s="3">
        <f t="shared" si="56"/>
        <v>-82033.509999999995</v>
      </c>
      <c r="K339" s="3">
        <f t="shared" si="58"/>
        <v>-82033.509999999995</v>
      </c>
    </row>
    <row r="340" spans="1:11">
      <c r="A340" s="57">
        <v>2283015</v>
      </c>
      <c r="B340" s="1" t="s">
        <v>182</v>
      </c>
      <c r="C340" s="3">
        <v>-152724.75</v>
      </c>
      <c r="G340" s="3">
        <f t="shared" si="56"/>
        <v>152724.75</v>
      </c>
      <c r="K340" s="3">
        <f t="shared" si="58"/>
        <v>152724.75</v>
      </c>
    </row>
    <row r="341" spans="1:11">
      <c r="A341" s="57">
        <v>2283016</v>
      </c>
      <c r="B341" s="1" t="s">
        <v>183</v>
      </c>
      <c r="C341" s="3">
        <v>4818852.4000000004</v>
      </c>
      <c r="G341" s="3">
        <f t="shared" si="56"/>
        <v>-4818852.4000000004</v>
      </c>
      <c r="K341" s="3">
        <f t="shared" si="58"/>
        <v>-4818852.4000000004</v>
      </c>
    </row>
    <row r="342" spans="1:11">
      <c r="A342" s="57">
        <v>2284027</v>
      </c>
      <c r="B342" s="1" t="s">
        <v>184</v>
      </c>
      <c r="C342" s="3">
        <v>0</v>
      </c>
      <c r="G342" s="3">
        <f t="shared" si="56"/>
        <v>0</v>
      </c>
      <c r="K342" s="3">
        <f t="shared" si="58"/>
        <v>0</v>
      </c>
    </row>
    <row r="343" spans="1:11">
      <c r="A343" s="57">
        <v>2290002</v>
      </c>
      <c r="B343" s="1" t="s">
        <v>175</v>
      </c>
      <c r="C343" s="24">
        <v>1620672</v>
      </c>
      <c r="D343" s="30"/>
      <c r="E343" s="31"/>
      <c r="F343" s="31"/>
      <c r="G343" s="24">
        <f>(C343-E343)*-1</f>
        <v>-1620672</v>
      </c>
      <c r="H343" s="31"/>
      <c r="I343" s="31"/>
      <c r="J343" s="76"/>
      <c r="K343" s="24">
        <f>G343-I343</f>
        <v>-1620672</v>
      </c>
    </row>
    <row r="344" spans="1:11">
      <c r="A344" s="57">
        <v>2300001</v>
      </c>
      <c r="B344" s="1" t="s">
        <v>115</v>
      </c>
      <c r="C344" s="24">
        <v>87085766.730000004</v>
      </c>
      <c r="G344" s="25">
        <f t="shared" si="56"/>
        <v>-87085766.730000004</v>
      </c>
      <c r="K344" s="24">
        <f t="shared" si="58"/>
        <v>-87085766.730000004</v>
      </c>
    </row>
    <row r="345" spans="1:11">
      <c r="A345" s="57">
        <v>2300002</v>
      </c>
      <c r="B345" s="1" t="s">
        <v>403</v>
      </c>
      <c r="C345" s="24">
        <v>3620144</v>
      </c>
      <c r="D345" s="30"/>
      <c r="E345" s="31"/>
      <c r="F345" s="31"/>
      <c r="G345" s="25">
        <f t="shared" si="56"/>
        <v>-3620144</v>
      </c>
      <c r="H345" s="31"/>
      <c r="I345" s="31"/>
      <c r="J345" s="76"/>
      <c r="K345" s="24">
        <f t="shared" si="58"/>
        <v>-3620144</v>
      </c>
    </row>
    <row r="346" spans="1:11">
      <c r="A346" s="57">
        <v>2440002</v>
      </c>
      <c r="B346" s="1" t="s">
        <v>312</v>
      </c>
      <c r="C346" s="3">
        <v>88003.8</v>
      </c>
      <c r="G346" s="3">
        <f t="shared" ref="G346:G347" si="59">(C346-E346)*-1</f>
        <v>-88003.8</v>
      </c>
      <c r="K346" s="3">
        <f>G346-I346</f>
        <v>-88003.8</v>
      </c>
    </row>
    <row r="347" spans="1:11">
      <c r="A347" s="57">
        <v>2440022</v>
      </c>
      <c r="B347" s="1" t="s">
        <v>313</v>
      </c>
      <c r="C347" s="55">
        <v>-682</v>
      </c>
      <c r="D347" s="29"/>
      <c r="E347" s="9"/>
      <c r="F347" s="9"/>
      <c r="G347" s="55">
        <f t="shared" si="59"/>
        <v>682</v>
      </c>
      <c r="H347" s="9"/>
      <c r="I347" s="9"/>
      <c r="J347" s="12"/>
      <c r="K347" s="55">
        <f t="shared" ref="K347" si="60">G347-I347</f>
        <v>682</v>
      </c>
    </row>
    <row r="348" spans="1:11">
      <c r="B348" s="1" t="s">
        <v>185</v>
      </c>
      <c r="C348" s="3">
        <f>SUM(C331:C347)</f>
        <v>99978612.150000006</v>
      </c>
      <c r="G348" s="3">
        <f>SUM(G331:G347)</f>
        <v>-99978612.150000006</v>
      </c>
      <c r="I348" s="3">
        <f>SUM(I331:I347)</f>
        <v>0</v>
      </c>
      <c r="K348" s="3">
        <f>SUM(K331:K347)</f>
        <v>-99978612.150000006</v>
      </c>
    </row>
    <row r="349" spans="1:11">
      <c r="B349" s="1" t="s">
        <v>186</v>
      </c>
      <c r="C349" s="3">
        <f>C328+C348</f>
        <v>104039075.05000001</v>
      </c>
      <c r="E349" s="3">
        <f>E328+E348</f>
        <v>0</v>
      </c>
      <c r="F349" s="3"/>
      <c r="G349" s="3">
        <f>G328+G348</f>
        <v>-104039075.05000001</v>
      </c>
      <c r="I349" s="3">
        <f>I328+I348</f>
        <v>0</v>
      </c>
      <c r="J349" s="77"/>
      <c r="K349" s="3">
        <f>K328+K348</f>
        <v>-104039075.05000001</v>
      </c>
    </row>
    <row r="350" spans="1:11">
      <c r="G350" s="3" t="s">
        <v>155</v>
      </c>
      <c r="K350" s="3" t="s">
        <v>155</v>
      </c>
    </row>
    <row r="351" spans="1:11">
      <c r="A351" s="57">
        <v>2330000</v>
      </c>
      <c r="B351" s="1" t="s">
        <v>187</v>
      </c>
      <c r="C351" s="3">
        <v>85199813.670000002</v>
      </c>
      <c r="E351" s="10">
        <f>C351</f>
        <v>85199813.670000002</v>
      </c>
      <c r="G351" s="3">
        <f t="shared" ref="G351" si="61">(C351-E351)*-1</f>
        <v>0</v>
      </c>
      <c r="K351" s="3">
        <f>G351-I351</f>
        <v>0</v>
      </c>
    </row>
    <row r="352" spans="1:11">
      <c r="G352" s="3"/>
      <c r="K352" s="3"/>
    </row>
    <row r="353" spans="1:11">
      <c r="A353" s="57">
        <v>2320001</v>
      </c>
      <c r="B353" s="1" t="s">
        <v>188</v>
      </c>
      <c r="C353" s="3">
        <v>10180456.672</v>
      </c>
      <c r="G353" s="3">
        <f t="shared" ref="G353:G371" si="62">(C353-E353)*-1</f>
        <v>-10180456.672</v>
      </c>
      <c r="K353" s="3">
        <f>G353-I353</f>
        <v>-10180456.672</v>
      </c>
    </row>
    <row r="354" spans="1:11">
      <c r="A354" s="57">
        <v>2320002</v>
      </c>
      <c r="B354" s="1" t="s">
        <v>189</v>
      </c>
      <c r="C354" s="3">
        <v>38990851.979999997</v>
      </c>
      <c r="G354" s="3">
        <f t="shared" si="62"/>
        <v>-38990851.979999997</v>
      </c>
      <c r="K354" s="3">
        <f t="shared" ref="K354:K371" si="63">G354-I354</f>
        <v>-38990851.979999997</v>
      </c>
    </row>
    <row r="355" spans="1:11">
      <c r="A355" s="57">
        <v>2320003</v>
      </c>
      <c r="B355" s="1" t="s">
        <v>190</v>
      </c>
      <c r="C355" s="3">
        <v>2491381.25</v>
      </c>
      <c r="G355" s="3">
        <f t="shared" si="62"/>
        <v>-2491381.25</v>
      </c>
      <c r="K355" s="3">
        <f t="shared" si="63"/>
        <v>-2491381.25</v>
      </c>
    </row>
    <row r="356" spans="1:11">
      <c r="A356" s="57" t="s">
        <v>580</v>
      </c>
      <c r="B356" s="1" t="s">
        <v>581</v>
      </c>
      <c r="C356" s="3">
        <v>0</v>
      </c>
      <c r="G356" s="3">
        <f t="shared" si="62"/>
        <v>0</v>
      </c>
      <c r="K356" s="3">
        <f t="shared" si="63"/>
        <v>0</v>
      </c>
    </row>
    <row r="357" spans="1:11">
      <c r="A357" s="57">
        <v>2320011</v>
      </c>
      <c r="B357" s="1" t="s">
        <v>191</v>
      </c>
      <c r="C357" s="3">
        <v>3136957.16</v>
      </c>
      <c r="G357" s="3">
        <f t="shared" si="62"/>
        <v>-3136957.16</v>
      </c>
      <c r="K357" s="3">
        <f t="shared" si="63"/>
        <v>-3136957.16</v>
      </c>
    </row>
    <row r="358" spans="1:11">
      <c r="A358" s="57">
        <v>2320052</v>
      </c>
      <c r="B358" s="1" t="s">
        <v>192</v>
      </c>
      <c r="C358" s="3">
        <v>841781.48899999994</v>
      </c>
      <c r="G358" s="3">
        <f t="shared" si="62"/>
        <v>-841781.48899999994</v>
      </c>
      <c r="K358" s="3">
        <f t="shared" si="63"/>
        <v>-841781.48899999994</v>
      </c>
    </row>
    <row r="359" spans="1:11">
      <c r="A359" s="57">
        <v>2320053</v>
      </c>
      <c r="B359" s="1" t="s">
        <v>193</v>
      </c>
      <c r="C359" s="3">
        <v>0.08</v>
      </c>
      <c r="G359" s="3">
        <f t="shared" si="62"/>
        <v>-0.08</v>
      </c>
      <c r="K359" s="3">
        <f t="shared" si="63"/>
        <v>-0.08</v>
      </c>
    </row>
    <row r="360" spans="1:11">
      <c r="A360" s="57">
        <v>2320054</v>
      </c>
      <c r="B360" s="1" t="s">
        <v>194</v>
      </c>
      <c r="C360" s="3">
        <v>0</v>
      </c>
      <c r="G360" s="3">
        <f t="shared" si="62"/>
        <v>0</v>
      </c>
      <c r="K360" s="3">
        <f t="shared" si="63"/>
        <v>0</v>
      </c>
    </row>
    <row r="361" spans="1:11">
      <c r="A361" s="57">
        <v>2320056</v>
      </c>
      <c r="B361" s="1" t="s">
        <v>195</v>
      </c>
      <c r="C361" s="3">
        <v>0</v>
      </c>
      <c r="G361" s="3">
        <f t="shared" si="62"/>
        <v>0</v>
      </c>
      <c r="K361" s="3">
        <f t="shared" si="63"/>
        <v>0</v>
      </c>
    </row>
    <row r="362" spans="1:11">
      <c r="A362" s="57">
        <v>2320062</v>
      </c>
      <c r="B362" s="1" t="s">
        <v>196</v>
      </c>
      <c r="C362" s="3">
        <v>0</v>
      </c>
      <c r="G362" s="3">
        <f t="shared" si="62"/>
        <v>0</v>
      </c>
      <c r="K362" s="3">
        <f t="shared" si="63"/>
        <v>0</v>
      </c>
    </row>
    <row r="363" spans="1:11">
      <c r="A363" s="57">
        <v>2320073</v>
      </c>
      <c r="B363" s="1" t="s">
        <v>197</v>
      </c>
      <c r="C363" s="3">
        <v>12568.5</v>
      </c>
      <c r="G363" s="3">
        <f t="shared" si="62"/>
        <v>-12568.5</v>
      </c>
      <c r="K363" s="3">
        <f t="shared" si="63"/>
        <v>-12568.5</v>
      </c>
    </row>
    <row r="364" spans="1:11">
      <c r="A364" s="57">
        <v>2320076</v>
      </c>
      <c r="B364" s="1" t="s">
        <v>198</v>
      </c>
      <c r="C364" s="3">
        <v>380725.07</v>
      </c>
      <c r="G364" s="3">
        <f t="shared" si="62"/>
        <v>-380725.07</v>
      </c>
      <c r="K364" s="3">
        <f t="shared" si="63"/>
        <v>-380725.07</v>
      </c>
    </row>
    <row r="365" spans="1:11">
      <c r="A365" s="57">
        <v>2320077</v>
      </c>
      <c r="B365" s="1" t="s">
        <v>199</v>
      </c>
      <c r="C365" s="3">
        <v>2423370.054</v>
      </c>
      <c r="G365" s="3">
        <f t="shared" si="62"/>
        <v>-2423370.054</v>
      </c>
      <c r="K365" s="3">
        <f t="shared" si="63"/>
        <v>-2423370.054</v>
      </c>
    </row>
    <row r="366" spans="1:11">
      <c r="A366" s="57">
        <v>2320079</v>
      </c>
      <c r="B366" s="1" t="s">
        <v>200</v>
      </c>
      <c r="C366" s="3">
        <v>0</v>
      </c>
      <c r="G366" s="3">
        <f t="shared" si="62"/>
        <v>0</v>
      </c>
      <c r="K366" s="3">
        <f t="shared" si="63"/>
        <v>0</v>
      </c>
    </row>
    <row r="367" spans="1:11">
      <c r="A367" s="57">
        <v>2320083</v>
      </c>
      <c r="B367" s="1" t="s">
        <v>201</v>
      </c>
      <c r="C367" s="3">
        <v>2467208.3149999999</v>
      </c>
      <c r="G367" s="3">
        <f t="shared" si="62"/>
        <v>-2467208.3149999999</v>
      </c>
      <c r="K367" s="3">
        <f t="shared" si="63"/>
        <v>-2467208.3149999999</v>
      </c>
    </row>
    <row r="368" spans="1:11">
      <c r="A368" s="57">
        <v>2320086</v>
      </c>
      <c r="B368" s="1" t="s">
        <v>202</v>
      </c>
      <c r="C368" s="3">
        <v>939726.20000000007</v>
      </c>
      <c r="G368" s="3">
        <f t="shared" si="62"/>
        <v>-939726.20000000007</v>
      </c>
      <c r="K368" s="3">
        <f t="shared" si="63"/>
        <v>-939726.20000000007</v>
      </c>
    </row>
    <row r="369" spans="1:11">
      <c r="A369" s="57">
        <v>2320095</v>
      </c>
      <c r="B369" s="1" t="s">
        <v>404</v>
      </c>
      <c r="C369" s="3">
        <v>130310.12000000001</v>
      </c>
      <c r="G369" s="3">
        <f t="shared" si="62"/>
        <v>-130310.12000000001</v>
      </c>
      <c r="K369" s="3">
        <f t="shared" si="63"/>
        <v>-130310.12000000001</v>
      </c>
    </row>
    <row r="370" spans="1:11">
      <c r="A370" s="57" t="s">
        <v>498</v>
      </c>
      <c r="B370" s="1" t="s">
        <v>499</v>
      </c>
      <c r="C370" s="3">
        <v>0</v>
      </c>
      <c r="G370" s="24">
        <f t="shared" si="62"/>
        <v>0</v>
      </c>
      <c r="K370" s="24">
        <f t="shared" si="63"/>
        <v>0</v>
      </c>
    </row>
    <row r="371" spans="1:11">
      <c r="A371" s="57" t="s">
        <v>500</v>
      </c>
      <c r="B371" s="1" t="s">
        <v>501</v>
      </c>
      <c r="C371" s="55">
        <v>1616002.48</v>
      </c>
      <c r="G371" s="55">
        <f t="shared" si="62"/>
        <v>-1616002.48</v>
      </c>
      <c r="K371" s="55">
        <f t="shared" si="63"/>
        <v>-1616002.48</v>
      </c>
    </row>
    <row r="372" spans="1:11">
      <c r="B372" s="1" t="s">
        <v>203</v>
      </c>
      <c r="C372" s="3">
        <f>SUM(C353:C371)</f>
        <v>63611339.369999982</v>
      </c>
      <c r="G372" s="3">
        <f>SUM(G353:G371)</f>
        <v>-63611339.369999982</v>
      </c>
      <c r="I372" s="3">
        <f>SUM(I353:I371)</f>
        <v>0</v>
      </c>
      <c r="K372" s="3">
        <f>SUM(K353:K371)</f>
        <v>-63611339.369999982</v>
      </c>
    </row>
    <row r="373" spans="1:11">
      <c r="G373" s="3"/>
      <c r="K373" s="3"/>
    </row>
    <row r="374" spans="1:11">
      <c r="A374" s="57">
        <v>2340001</v>
      </c>
      <c r="B374" s="1" t="s">
        <v>204</v>
      </c>
      <c r="C374" s="3">
        <v>44809993.619999997</v>
      </c>
      <c r="G374" s="3">
        <f t="shared" ref="G374:K382" si="64">(C374-E374)*-1</f>
        <v>-44809993.619999997</v>
      </c>
      <c r="K374" s="3">
        <f t="shared" ref="K374:K381" si="65">G374-I374</f>
        <v>-44809993.619999997</v>
      </c>
    </row>
    <row r="375" spans="1:11">
      <c r="A375" s="57">
        <v>2340011</v>
      </c>
      <c r="B375" s="1" t="s">
        <v>205</v>
      </c>
      <c r="C375" s="3">
        <v>0</v>
      </c>
      <c r="G375" s="3">
        <f t="shared" si="64"/>
        <v>0</v>
      </c>
      <c r="K375" s="3">
        <f t="shared" si="65"/>
        <v>0</v>
      </c>
    </row>
    <row r="376" spans="1:11">
      <c r="A376" s="57">
        <v>2340025</v>
      </c>
      <c r="B376" s="1" t="s">
        <v>206</v>
      </c>
      <c r="C376" s="3">
        <v>40480.47</v>
      </c>
      <c r="G376" s="3">
        <f t="shared" si="64"/>
        <v>-40480.47</v>
      </c>
      <c r="K376" s="3">
        <f t="shared" si="65"/>
        <v>-40480.47</v>
      </c>
    </row>
    <row r="377" spans="1:11">
      <c r="A377" s="57">
        <v>2340027</v>
      </c>
      <c r="B377" s="1" t="s">
        <v>207</v>
      </c>
      <c r="C377" s="3">
        <v>237983.32</v>
      </c>
      <c r="G377" s="3">
        <f t="shared" si="64"/>
        <v>-237983.32</v>
      </c>
      <c r="K377" s="3">
        <f t="shared" si="65"/>
        <v>-237983.32</v>
      </c>
    </row>
    <row r="378" spans="1:11">
      <c r="A378" s="57">
        <v>2340029</v>
      </c>
      <c r="B378" s="1" t="s">
        <v>208</v>
      </c>
      <c r="C378" s="3">
        <v>3765853.04</v>
      </c>
      <c r="G378" s="3">
        <f t="shared" si="64"/>
        <v>-3765853.04</v>
      </c>
      <c r="K378" s="3">
        <f t="shared" si="65"/>
        <v>-3765853.04</v>
      </c>
    </row>
    <row r="379" spans="1:11">
      <c r="A379" s="57">
        <v>2340030</v>
      </c>
      <c r="B379" s="1" t="s">
        <v>209</v>
      </c>
      <c r="C379" s="3">
        <v>40786.629999999997</v>
      </c>
      <c r="G379" s="3">
        <f t="shared" si="64"/>
        <v>-40786.629999999997</v>
      </c>
      <c r="K379" s="3">
        <f t="shared" si="65"/>
        <v>-40786.629999999997</v>
      </c>
    </row>
    <row r="380" spans="1:11">
      <c r="A380" s="57">
        <v>2340032</v>
      </c>
      <c r="B380" s="1" t="s">
        <v>210</v>
      </c>
      <c r="C380" s="3">
        <v>424.77</v>
      </c>
      <c r="G380" s="3">
        <f t="shared" si="64"/>
        <v>-424.77</v>
      </c>
      <c r="K380" s="3">
        <f t="shared" si="65"/>
        <v>-424.77</v>
      </c>
    </row>
    <row r="381" spans="1:11">
      <c r="A381" s="57">
        <v>2340035</v>
      </c>
      <c r="B381" s="1" t="s">
        <v>211</v>
      </c>
      <c r="C381" s="24">
        <v>7418.2</v>
      </c>
      <c r="D381" s="30"/>
      <c r="E381" s="31"/>
      <c r="F381" s="31"/>
      <c r="G381" s="24">
        <f t="shared" si="64"/>
        <v>-7418.2</v>
      </c>
      <c r="H381" s="31"/>
      <c r="I381" s="31"/>
      <c r="J381" s="76"/>
      <c r="K381" s="24">
        <f t="shared" si="65"/>
        <v>-7418.2</v>
      </c>
    </row>
    <row r="382" spans="1:11">
      <c r="A382" s="57">
        <v>2340037</v>
      </c>
      <c r="B382" s="1" t="s">
        <v>661</v>
      </c>
      <c r="C382" s="24">
        <v>-0.01</v>
      </c>
      <c r="D382" s="29"/>
      <c r="E382" s="9"/>
      <c r="F382" s="9"/>
      <c r="G382" s="24">
        <f t="shared" si="64"/>
        <v>0.01</v>
      </c>
      <c r="H382" s="9"/>
      <c r="I382" s="24">
        <f t="shared" si="64"/>
        <v>0.01</v>
      </c>
      <c r="J382" s="12"/>
      <c r="K382" s="24">
        <f t="shared" si="64"/>
        <v>0</v>
      </c>
    </row>
    <row r="383" spans="1:11">
      <c r="B383" s="1" t="s">
        <v>212</v>
      </c>
      <c r="C383" s="91">
        <f>SUM(C374:C382)</f>
        <v>48902940.040000007</v>
      </c>
      <c r="G383" s="91">
        <f>SUM(G374:G382)</f>
        <v>-48902940.040000007</v>
      </c>
      <c r="I383" s="91">
        <f>SUM(I374:I382)</f>
        <v>0.01</v>
      </c>
      <c r="K383" s="91">
        <f>SUM(K374:K382)</f>
        <v>-48902940.050000004</v>
      </c>
    </row>
    <row r="384" spans="1:11">
      <c r="G384" s="3"/>
      <c r="K384" s="3"/>
    </row>
    <row r="385" spans="1:11">
      <c r="A385" s="57">
        <v>2350001</v>
      </c>
      <c r="B385" s="1" t="s">
        <v>213</v>
      </c>
      <c r="C385" s="3">
        <v>38090279.75</v>
      </c>
      <c r="G385" s="3">
        <f t="shared" ref="G385:G386" si="66">(C385-E385)*-1</f>
        <v>-38090279.75</v>
      </c>
      <c r="I385" s="10">
        <f>C385*-1</f>
        <v>-38090279.75</v>
      </c>
      <c r="K385" s="3">
        <f>G385-I385</f>
        <v>0</v>
      </c>
    </row>
    <row r="386" spans="1:11">
      <c r="A386" s="57">
        <v>2350003</v>
      </c>
      <c r="B386" s="1" t="s">
        <v>214</v>
      </c>
      <c r="C386" s="55">
        <v>367913.59</v>
      </c>
      <c r="D386" s="29"/>
      <c r="E386" s="9"/>
      <c r="F386" s="9"/>
      <c r="G386" s="55">
        <f t="shared" si="66"/>
        <v>-367913.59</v>
      </c>
      <c r="H386" s="9"/>
      <c r="I386" s="94">
        <f>C386*-1</f>
        <v>-367913.59</v>
      </c>
      <c r="J386" s="12"/>
      <c r="K386" s="55">
        <f>G386-I386</f>
        <v>0</v>
      </c>
    </row>
    <row r="387" spans="1:11">
      <c r="B387" s="1" t="s">
        <v>215</v>
      </c>
      <c r="C387" s="3">
        <f>SUM(C385:C386)</f>
        <v>38458193.340000004</v>
      </c>
      <c r="G387" s="3">
        <f>SUM(G385:G386)</f>
        <v>-38458193.340000004</v>
      </c>
      <c r="I387" s="16">
        <f>SUM(I385:I386)</f>
        <v>-38458193.340000004</v>
      </c>
      <c r="K387" s="3">
        <f>SUM(K385:K386)</f>
        <v>0</v>
      </c>
    </row>
    <row r="388" spans="1:11">
      <c r="G388" s="3"/>
      <c r="K388" s="3"/>
    </row>
    <row r="389" spans="1:11">
      <c r="A389" s="57">
        <v>2360001</v>
      </c>
      <c r="B389" s="1" t="s">
        <v>216</v>
      </c>
      <c r="C389" s="3">
        <v>1812722.3119999999</v>
      </c>
      <c r="G389" s="3">
        <f t="shared" ref="G389:G441" si="67">(C389-E389)*-1</f>
        <v>-1812722.3119999999</v>
      </c>
      <c r="K389" s="3">
        <f>G389-I389</f>
        <v>-1812722.3119999999</v>
      </c>
    </row>
    <row r="390" spans="1:11">
      <c r="A390" s="57" t="s">
        <v>662</v>
      </c>
      <c r="B390" s="1" t="s">
        <v>217</v>
      </c>
      <c r="C390" s="3">
        <v>-1083052.55</v>
      </c>
      <c r="G390" s="3">
        <f t="shared" si="67"/>
        <v>1083052.55</v>
      </c>
      <c r="K390" s="3">
        <f>G390-I390</f>
        <v>1083052.55</v>
      </c>
    </row>
    <row r="391" spans="1:11">
      <c r="A391" s="57">
        <v>236000215</v>
      </c>
      <c r="B391" s="1" t="s">
        <v>217</v>
      </c>
      <c r="C391" s="3">
        <v>0</v>
      </c>
      <c r="G391" s="3">
        <f t="shared" si="67"/>
        <v>0</v>
      </c>
      <c r="K391" s="3">
        <f t="shared" ref="K391:K441" si="68">G391-I391</f>
        <v>0</v>
      </c>
    </row>
    <row r="392" spans="1:11">
      <c r="A392" s="57">
        <v>236000216</v>
      </c>
      <c r="B392" s="1" t="s">
        <v>217</v>
      </c>
      <c r="C392" s="3">
        <v>0</v>
      </c>
      <c r="G392" s="3">
        <f t="shared" si="67"/>
        <v>0</v>
      </c>
      <c r="K392" s="3">
        <f t="shared" si="68"/>
        <v>0</v>
      </c>
    </row>
    <row r="393" spans="1:11">
      <c r="A393" s="57">
        <v>236000217</v>
      </c>
      <c r="B393" s="1" t="s">
        <v>217</v>
      </c>
      <c r="C393" s="3">
        <v>0</v>
      </c>
      <c r="G393" s="3">
        <f t="shared" si="67"/>
        <v>0</v>
      </c>
      <c r="K393" s="3">
        <f t="shared" si="68"/>
        <v>0</v>
      </c>
    </row>
    <row r="394" spans="1:11">
      <c r="A394" s="57">
        <v>236000218</v>
      </c>
      <c r="B394" s="1" t="s">
        <v>217</v>
      </c>
      <c r="C394" s="3">
        <v>0</v>
      </c>
      <c r="G394" s="3">
        <f t="shared" si="67"/>
        <v>0</v>
      </c>
      <c r="K394" s="3">
        <f t="shared" si="68"/>
        <v>0</v>
      </c>
    </row>
    <row r="395" spans="1:11">
      <c r="A395" s="57">
        <v>236000219</v>
      </c>
      <c r="B395" s="1" t="s">
        <v>217</v>
      </c>
      <c r="C395" s="3">
        <v>0</v>
      </c>
      <c r="G395" s="3">
        <f t="shared" si="67"/>
        <v>0</v>
      </c>
      <c r="K395" s="3">
        <f t="shared" si="68"/>
        <v>0</v>
      </c>
    </row>
    <row r="396" spans="1:11">
      <c r="A396" s="57" t="s">
        <v>586</v>
      </c>
      <c r="B396" s="1" t="s">
        <v>217</v>
      </c>
      <c r="C396" s="3">
        <v>0</v>
      </c>
      <c r="G396" s="3">
        <f t="shared" si="67"/>
        <v>0</v>
      </c>
      <c r="K396" s="3">
        <f t="shared" si="68"/>
        <v>0</v>
      </c>
    </row>
    <row r="397" spans="1:11">
      <c r="A397" s="57" t="s">
        <v>587</v>
      </c>
      <c r="B397" s="1" t="s">
        <v>217</v>
      </c>
      <c r="C397" s="3">
        <v>0</v>
      </c>
      <c r="G397" s="3">
        <f t="shared" si="67"/>
        <v>0</v>
      </c>
      <c r="K397" s="3">
        <f t="shared" si="68"/>
        <v>0</v>
      </c>
    </row>
    <row r="398" spans="1:11">
      <c r="A398" s="57" t="s">
        <v>588</v>
      </c>
      <c r="B398" s="1" t="s">
        <v>217</v>
      </c>
      <c r="C398" s="3">
        <v>0</v>
      </c>
      <c r="G398" s="3">
        <f t="shared" si="67"/>
        <v>0</v>
      </c>
      <c r="K398" s="3">
        <f t="shared" si="68"/>
        <v>0</v>
      </c>
    </row>
    <row r="399" spans="1:11">
      <c r="A399" s="57" t="s">
        <v>589</v>
      </c>
      <c r="B399" s="1" t="s">
        <v>217</v>
      </c>
      <c r="C399" s="3">
        <v>0</v>
      </c>
      <c r="G399" s="3">
        <f t="shared" si="67"/>
        <v>0</v>
      </c>
      <c r="K399" s="3">
        <f t="shared" si="68"/>
        <v>0</v>
      </c>
    </row>
    <row r="400" spans="1:11">
      <c r="A400" s="57" t="s">
        <v>663</v>
      </c>
      <c r="B400" s="1" t="s">
        <v>503</v>
      </c>
      <c r="C400" s="3">
        <v>-49346</v>
      </c>
      <c r="G400" s="3">
        <f t="shared" si="67"/>
        <v>49346</v>
      </c>
      <c r="K400" s="3">
        <f t="shared" si="68"/>
        <v>49346</v>
      </c>
    </row>
    <row r="401" spans="1:11">
      <c r="A401" s="57" t="s">
        <v>502</v>
      </c>
      <c r="B401" s="1" t="s">
        <v>503</v>
      </c>
      <c r="C401" s="3">
        <v>0</v>
      </c>
      <c r="G401" s="3">
        <f t="shared" si="67"/>
        <v>0</v>
      </c>
      <c r="K401" s="3">
        <f t="shared" si="68"/>
        <v>0</v>
      </c>
    </row>
    <row r="402" spans="1:11">
      <c r="A402" s="57">
        <v>2360004</v>
      </c>
      <c r="B402" s="1" t="s">
        <v>218</v>
      </c>
      <c r="C402" s="3">
        <v>66001.320000000007</v>
      </c>
      <c r="G402" s="3">
        <f t="shared" si="67"/>
        <v>-66001.320000000007</v>
      </c>
      <c r="K402" s="3">
        <f t="shared" si="68"/>
        <v>-66001.320000000007</v>
      </c>
    </row>
    <row r="403" spans="1:11">
      <c r="A403" s="57">
        <v>2360005</v>
      </c>
      <c r="B403" s="1" t="s">
        <v>219</v>
      </c>
      <c r="C403" s="3">
        <v>70.87</v>
      </c>
      <c r="G403" s="3">
        <f t="shared" si="67"/>
        <v>-70.87</v>
      </c>
      <c r="K403" s="3">
        <f t="shared" si="68"/>
        <v>-70.87</v>
      </c>
    </row>
    <row r="404" spans="1:11">
      <c r="A404" s="57">
        <v>2360006</v>
      </c>
      <c r="B404" s="1" t="s">
        <v>220</v>
      </c>
      <c r="C404" s="3">
        <v>68.84</v>
      </c>
      <c r="G404" s="3">
        <f t="shared" si="67"/>
        <v>-68.84</v>
      </c>
      <c r="K404" s="3">
        <f t="shared" si="68"/>
        <v>-68.84</v>
      </c>
    </row>
    <row r="405" spans="1:11">
      <c r="A405" s="57">
        <v>236000718</v>
      </c>
      <c r="B405" s="1" t="s">
        <v>221</v>
      </c>
      <c r="C405" s="3">
        <v>0</v>
      </c>
      <c r="G405" s="3">
        <f t="shared" si="67"/>
        <v>0</v>
      </c>
      <c r="K405" s="3">
        <f t="shared" si="68"/>
        <v>0</v>
      </c>
    </row>
    <row r="406" spans="1:11">
      <c r="A406" s="57" t="s">
        <v>590</v>
      </c>
      <c r="B406" s="1" t="s">
        <v>221</v>
      </c>
      <c r="C406" s="3">
        <v>4.0000000000000001E-3</v>
      </c>
      <c r="G406" s="3">
        <f t="shared" si="67"/>
        <v>-4.0000000000000001E-3</v>
      </c>
      <c r="K406" s="3">
        <f t="shared" si="68"/>
        <v>-4.0000000000000001E-3</v>
      </c>
    </row>
    <row r="407" spans="1:11">
      <c r="A407" s="57" t="s">
        <v>591</v>
      </c>
      <c r="B407" s="1" t="s">
        <v>221</v>
      </c>
      <c r="C407" s="3">
        <v>0</v>
      </c>
      <c r="G407" s="3">
        <f t="shared" si="67"/>
        <v>0</v>
      </c>
      <c r="K407" s="3">
        <f t="shared" si="68"/>
        <v>0</v>
      </c>
    </row>
    <row r="408" spans="1:11">
      <c r="A408" s="57" t="s">
        <v>664</v>
      </c>
      <c r="B408" s="1" t="s">
        <v>221</v>
      </c>
      <c r="C408" s="3">
        <v>0</v>
      </c>
      <c r="G408" s="3">
        <f t="shared" si="67"/>
        <v>0</v>
      </c>
      <c r="K408" s="3">
        <f t="shared" si="68"/>
        <v>0</v>
      </c>
    </row>
    <row r="409" spans="1:11">
      <c r="A409" s="57" t="s">
        <v>665</v>
      </c>
      <c r="B409" s="1" t="s">
        <v>221</v>
      </c>
      <c r="C409" s="3">
        <v>150347.739</v>
      </c>
      <c r="G409" s="3">
        <f t="shared" si="67"/>
        <v>-150347.739</v>
      </c>
      <c r="K409" s="3">
        <f t="shared" si="68"/>
        <v>-150347.739</v>
      </c>
    </row>
    <row r="410" spans="1:11">
      <c r="A410" s="57" t="s">
        <v>592</v>
      </c>
      <c r="B410" s="1" t="s">
        <v>222</v>
      </c>
      <c r="C410" s="3">
        <v>0</v>
      </c>
      <c r="G410" s="3">
        <f t="shared" si="67"/>
        <v>0</v>
      </c>
      <c r="K410" s="3">
        <f t="shared" si="68"/>
        <v>0</v>
      </c>
    </row>
    <row r="411" spans="1:11">
      <c r="A411" s="57" t="s">
        <v>593</v>
      </c>
      <c r="B411" s="1" t="s">
        <v>222</v>
      </c>
      <c r="C411" s="3">
        <v>687409.85</v>
      </c>
      <c r="G411" s="3">
        <f t="shared" si="67"/>
        <v>-687409.85</v>
      </c>
      <c r="K411" s="3">
        <f t="shared" si="68"/>
        <v>-687409.85</v>
      </c>
    </row>
    <row r="412" spans="1:11">
      <c r="A412" s="57">
        <v>236000823</v>
      </c>
      <c r="B412" s="1" t="s">
        <v>222</v>
      </c>
      <c r="C412" s="3">
        <v>860628.55</v>
      </c>
      <c r="G412" s="3">
        <f t="shared" si="67"/>
        <v>-860628.55</v>
      </c>
      <c r="K412" s="3">
        <f t="shared" si="68"/>
        <v>-860628.55</v>
      </c>
    </row>
    <row r="413" spans="1:11">
      <c r="A413" s="57">
        <v>236000824</v>
      </c>
      <c r="B413" s="1" t="s">
        <v>222</v>
      </c>
      <c r="C413" s="3">
        <v>19604697</v>
      </c>
      <c r="G413" s="3">
        <f t="shared" si="67"/>
        <v>-19604697</v>
      </c>
      <c r="K413" s="3">
        <f t="shared" si="68"/>
        <v>-19604697</v>
      </c>
    </row>
    <row r="414" spans="1:11">
      <c r="A414" s="57" t="s">
        <v>504</v>
      </c>
      <c r="B414" s="1" t="s">
        <v>223</v>
      </c>
      <c r="C414" s="3">
        <v>-225823</v>
      </c>
      <c r="G414" s="3">
        <f t="shared" si="67"/>
        <v>225823</v>
      </c>
      <c r="K414" s="3">
        <f t="shared" si="68"/>
        <v>225823</v>
      </c>
    </row>
    <row r="415" spans="1:11">
      <c r="A415" s="57" t="s">
        <v>505</v>
      </c>
      <c r="B415" s="1" t="s">
        <v>223</v>
      </c>
      <c r="C415" s="3">
        <v>174650</v>
      </c>
      <c r="G415" s="3">
        <f t="shared" si="67"/>
        <v>-174650</v>
      </c>
      <c r="K415" s="3">
        <f t="shared" si="68"/>
        <v>-174650</v>
      </c>
    </row>
    <row r="416" spans="1:11">
      <c r="A416" s="57" t="s">
        <v>506</v>
      </c>
      <c r="B416" s="1" t="s">
        <v>223</v>
      </c>
      <c r="C416" s="3">
        <v>243115</v>
      </c>
      <c r="G416" s="3">
        <f t="shared" si="67"/>
        <v>-243115</v>
      </c>
      <c r="K416" s="3">
        <f t="shared" si="68"/>
        <v>-243115</v>
      </c>
    </row>
    <row r="417" spans="1:11">
      <c r="A417" s="57" t="s">
        <v>507</v>
      </c>
      <c r="B417" s="1" t="s">
        <v>223</v>
      </c>
      <c r="C417" s="3">
        <v>48643</v>
      </c>
      <c r="G417" s="3">
        <f t="shared" si="67"/>
        <v>-48643</v>
      </c>
      <c r="K417" s="3">
        <f t="shared" si="68"/>
        <v>-48643</v>
      </c>
    </row>
    <row r="418" spans="1:11">
      <c r="A418" s="57" t="s">
        <v>594</v>
      </c>
      <c r="B418" s="1" t="s">
        <v>224</v>
      </c>
      <c r="C418" s="3">
        <v>0</v>
      </c>
      <c r="G418" s="3">
        <f t="shared" si="67"/>
        <v>0</v>
      </c>
      <c r="K418" s="3">
        <f t="shared" si="68"/>
        <v>0</v>
      </c>
    </row>
    <row r="419" spans="1:11">
      <c r="A419" s="57" t="s">
        <v>666</v>
      </c>
      <c r="B419" s="1" t="s">
        <v>224</v>
      </c>
      <c r="C419" s="3">
        <v>0</v>
      </c>
      <c r="G419" s="3">
        <f t="shared" si="67"/>
        <v>0</v>
      </c>
      <c r="K419" s="3">
        <f t="shared" si="68"/>
        <v>0</v>
      </c>
    </row>
    <row r="420" spans="1:11">
      <c r="A420" s="57" t="s">
        <v>667</v>
      </c>
      <c r="B420" s="1" t="s">
        <v>224</v>
      </c>
      <c r="C420" s="3">
        <v>587156.43000000005</v>
      </c>
      <c r="G420" s="3">
        <f t="shared" si="67"/>
        <v>-587156.43000000005</v>
      </c>
      <c r="K420" s="3">
        <f t="shared" si="68"/>
        <v>-587156.43000000005</v>
      </c>
    </row>
    <row r="421" spans="1:11">
      <c r="A421" s="57" t="s">
        <v>668</v>
      </c>
      <c r="B421" s="1" t="s">
        <v>225</v>
      </c>
      <c r="C421" s="3">
        <v>-1541.04</v>
      </c>
      <c r="G421" s="3">
        <f t="shared" si="67"/>
        <v>1541.04</v>
      </c>
      <c r="K421" s="3">
        <f t="shared" si="68"/>
        <v>1541.04</v>
      </c>
    </row>
    <row r="422" spans="1:11">
      <c r="A422" s="57" t="s">
        <v>595</v>
      </c>
      <c r="B422" s="1" t="s">
        <v>225</v>
      </c>
      <c r="C422" s="3">
        <v>0</v>
      </c>
      <c r="G422" s="3">
        <f t="shared" si="67"/>
        <v>0</v>
      </c>
      <c r="K422" s="3">
        <f>G422-I422</f>
        <v>0</v>
      </c>
    </row>
    <row r="423" spans="1:11">
      <c r="A423" s="57" t="s">
        <v>669</v>
      </c>
      <c r="B423" s="1" t="s">
        <v>225</v>
      </c>
      <c r="C423" s="3">
        <v>0</v>
      </c>
      <c r="G423" s="3">
        <f t="shared" si="67"/>
        <v>0</v>
      </c>
      <c r="K423" s="3">
        <f>G423-I423</f>
        <v>0</v>
      </c>
    </row>
    <row r="424" spans="1:11">
      <c r="A424" s="57" t="s">
        <v>670</v>
      </c>
      <c r="B424" s="1" t="s">
        <v>225</v>
      </c>
      <c r="C424" s="3">
        <v>3082.08</v>
      </c>
      <c r="G424" s="3">
        <f t="shared" si="67"/>
        <v>-3082.08</v>
      </c>
      <c r="K424" s="3">
        <f>G424-I424</f>
        <v>-3082.08</v>
      </c>
    </row>
    <row r="425" spans="1:11">
      <c r="A425" s="57">
        <v>236001724</v>
      </c>
      <c r="B425" s="1" t="s">
        <v>226</v>
      </c>
      <c r="C425" s="3">
        <v>-45</v>
      </c>
      <c r="G425" s="3">
        <f t="shared" si="67"/>
        <v>45</v>
      </c>
      <c r="K425" s="3">
        <f t="shared" si="68"/>
        <v>45</v>
      </c>
    </row>
    <row r="426" spans="1:11">
      <c r="A426" s="57" t="s">
        <v>596</v>
      </c>
      <c r="B426" s="1" t="s">
        <v>508</v>
      </c>
      <c r="C426" s="3">
        <v>0</v>
      </c>
      <c r="G426" s="3">
        <f t="shared" si="67"/>
        <v>0</v>
      </c>
      <c r="K426" s="3">
        <f t="shared" si="68"/>
        <v>0</v>
      </c>
    </row>
    <row r="427" spans="1:11">
      <c r="A427" s="57" t="s">
        <v>597</v>
      </c>
      <c r="B427" s="1" t="s">
        <v>227</v>
      </c>
      <c r="C427" s="3">
        <v>0</v>
      </c>
      <c r="G427" s="3">
        <f t="shared" si="67"/>
        <v>0</v>
      </c>
      <c r="K427" s="3">
        <f t="shared" si="68"/>
        <v>0</v>
      </c>
    </row>
    <row r="428" spans="1:11">
      <c r="A428" s="57" t="s">
        <v>598</v>
      </c>
      <c r="B428" s="1" t="s">
        <v>227</v>
      </c>
      <c r="C428" s="3">
        <v>518832.49</v>
      </c>
      <c r="G428" s="3">
        <f t="shared" si="67"/>
        <v>-518832.49</v>
      </c>
      <c r="K428" s="3">
        <f t="shared" si="68"/>
        <v>-518832.49</v>
      </c>
    </row>
    <row r="429" spans="1:11">
      <c r="A429" s="57" t="s">
        <v>671</v>
      </c>
      <c r="B429" s="1" t="s">
        <v>227</v>
      </c>
      <c r="C429" s="3">
        <v>398970.7</v>
      </c>
      <c r="G429" s="3">
        <f t="shared" si="67"/>
        <v>-398970.7</v>
      </c>
      <c r="K429" s="3">
        <f t="shared" si="68"/>
        <v>-398970.7</v>
      </c>
    </row>
    <row r="430" spans="1:11">
      <c r="A430" s="57" t="s">
        <v>672</v>
      </c>
      <c r="B430" s="1" t="s">
        <v>227</v>
      </c>
      <c r="C430" s="3">
        <v>662300</v>
      </c>
      <c r="G430" s="3">
        <f t="shared" si="67"/>
        <v>-662300</v>
      </c>
      <c r="K430" s="3">
        <f t="shared" si="68"/>
        <v>-662300</v>
      </c>
    </row>
    <row r="431" spans="1:11">
      <c r="A431" s="57" t="s">
        <v>599</v>
      </c>
      <c r="B431" s="1" t="s">
        <v>228</v>
      </c>
      <c r="C431" s="3">
        <v>0</v>
      </c>
      <c r="G431" s="3">
        <f t="shared" si="67"/>
        <v>0</v>
      </c>
      <c r="K431" s="3">
        <f t="shared" si="68"/>
        <v>0</v>
      </c>
    </row>
    <row r="432" spans="1:11">
      <c r="A432" s="57" t="s">
        <v>673</v>
      </c>
      <c r="B432" s="1" t="s">
        <v>228</v>
      </c>
      <c r="C432" s="3">
        <v>0</v>
      </c>
      <c r="G432" s="3">
        <f t="shared" si="67"/>
        <v>0</v>
      </c>
      <c r="K432" s="3">
        <f t="shared" si="68"/>
        <v>0</v>
      </c>
    </row>
    <row r="433" spans="1:11">
      <c r="A433" s="57" t="s">
        <v>674</v>
      </c>
      <c r="B433" s="1" t="s">
        <v>228</v>
      </c>
      <c r="C433" s="3">
        <v>6250</v>
      </c>
      <c r="G433" s="3">
        <f t="shared" si="67"/>
        <v>-6250</v>
      </c>
      <c r="K433" s="3">
        <f t="shared" si="68"/>
        <v>-6250</v>
      </c>
    </row>
    <row r="434" spans="1:11">
      <c r="A434" s="57">
        <v>2360037</v>
      </c>
      <c r="B434" s="1" t="s">
        <v>229</v>
      </c>
      <c r="C434" s="3">
        <v>21341.83</v>
      </c>
      <c r="G434" s="3">
        <f t="shared" si="67"/>
        <v>-21341.83</v>
      </c>
      <c r="K434" s="3">
        <f t="shared" si="68"/>
        <v>-21341.83</v>
      </c>
    </row>
    <row r="435" spans="1:11">
      <c r="A435" s="57">
        <v>2360038</v>
      </c>
      <c r="B435" s="1" t="s">
        <v>405</v>
      </c>
      <c r="C435" s="3">
        <v>0</v>
      </c>
      <c r="G435" s="3">
        <f t="shared" si="67"/>
        <v>0</v>
      </c>
      <c r="K435" s="3">
        <f t="shared" si="68"/>
        <v>0</v>
      </c>
    </row>
    <row r="436" spans="1:11">
      <c r="A436" s="57">
        <v>2360502</v>
      </c>
      <c r="B436" s="1" t="s">
        <v>230</v>
      </c>
      <c r="C436" s="3">
        <v>0</v>
      </c>
      <c r="G436" s="3">
        <f t="shared" si="67"/>
        <v>0</v>
      </c>
      <c r="K436" s="3">
        <f t="shared" si="68"/>
        <v>0</v>
      </c>
    </row>
    <row r="437" spans="1:11">
      <c r="A437" s="57">
        <v>2360601</v>
      </c>
      <c r="B437" s="1" t="s">
        <v>231</v>
      </c>
      <c r="C437" s="3">
        <v>0</v>
      </c>
      <c r="G437" s="3">
        <f t="shared" si="67"/>
        <v>0</v>
      </c>
      <c r="K437" s="3">
        <f t="shared" si="68"/>
        <v>0</v>
      </c>
    </row>
    <row r="438" spans="1:11">
      <c r="A438" s="57">
        <v>2360602</v>
      </c>
      <c r="B438" s="1" t="s">
        <v>232</v>
      </c>
      <c r="C438" s="3">
        <v>0</v>
      </c>
      <c r="G438" s="3">
        <f t="shared" si="67"/>
        <v>0</v>
      </c>
      <c r="K438" s="3">
        <f t="shared" si="68"/>
        <v>0</v>
      </c>
    </row>
    <row r="439" spans="1:11">
      <c r="A439" s="57">
        <v>2360702</v>
      </c>
      <c r="B439" s="1" t="s">
        <v>233</v>
      </c>
      <c r="C439" s="3">
        <v>0</v>
      </c>
      <c r="G439" s="3">
        <f t="shared" si="67"/>
        <v>0</v>
      </c>
      <c r="K439" s="3">
        <f t="shared" si="68"/>
        <v>0</v>
      </c>
    </row>
    <row r="440" spans="1:11">
      <c r="A440" s="57">
        <v>2360801</v>
      </c>
      <c r="B440" s="1" t="s">
        <v>234</v>
      </c>
      <c r="C440" s="3">
        <v>0</v>
      </c>
      <c r="G440" s="3">
        <f t="shared" si="67"/>
        <v>0</v>
      </c>
      <c r="K440" s="3">
        <f t="shared" si="68"/>
        <v>0</v>
      </c>
    </row>
    <row r="441" spans="1:11">
      <c r="A441" s="57">
        <v>2360901</v>
      </c>
      <c r="B441" s="1" t="s">
        <v>235</v>
      </c>
      <c r="C441" s="4">
        <v>0</v>
      </c>
      <c r="G441" s="55">
        <f t="shared" si="67"/>
        <v>0</v>
      </c>
      <c r="I441" s="93"/>
      <c r="K441" s="4">
        <f t="shared" si="68"/>
        <v>0</v>
      </c>
    </row>
    <row r="442" spans="1:11">
      <c r="B442" s="1" t="s">
        <v>236</v>
      </c>
      <c r="C442" s="3">
        <f>SUM(C389:C441)</f>
        <v>24486480.424999993</v>
      </c>
      <c r="G442" s="3">
        <f>SUM(G389:G441)</f>
        <v>-24486480.424999993</v>
      </c>
      <c r="I442" s="3">
        <f>SUM(I389:I441)</f>
        <v>0</v>
      </c>
      <c r="K442" s="3">
        <f>SUM(K389:K441)</f>
        <v>-24486480.424999993</v>
      </c>
    </row>
    <row r="443" spans="1:11">
      <c r="G443" s="3"/>
      <c r="K443" s="3"/>
    </row>
    <row r="444" spans="1:11">
      <c r="A444" s="57">
        <v>2370002</v>
      </c>
      <c r="B444" s="1" t="s">
        <v>237</v>
      </c>
      <c r="C444" s="3">
        <v>1527500</v>
      </c>
      <c r="G444" s="3">
        <f t="shared" ref="G444:G451" si="69">(C444-E444)*-1</f>
        <v>-1527500</v>
      </c>
      <c r="K444" s="3">
        <f>G444-I444</f>
        <v>-1527500</v>
      </c>
    </row>
    <row r="445" spans="1:11">
      <c r="A445" s="57">
        <v>2370005</v>
      </c>
      <c r="B445" s="1" t="s">
        <v>238</v>
      </c>
      <c r="C445" s="3">
        <v>1680548</v>
      </c>
      <c r="G445" s="3">
        <f t="shared" si="69"/>
        <v>-1680548</v>
      </c>
      <c r="K445" s="3">
        <f t="shared" ref="K445:K508" si="70">G445-I445</f>
        <v>-1680548</v>
      </c>
    </row>
    <row r="446" spans="1:11">
      <c r="A446" s="57">
        <v>2370006</v>
      </c>
      <c r="B446" s="1" t="s">
        <v>239</v>
      </c>
      <c r="C446" s="3">
        <v>10904893.82</v>
      </c>
      <c r="G446" s="3">
        <f t="shared" si="69"/>
        <v>-10904893.82</v>
      </c>
      <c r="K446" s="3">
        <f t="shared" si="70"/>
        <v>-10904893.82</v>
      </c>
    </row>
    <row r="447" spans="1:11">
      <c r="A447" s="57">
        <v>2370007</v>
      </c>
      <c r="B447" s="1" t="s">
        <v>240</v>
      </c>
      <c r="C447" s="3">
        <v>618402.63</v>
      </c>
      <c r="G447" s="3">
        <f t="shared" si="69"/>
        <v>-618402.63</v>
      </c>
      <c r="K447" s="3">
        <f t="shared" si="70"/>
        <v>-618402.63</v>
      </c>
    </row>
    <row r="448" spans="1:11">
      <c r="A448" s="57">
        <v>2370018</v>
      </c>
      <c r="B448" s="1" t="s">
        <v>241</v>
      </c>
      <c r="C448" s="3">
        <v>4.0000000000000001E-3</v>
      </c>
      <c r="G448" s="3">
        <f t="shared" si="69"/>
        <v>-4.0000000000000001E-3</v>
      </c>
      <c r="K448" s="3">
        <f t="shared" si="70"/>
        <v>-4.0000000000000001E-3</v>
      </c>
    </row>
    <row r="449" spans="1:11">
      <c r="A449" s="57">
        <v>2370048</v>
      </c>
      <c r="B449" s="1" t="s">
        <v>242</v>
      </c>
      <c r="C449" s="3">
        <v>0</v>
      </c>
      <c r="G449" s="3">
        <f t="shared" si="69"/>
        <v>0</v>
      </c>
      <c r="K449" s="3">
        <f t="shared" si="70"/>
        <v>0</v>
      </c>
    </row>
    <row r="450" spans="1:11">
      <c r="A450" s="57">
        <v>2370348</v>
      </c>
      <c r="B450" s="1" t="s">
        <v>406</v>
      </c>
      <c r="C450" s="3">
        <v>0</v>
      </c>
      <c r="G450" s="3">
        <f t="shared" si="69"/>
        <v>0</v>
      </c>
      <c r="K450" s="3">
        <f t="shared" si="70"/>
        <v>0</v>
      </c>
    </row>
    <row r="451" spans="1:11">
      <c r="A451" s="57">
        <v>2370448</v>
      </c>
      <c r="B451" s="1" t="s">
        <v>243</v>
      </c>
      <c r="C451" s="4">
        <v>0</v>
      </c>
      <c r="G451" s="55">
        <f t="shared" si="69"/>
        <v>0</v>
      </c>
      <c r="I451" s="93"/>
      <c r="K451" s="4">
        <f t="shared" si="70"/>
        <v>0</v>
      </c>
    </row>
    <row r="452" spans="1:11">
      <c r="B452" s="1" t="s">
        <v>244</v>
      </c>
      <c r="C452" s="3">
        <f>SUM(C444:C451)</f>
        <v>14731344.454000002</v>
      </c>
      <c r="G452" s="3">
        <f>SUM(G444:G451)</f>
        <v>-14731344.454000002</v>
      </c>
      <c r="I452" s="3">
        <f>SUM(I444:I451)</f>
        <v>0</v>
      </c>
      <c r="K452" s="3">
        <f>SUM(K444:K451)</f>
        <v>-14731344.454000002</v>
      </c>
    </row>
    <row r="453" spans="1:11">
      <c r="G453" s="3"/>
      <c r="K453" s="3">
        <f t="shared" si="70"/>
        <v>0</v>
      </c>
    </row>
    <row r="454" spans="1:11">
      <c r="A454" s="57">
        <v>2430001</v>
      </c>
      <c r="B454" s="1" t="s">
        <v>245</v>
      </c>
      <c r="C454" s="3">
        <v>141759.47</v>
      </c>
      <c r="G454" s="3">
        <f t="shared" ref="G454:G457" si="71">(C454-E454)*-1</f>
        <v>-141759.47</v>
      </c>
      <c r="K454" s="3">
        <f t="shared" si="70"/>
        <v>-141759.47</v>
      </c>
    </row>
    <row r="455" spans="1:11">
      <c r="A455" s="57">
        <v>2430003</v>
      </c>
      <c r="B455" s="1" t="s">
        <v>246</v>
      </c>
      <c r="C455" s="3">
        <v>0</v>
      </c>
      <c r="G455" s="24">
        <f t="shared" si="71"/>
        <v>0</v>
      </c>
      <c r="K455" s="3">
        <f t="shared" si="70"/>
        <v>0</v>
      </c>
    </row>
    <row r="456" spans="1:11">
      <c r="A456" s="57" t="s">
        <v>509</v>
      </c>
      <c r="B456" s="1" t="s">
        <v>510</v>
      </c>
      <c r="C456" s="3">
        <v>390670.66000000003</v>
      </c>
      <c r="G456" s="24">
        <f t="shared" si="71"/>
        <v>-390670.66000000003</v>
      </c>
      <c r="K456" s="3">
        <f t="shared" si="70"/>
        <v>-390670.66000000003</v>
      </c>
    </row>
    <row r="457" spans="1:11">
      <c r="A457" s="57" t="s">
        <v>511</v>
      </c>
      <c r="B457" s="1" t="s">
        <v>512</v>
      </c>
      <c r="C457" s="55">
        <v>89216.35</v>
      </c>
      <c r="G457" s="55">
        <f t="shared" si="71"/>
        <v>-89216.35</v>
      </c>
      <c r="I457" s="93"/>
      <c r="K457" s="55">
        <f t="shared" si="70"/>
        <v>-89216.35</v>
      </c>
    </row>
    <row r="458" spans="1:11">
      <c r="B458" s="1" t="s">
        <v>247</v>
      </c>
      <c r="C458" s="3">
        <f>SUM(C454:C457)</f>
        <v>621646.48</v>
      </c>
      <c r="G458" s="3">
        <f>SUM(G454:G457)</f>
        <v>-621646.48</v>
      </c>
      <c r="I458" s="3">
        <f>SUM(I454:I455)</f>
        <v>0</v>
      </c>
      <c r="K458" s="3">
        <f>SUM(K454:K457)</f>
        <v>-621646.48</v>
      </c>
    </row>
    <row r="459" spans="1:11">
      <c r="G459" s="3"/>
      <c r="K459" s="3">
        <f t="shared" si="70"/>
        <v>0</v>
      </c>
    </row>
    <row r="460" spans="1:11">
      <c r="A460" s="57" t="s">
        <v>513</v>
      </c>
      <c r="B460" s="1" t="s">
        <v>248</v>
      </c>
      <c r="C460" s="3">
        <v>177718.47</v>
      </c>
      <c r="G460" s="3">
        <f t="shared" ref="G460:G463" si="72">(C460-E460)*-1</f>
        <v>-177718.47</v>
      </c>
      <c r="K460" s="3">
        <f t="shared" si="70"/>
        <v>-177718.47</v>
      </c>
    </row>
    <row r="461" spans="1:11">
      <c r="A461" s="57" t="s">
        <v>600</v>
      </c>
      <c r="B461" s="1" t="s">
        <v>312</v>
      </c>
      <c r="C461" s="3">
        <v>88003.8</v>
      </c>
      <c r="G461" s="3">
        <f t="shared" si="72"/>
        <v>-88003.8</v>
      </c>
      <c r="K461" s="3">
        <f>G461-I461</f>
        <v>-88003.8</v>
      </c>
    </row>
    <row r="462" spans="1:11">
      <c r="A462" s="57" t="s">
        <v>514</v>
      </c>
      <c r="B462" s="1" t="s">
        <v>249</v>
      </c>
      <c r="C462" s="3">
        <v>-134049</v>
      </c>
      <c r="D462" s="29"/>
      <c r="E462" s="9"/>
      <c r="F462" s="9"/>
      <c r="G462" s="3">
        <f t="shared" si="72"/>
        <v>134049</v>
      </c>
      <c r="H462" s="9"/>
      <c r="I462" s="9"/>
      <c r="J462" s="12"/>
      <c r="K462" s="3">
        <f t="shared" si="70"/>
        <v>134049</v>
      </c>
    </row>
    <row r="463" spans="1:11">
      <c r="A463" s="57" t="s">
        <v>601</v>
      </c>
      <c r="B463" s="1" t="s">
        <v>313</v>
      </c>
      <c r="C463" s="4">
        <v>-682</v>
      </c>
      <c r="D463" s="29"/>
      <c r="E463" s="9"/>
      <c r="F463" s="9"/>
      <c r="G463" s="4">
        <f t="shared" si="72"/>
        <v>682</v>
      </c>
      <c r="H463" s="9"/>
      <c r="I463" s="93"/>
      <c r="J463" s="12"/>
      <c r="K463" s="4">
        <f t="shared" si="70"/>
        <v>682</v>
      </c>
    </row>
    <row r="464" spans="1:11">
      <c r="B464" s="1" t="s">
        <v>250</v>
      </c>
      <c r="C464" s="3">
        <f>SUM(C460:C463)</f>
        <v>130991.27000000002</v>
      </c>
      <c r="G464" s="3">
        <f>SUM(G460:G463)</f>
        <v>-130991.27000000002</v>
      </c>
      <c r="I464" s="3">
        <f>SUM(I460:I463)</f>
        <v>0</v>
      </c>
      <c r="K464" s="3">
        <f>SUM(K460:K463)</f>
        <v>-130991.27000000002</v>
      </c>
    </row>
    <row r="465" spans="1:11">
      <c r="G465" s="3"/>
      <c r="K465" s="3">
        <f t="shared" si="70"/>
        <v>0</v>
      </c>
    </row>
    <row r="466" spans="1:11">
      <c r="A466" s="57">
        <v>2410001</v>
      </c>
      <c r="B466" s="1" t="s">
        <v>251</v>
      </c>
      <c r="C466" s="3">
        <v>0</v>
      </c>
      <c r="G466" s="3">
        <f t="shared" ref="G466:G483" si="73">(C466-E466)*-1</f>
        <v>0</v>
      </c>
      <c r="K466" s="3">
        <f t="shared" si="70"/>
        <v>0</v>
      </c>
    </row>
    <row r="467" spans="1:11">
      <c r="A467" s="57">
        <v>2410002</v>
      </c>
      <c r="B467" s="1" t="s">
        <v>252</v>
      </c>
      <c r="C467" s="3">
        <v>0</v>
      </c>
      <c r="G467" s="3">
        <f t="shared" si="73"/>
        <v>0</v>
      </c>
      <c r="K467" s="3">
        <f t="shared" si="70"/>
        <v>0</v>
      </c>
    </row>
    <row r="468" spans="1:11">
      <c r="A468" s="57">
        <v>2410003</v>
      </c>
      <c r="B468" s="1" t="s">
        <v>253</v>
      </c>
      <c r="C468" s="3">
        <v>0</v>
      </c>
      <c r="G468" s="3">
        <f t="shared" si="73"/>
        <v>0</v>
      </c>
      <c r="K468" s="3">
        <f t="shared" si="70"/>
        <v>0</v>
      </c>
    </row>
    <row r="469" spans="1:11">
      <c r="A469" s="57">
        <v>2410004</v>
      </c>
      <c r="B469" s="1" t="s">
        <v>254</v>
      </c>
      <c r="C469" s="3">
        <v>717261.93</v>
      </c>
      <c r="G469" s="3">
        <f t="shared" si="73"/>
        <v>-717261.93</v>
      </c>
      <c r="K469" s="3">
        <f t="shared" si="70"/>
        <v>-717261.93</v>
      </c>
    </row>
    <row r="470" spans="1:11">
      <c r="A470" s="57">
        <v>2410006</v>
      </c>
      <c r="B470" s="1" t="s">
        <v>255</v>
      </c>
      <c r="C470" s="3">
        <v>0</v>
      </c>
      <c r="G470" s="3">
        <f t="shared" si="73"/>
        <v>0</v>
      </c>
      <c r="K470" s="3">
        <f t="shared" si="70"/>
        <v>0</v>
      </c>
    </row>
    <row r="471" spans="1:11">
      <c r="A471" s="57">
        <v>2410008</v>
      </c>
      <c r="B471" s="1" t="s">
        <v>256</v>
      </c>
      <c r="C471" s="3">
        <v>361906.73</v>
      </c>
      <c r="G471" s="3">
        <f t="shared" si="73"/>
        <v>-361906.73</v>
      </c>
      <c r="K471" s="3">
        <f t="shared" si="70"/>
        <v>-361906.73</v>
      </c>
    </row>
    <row r="472" spans="1:11">
      <c r="A472" s="57">
        <v>2410009</v>
      </c>
      <c r="B472" s="1" t="s">
        <v>257</v>
      </c>
      <c r="C472" s="55">
        <v>943393.21</v>
      </c>
      <c r="G472" s="55">
        <f t="shared" si="73"/>
        <v>-943393.21</v>
      </c>
      <c r="I472" s="14"/>
      <c r="K472" s="55">
        <f t="shared" si="70"/>
        <v>-943393.21</v>
      </c>
    </row>
    <row r="473" spans="1:11">
      <c r="B473" s="1" t="s">
        <v>258</v>
      </c>
      <c r="C473" s="3">
        <f>SUM(C466:C472)</f>
        <v>2022561.87</v>
      </c>
      <c r="G473" s="3">
        <f>SUM(G466:G472)</f>
        <v>-2022561.87</v>
      </c>
      <c r="I473" s="3">
        <f>SUM(I466:I472)</f>
        <v>0</v>
      </c>
      <c r="K473" s="3">
        <f>SUM(K466:K472)</f>
        <v>-2022561.87</v>
      </c>
    </row>
    <row r="474" spans="1:11">
      <c r="A474" s="57">
        <v>2420514</v>
      </c>
      <c r="B474" s="1" t="s">
        <v>259</v>
      </c>
      <c r="C474" s="55">
        <v>145476.99600000001</v>
      </c>
      <c r="D474" s="30"/>
      <c r="E474" s="31"/>
      <c r="F474" s="31"/>
      <c r="G474" s="55">
        <f t="shared" si="73"/>
        <v>-145476.99600000001</v>
      </c>
      <c r="H474" s="31"/>
      <c r="I474" s="94"/>
      <c r="J474" s="76"/>
      <c r="K474" s="55">
        <f t="shared" si="70"/>
        <v>-145476.99600000001</v>
      </c>
    </row>
    <row r="475" spans="1:11">
      <c r="B475" s="1" t="s">
        <v>260</v>
      </c>
      <c r="C475" s="24">
        <f>SUM(C474)</f>
        <v>145476.99600000001</v>
      </c>
      <c r="D475" s="30"/>
      <c r="E475" s="31"/>
      <c r="F475" s="31"/>
      <c r="G475" s="24">
        <f>SUM(G474)</f>
        <v>-145476.99600000001</v>
      </c>
      <c r="H475" s="31"/>
      <c r="I475" s="24">
        <f>SUM(I474)</f>
        <v>0</v>
      </c>
      <c r="J475" s="76"/>
      <c r="K475" s="24">
        <f>SUM(K474)</f>
        <v>-145476.99600000001</v>
      </c>
    </row>
    <row r="476" spans="1:11">
      <c r="A476" s="57">
        <v>2420504</v>
      </c>
      <c r="B476" s="1" t="s">
        <v>261</v>
      </c>
      <c r="C476" s="55">
        <v>-3926.6800000000003</v>
      </c>
      <c r="D476" s="30"/>
      <c r="E476" s="31"/>
      <c r="F476" s="31"/>
      <c r="G476" s="55">
        <f t="shared" si="73"/>
        <v>3926.6800000000003</v>
      </c>
      <c r="H476" s="31"/>
      <c r="I476" s="94"/>
      <c r="J476" s="76"/>
      <c r="K476" s="55">
        <f t="shared" si="70"/>
        <v>3926.6800000000003</v>
      </c>
    </row>
    <row r="477" spans="1:11">
      <c r="B477" s="1" t="s">
        <v>262</v>
      </c>
      <c r="C477" s="24">
        <f>SUM(C476:C476)</f>
        <v>-3926.6800000000003</v>
      </c>
      <c r="D477" s="30"/>
      <c r="E477" s="31"/>
      <c r="F477" s="31"/>
      <c r="G477" s="24">
        <f>SUM(G476:G476)</f>
        <v>3926.6800000000003</v>
      </c>
      <c r="H477" s="31"/>
      <c r="I477" s="24">
        <f>SUM(I476:I476)</f>
        <v>0</v>
      </c>
      <c r="J477" s="76"/>
      <c r="K477" s="24">
        <f>SUM(K476:K476)</f>
        <v>3926.6800000000003</v>
      </c>
    </row>
    <row r="478" spans="1:11">
      <c r="B478" s="1" t="s">
        <v>263</v>
      </c>
      <c r="C478" s="24">
        <f>C477</f>
        <v>-3926.6800000000003</v>
      </c>
      <c r="D478" s="30"/>
      <c r="E478" s="31"/>
      <c r="F478" s="31"/>
      <c r="G478" s="24">
        <f>G477</f>
        <v>3926.6800000000003</v>
      </c>
      <c r="H478" s="31"/>
      <c r="I478" s="24">
        <f>I477</f>
        <v>0</v>
      </c>
      <c r="J478" s="76"/>
      <c r="K478" s="24">
        <f t="shared" si="70"/>
        <v>3926.6800000000003</v>
      </c>
    </row>
    <row r="479" spans="1:11">
      <c r="A479" s="57">
        <v>2420020</v>
      </c>
      <c r="B479" s="1" t="s">
        <v>264</v>
      </c>
      <c r="C479" s="24">
        <v>0</v>
      </c>
      <c r="D479" s="30"/>
      <c r="E479" s="31"/>
      <c r="F479" s="31"/>
      <c r="G479" s="24">
        <f t="shared" si="73"/>
        <v>0</v>
      </c>
      <c r="H479" s="31"/>
      <c r="I479" s="31"/>
      <c r="J479" s="76"/>
      <c r="K479" s="24">
        <f t="shared" si="70"/>
        <v>0</v>
      </c>
    </row>
    <row r="480" spans="1:11">
      <c r="A480" s="57">
        <v>2420021</v>
      </c>
      <c r="B480" s="1" t="s">
        <v>265</v>
      </c>
      <c r="C480" s="55">
        <v>2561786.7400000002</v>
      </c>
      <c r="D480" s="30"/>
      <c r="E480" s="31"/>
      <c r="F480" s="31"/>
      <c r="G480" s="55">
        <f t="shared" si="73"/>
        <v>-2561786.7400000002</v>
      </c>
      <c r="H480" s="31"/>
      <c r="I480" s="94"/>
      <c r="J480" s="76"/>
      <c r="K480" s="55">
        <f t="shared" si="70"/>
        <v>-2561786.7400000002</v>
      </c>
    </row>
    <row r="481" spans="1:11">
      <c r="B481" s="1" t="s">
        <v>266</v>
      </c>
      <c r="C481" s="24">
        <f>SUM(C479:C480)</f>
        <v>2561786.7400000002</v>
      </c>
      <c r="D481" s="30"/>
      <c r="E481" s="31"/>
      <c r="F481" s="31"/>
      <c r="G481" s="24">
        <f>SUM(G479:G480)</f>
        <v>-2561786.7400000002</v>
      </c>
      <c r="H481" s="31"/>
      <c r="I481" s="24">
        <f>SUM(I479:I480)</f>
        <v>0</v>
      </c>
      <c r="J481" s="76"/>
      <c r="K481" s="24">
        <f>SUM(K479:K480)</f>
        <v>-2561786.7400000002</v>
      </c>
    </row>
    <row r="482" spans="1:11">
      <c r="A482" s="57">
        <v>2420051</v>
      </c>
      <c r="B482" s="1" t="s">
        <v>267</v>
      </c>
      <c r="C482" s="24">
        <v>76523.5</v>
      </c>
      <c r="D482" s="30"/>
      <c r="E482" s="31"/>
      <c r="F482" s="31"/>
      <c r="G482" s="24">
        <f t="shared" si="73"/>
        <v>-76523.5</v>
      </c>
      <c r="H482" s="31"/>
      <c r="I482" s="31"/>
      <c r="J482" s="76"/>
      <c r="K482" s="24">
        <f t="shared" si="70"/>
        <v>-76523.5</v>
      </c>
    </row>
    <row r="483" spans="1:11">
      <c r="A483" s="57">
        <v>2420053</v>
      </c>
      <c r="B483" s="1" t="s">
        <v>180</v>
      </c>
      <c r="C483" s="55">
        <v>0</v>
      </c>
      <c r="D483" s="30"/>
      <c r="E483" s="31"/>
      <c r="F483" s="31"/>
      <c r="G483" s="55">
        <f t="shared" si="73"/>
        <v>0</v>
      </c>
      <c r="H483" s="31"/>
      <c r="I483" s="94"/>
      <c r="J483" s="76"/>
      <c r="K483" s="55">
        <f t="shared" si="70"/>
        <v>0</v>
      </c>
    </row>
    <row r="484" spans="1:11">
      <c r="B484" s="1" t="s">
        <v>268</v>
      </c>
      <c r="C484" s="24">
        <f>SUM(C482:C483)</f>
        <v>76523.5</v>
      </c>
      <c r="D484" s="30"/>
      <c r="E484" s="31"/>
      <c r="F484" s="31"/>
      <c r="G484" s="24">
        <f>SUM(G482:G483)</f>
        <v>-76523.5</v>
      </c>
      <c r="H484" s="31"/>
      <c r="I484" s="24">
        <f>SUM(I482:I483)</f>
        <v>0</v>
      </c>
      <c r="J484" s="76"/>
      <c r="K484" s="24">
        <f>SUM(K482:K483)</f>
        <v>-76523.5</v>
      </c>
    </row>
    <row r="485" spans="1:11">
      <c r="B485" s="1" t="s">
        <v>269</v>
      </c>
      <c r="C485" s="24">
        <f>C481+C484</f>
        <v>2638310.2400000002</v>
      </c>
      <c r="D485" s="30"/>
      <c r="E485" s="31"/>
      <c r="F485" s="31"/>
      <c r="G485" s="24">
        <f>G481+G484</f>
        <v>-2638310.2400000002</v>
      </c>
      <c r="H485" s="31"/>
      <c r="I485" s="24">
        <f>I481+I484</f>
        <v>0</v>
      </c>
      <c r="J485" s="76"/>
      <c r="K485" s="24">
        <f t="shared" si="70"/>
        <v>-2638310.2400000002</v>
      </c>
    </row>
    <row r="486" spans="1:11">
      <c r="A486" s="57" t="s">
        <v>533</v>
      </c>
      <c r="B486" s="1" t="s">
        <v>534</v>
      </c>
      <c r="C486" s="24">
        <v>0</v>
      </c>
      <c r="D486" s="30"/>
      <c r="E486" s="31"/>
      <c r="F486" s="31"/>
      <c r="G486" s="24">
        <f t="shared" ref="G486:G515" si="74">(C486-E486)*-1</f>
        <v>0</v>
      </c>
      <c r="H486" s="31"/>
      <c r="I486" s="24"/>
      <c r="J486" s="76"/>
      <c r="K486" s="24">
        <f t="shared" si="70"/>
        <v>0</v>
      </c>
    </row>
    <row r="487" spans="1:11">
      <c r="A487" s="57">
        <v>2420002</v>
      </c>
      <c r="B487" s="1" t="s">
        <v>270</v>
      </c>
      <c r="C487" s="24">
        <v>91850.790000000008</v>
      </c>
      <c r="D487" s="30"/>
      <c r="E487" s="31"/>
      <c r="F487" s="31"/>
      <c r="G487" s="24">
        <f t="shared" si="74"/>
        <v>-91850.790000000008</v>
      </c>
      <c r="H487" s="31"/>
      <c r="I487" s="31"/>
      <c r="J487" s="76"/>
      <c r="K487" s="24">
        <f t="shared" si="70"/>
        <v>-91850.790000000008</v>
      </c>
    </row>
    <row r="488" spans="1:11">
      <c r="A488" s="57">
        <v>2420003</v>
      </c>
      <c r="B488" s="1" t="s">
        <v>271</v>
      </c>
      <c r="C488" s="24">
        <v>9136.39</v>
      </c>
      <c r="D488" s="30"/>
      <c r="E488" s="31"/>
      <c r="F488" s="31"/>
      <c r="G488" s="24">
        <f t="shared" si="74"/>
        <v>-9136.39</v>
      </c>
      <c r="H488" s="31"/>
      <c r="I488" s="31"/>
      <c r="J488" s="76"/>
      <c r="K488" s="24">
        <f t="shared" si="70"/>
        <v>-9136.39</v>
      </c>
    </row>
    <row r="489" spans="1:11">
      <c r="A489" s="57">
        <v>2420013</v>
      </c>
      <c r="B489" s="1" t="s">
        <v>272</v>
      </c>
      <c r="C489" s="55">
        <v>1580.56</v>
      </c>
      <c r="D489" s="30"/>
      <c r="E489" s="31"/>
      <c r="F489" s="31"/>
      <c r="G489" s="55">
        <f t="shared" si="74"/>
        <v>-1580.56</v>
      </c>
      <c r="H489" s="31"/>
      <c r="I489" s="94"/>
      <c r="J489" s="76"/>
      <c r="K489" s="55">
        <f t="shared" si="70"/>
        <v>-1580.56</v>
      </c>
    </row>
    <row r="490" spans="1:11">
      <c r="B490" s="1" t="s">
        <v>273</v>
      </c>
      <c r="C490" s="24">
        <f>SUM(C486:C489)</f>
        <v>102567.74</v>
      </c>
      <c r="D490" s="30"/>
      <c r="E490" s="31"/>
      <c r="F490" s="31"/>
      <c r="G490" s="24">
        <f>SUM(G486:G489)</f>
        <v>-102567.74</v>
      </c>
      <c r="H490" s="31"/>
      <c r="I490" s="24">
        <f>SUM(I487:I489)</f>
        <v>0</v>
      </c>
      <c r="J490" s="76"/>
      <c r="K490" s="24">
        <f t="shared" si="70"/>
        <v>-102567.74</v>
      </c>
    </row>
    <row r="491" spans="1:11">
      <c r="A491" s="57">
        <v>2420532</v>
      </c>
      <c r="B491" s="1" t="s">
        <v>274</v>
      </c>
      <c r="C491" s="55">
        <v>195428</v>
      </c>
      <c r="D491" s="30"/>
      <c r="E491" s="31"/>
      <c r="F491" s="31"/>
      <c r="G491" s="55">
        <f t="shared" si="74"/>
        <v>-195428</v>
      </c>
      <c r="H491" s="31"/>
      <c r="I491" s="94"/>
      <c r="J491" s="76"/>
      <c r="K491" s="55">
        <f t="shared" si="70"/>
        <v>-195428</v>
      </c>
    </row>
    <row r="492" spans="1:11">
      <c r="B492" s="1" t="s">
        <v>275</v>
      </c>
      <c r="C492" s="24">
        <f>SUM(C491:C491)</f>
        <v>195428</v>
      </c>
      <c r="D492" s="30"/>
      <c r="E492" s="31"/>
      <c r="F492" s="31"/>
      <c r="G492" s="24">
        <f>SUM(G491:G491)</f>
        <v>-195428</v>
      </c>
      <c r="H492" s="31"/>
      <c r="I492" s="24">
        <f>SUM(I491:I491)</f>
        <v>0</v>
      </c>
      <c r="J492" s="76"/>
      <c r="K492" s="24">
        <f t="shared" si="70"/>
        <v>-195428</v>
      </c>
    </row>
    <row r="493" spans="1:11">
      <c r="A493" s="57">
        <v>2420027</v>
      </c>
      <c r="B493" s="1" t="s">
        <v>276</v>
      </c>
      <c r="C493" s="24">
        <v>1322527.53</v>
      </c>
      <c r="D493" s="30"/>
      <c r="E493" s="31"/>
      <c r="F493" s="31"/>
      <c r="G493" s="24">
        <f t="shared" si="74"/>
        <v>-1322527.53</v>
      </c>
      <c r="H493" s="31"/>
      <c r="I493" s="31"/>
      <c r="J493" s="76"/>
      <c r="K493" s="24">
        <f t="shared" si="70"/>
        <v>-1322527.53</v>
      </c>
    </row>
    <row r="494" spans="1:11">
      <c r="A494" s="57">
        <v>2420046</v>
      </c>
      <c r="B494" s="1" t="s">
        <v>277</v>
      </c>
      <c r="C494" s="24">
        <v>696</v>
      </c>
      <c r="D494" s="30"/>
      <c r="E494" s="31"/>
      <c r="F494" s="31"/>
      <c r="G494" s="24">
        <f t="shared" si="74"/>
        <v>-696</v>
      </c>
      <c r="H494" s="31"/>
      <c r="I494" s="31"/>
      <c r="J494" s="76"/>
      <c r="K494" s="24">
        <f t="shared" si="70"/>
        <v>-696</v>
      </c>
    </row>
    <row r="495" spans="1:11">
      <c r="A495" s="57">
        <v>2420071</v>
      </c>
      <c r="B495" s="1" t="s">
        <v>278</v>
      </c>
      <c r="C495" s="24">
        <v>3394.59</v>
      </c>
      <c r="D495" s="30"/>
      <c r="E495" s="31"/>
      <c r="F495" s="31"/>
      <c r="G495" s="24">
        <f t="shared" si="74"/>
        <v>-3394.59</v>
      </c>
      <c r="H495" s="31"/>
      <c r="I495" s="31"/>
      <c r="J495" s="76"/>
      <c r="K495" s="24">
        <f t="shared" si="70"/>
        <v>-3394.59</v>
      </c>
    </row>
    <row r="496" spans="1:11">
      <c r="A496" s="57">
        <v>2420072</v>
      </c>
      <c r="B496" s="1" t="s">
        <v>279</v>
      </c>
      <c r="C496" s="24">
        <v>0</v>
      </c>
      <c r="D496" s="30"/>
      <c r="E496" s="31"/>
      <c r="F496" s="31"/>
      <c r="G496" s="24">
        <f t="shared" si="74"/>
        <v>0</v>
      </c>
      <c r="H496" s="31"/>
      <c r="I496" s="31"/>
      <c r="J496" s="76"/>
      <c r="K496" s="24">
        <f t="shared" si="70"/>
        <v>0</v>
      </c>
    </row>
    <row r="497" spans="1:11">
      <c r="A497" s="57">
        <v>2420076</v>
      </c>
      <c r="B497" s="1" t="s">
        <v>280</v>
      </c>
      <c r="C497" s="24">
        <v>9789.380000000001</v>
      </c>
      <c r="D497" s="30"/>
      <c r="E497" s="31"/>
      <c r="F497" s="31"/>
      <c r="G497" s="24">
        <f t="shared" si="74"/>
        <v>-9789.380000000001</v>
      </c>
      <c r="H497" s="31"/>
      <c r="I497" s="31"/>
      <c r="J497" s="76"/>
      <c r="K497" s="24">
        <f t="shared" si="70"/>
        <v>-9789.380000000001</v>
      </c>
    </row>
    <row r="498" spans="1:11">
      <c r="A498" s="57" t="s">
        <v>515</v>
      </c>
      <c r="B498" s="1" t="s">
        <v>516</v>
      </c>
      <c r="C498" s="24">
        <v>0</v>
      </c>
      <c r="D498" s="30"/>
      <c r="E498" s="31"/>
      <c r="F498" s="31"/>
      <c r="G498" s="24">
        <f t="shared" si="74"/>
        <v>0</v>
      </c>
      <c r="H498" s="31"/>
      <c r="I498" s="31"/>
      <c r="J498" s="76"/>
      <c r="K498" s="24">
        <f t="shared" si="70"/>
        <v>0</v>
      </c>
    </row>
    <row r="499" spans="1:11">
      <c r="A499" s="57">
        <v>2420088</v>
      </c>
      <c r="B499" s="1" t="s">
        <v>281</v>
      </c>
      <c r="C499" s="24">
        <v>768020.47</v>
      </c>
      <c r="D499" s="30"/>
      <c r="E499" s="31"/>
      <c r="F499" s="31"/>
      <c r="G499" s="24">
        <f t="shared" si="74"/>
        <v>-768020.47</v>
      </c>
      <c r="H499" s="31"/>
      <c r="I499" s="31"/>
      <c r="J499" s="76"/>
      <c r="K499" s="24">
        <f t="shared" si="70"/>
        <v>-768020.47</v>
      </c>
    </row>
    <row r="500" spans="1:11">
      <c r="A500" s="57">
        <v>2420511</v>
      </c>
      <c r="B500" s="1" t="s">
        <v>282</v>
      </c>
      <c r="C500" s="24">
        <v>927151.18200000003</v>
      </c>
      <c r="D500" s="30"/>
      <c r="E500" s="31"/>
      <c r="F500" s="31"/>
      <c r="G500" s="24">
        <f t="shared" si="74"/>
        <v>-927151.18200000003</v>
      </c>
      <c r="H500" s="31"/>
      <c r="I500" s="31"/>
      <c r="J500" s="76"/>
      <c r="K500" s="24">
        <f t="shared" si="70"/>
        <v>-927151.18200000003</v>
      </c>
    </row>
    <row r="501" spans="1:11">
      <c r="A501" s="57">
        <v>2420515</v>
      </c>
      <c r="B501" s="1" t="s">
        <v>407</v>
      </c>
      <c r="C501" s="24">
        <v>0</v>
      </c>
      <c r="D501" s="30"/>
      <c r="E501" s="31"/>
      <c r="F501" s="31"/>
      <c r="G501" s="24">
        <f t="shared" si="74"/>
        <v>0</v>
      </c>
      <c r="H501" s="31"/>
      <c r="I501" s="31"/>
      <c r="J501" s="76"/>
      <c r="K501" s="24">
        <f t="shared" si="70"/>
        <v>0</v>
      </c>
    </row>
    <row r="502" spans="1:11">
      <c r="A502" s="57">
        <v>2420512</v>
      </c>
      <c r="B502" s="1" t="s">
        <v>283</v>
      </c>
      <c r="C502" s="24">
        <v>16001.140000000001</v>
      </c>
      <c r="D502" s="30"/>
      <c r="E502" s="31"/>
      <c r="F502" s="31"/>
      <c r="G502" s="24">
        <f t="shared" si="74"/>
        <v>-16001.140000000001</v>
      </c>
      <c r="H502" s="31"/>
      <c r="I502" s="31"/>
      <c r="J502" s="76"/>
      <c r="K502" s="24">
        <f t="shared" si="70"/>
        <v>-16001.140000000001</v>
      </c>
    </row>
    <row r="503" spans="1:11">
      <c r="A503" s="57">
        <v>2420542</v>
      </c>
      <c r="B503" s="1" t="s">
        <v>284</v>
      </c>
      <c r="C503" s="24">
        <v>111356.27</v>
      </c>
      <c r="D503" s="30"/>
      <c r="E503" s="31"/>
      <c r="F503" s="31"/>
      <c r="G503" s="24">
        <f t="shared" si="74"/>
        <v>-111356.27</v>
      </c>
      <c r="H503" s="31"/>
      <c r="I503" s="31"/>
      <c r="J503" s="76"/>
      <c r="K503" s="24">
        <f t="shared" si="70"/>
        <v>-111356.27</v>
      </c>
    </row>
    <row r="504" spans="1:11">
      <c r="A504" s="57">
        <v>2420558</v>
      </c>
      <c r="B504" s="1" t="s">
        <v>285</v>
      </c>
      <c r="C504" s="24">
        <v>1092738.04</v>
      </c>
      <c r="D504" s="30"/>
      <c r="E504" s="31"/>
      <c r="F504" s="31"/>
      <c r="G504" s="24">
        <f t="shared" si="74"/>
        <v>-1092738.04</v>
      </c>
      <c r="H504" s="31"/>
      <c r="I504" s="31"/>
      <c r="J504" s="76"/>
      <c r="K504" s="24">
        <f t="shared" si="70"/>
        <v>-1092738.04</v>
      </c>
    </row>
    <row r="505" spans="1:11">
      <c r="A505" s="57" t="s">
        <v>675</v>
      </c>
      <c r="B505" s="1" t="s">
        <v>676</v>
      </c>
      <c r="C505" s="24">
        <v>0</v>
      </c>
      <c r="D505" s="30"/>
      <c r="E505" s="31"/>
      <c r="F505" s="31"/>
      <c r="G505" s="24">
        <f t="shared" si="74"/>
        <v>0</v>
      </c>
      <c r="H505" s="31"/>
      <c r="I505" s="31"/>
      <c r="J505" s="76"/>
      <c r="K505" s="24">
        <f t="shared" si="70"/>
        <v>0</v>
      </c>
    </row>
    <row r="506" spans="1:11">
      <c r="A506" s="57" t="s">
        <v>677</v>
      </c>
      <c r="B506" s="1" t="s">
        <v>676</v>
      </c>
      <c r="C506" s="24">
        <v>9541.65</v>
      </c>
      <c r="D506" s="30"/>
      <c r="E506" s="31"/>
      <c r="F506" s="31"/>
      <c r="G506" s="24">
        <f t="shared" si="74"/>
        <v>-9541.65</v>
      </c>
      <c r="H506" s="31"/>
      <c r="I506" s="31"/>
      <c r="J506" s="76"/>
      <c r="K506" s="24">
        <f t="shared" si="70"/>
        <v>-9541.65</v>
      </c>
    </row>
    <row r="507" spans="1:11">
      <c r="A507" s="57">
        <v>2420618</v>
      </c>
      <c r="B507" s="1" t="s">
        <v>286</v>
      </c>
      <c r="C507" s="24">
        <v>559532.51</v>
      </c>
      <c r="D507" s="30"/>
      <c r="E507" s="31"/>
      <c r="F507" s="31"/>
      <c r="G507" s="24">
        <f t="shared" si="74"/>
        <v>-559532.51</v>
      </c>
      <c r="H507" s="31"/>
      <c r="I507" s="31"/>
      <c r="J507" s="76"/>
      <c r="K507" s="24">
        <f t="shared" si="70"/>
        <v>-559532.51</v>
      </c>
    </row>
    <row r="508" spans="1:11">
      <c r="A508" s="57">
        <v>2420623</v>
      </c>
      <c r="B508" s="1" t="s">
        <v>287</v>
      </c>
      <c r="C508" s="24">
        <v>514017.9</v>
      </c>
      <c r="D508" s="30"/>
      <c r="E508" s="31"/>
      <c r="F508" s="31"/>
      <c r="G508" s="24">
        <f t="shared" si="74"/>
        <v>-514017.9</v>
      </c>
      <c r="H508" s="31"/>
      <c r="I508" s="31"/>
      <c r="J508" s="76"/>
      <c r="K508" s="24">
        <f t="shared" si="70"/>
        <v>-514017.9</v>
      </c>
    </row>
    <row r="509" spans="1:11">
      <c r="A509" s="57">
        <v>2420624</v>
      </c>
      <c r="B509" s="1" t="s">
        <v>288</v>
      </c>
      <c r="C509" s="24">
        <v>28886.962</v>
      </c>
      <c r="D509" s="30"/>
      <c r="E509" s="31"/>
      <c r="F509" s="31"/>
      <c r="G509" s="24">
        <f t="shared" si="74"/>
        <v>-28886.962</v>
      </c>
      <c r="H509" s="31"/>
      <c r="I509" s="31"/>
      <c r="J509" s="76"/>
      <c r="K509" s="24">
        <f t="shared" ref="K509:K517" si="75">G509-I509</f>
        <v>-28886.962</v>
      </c>
    </row>
    <row r="510" spans="1:11">
      <c r="A510" s="57">
        <v>2420635</v>
      </c>
      <c r="B510" s="1" t="s">
        <v>289</v>
      </c>
      <c r="C510" s="24">
        <v>1.123</v>
      </c>
      <c r="D510" s="30"/>
      <c r="E510" s="31"/>
      <c r="F510" s="31"/>
      <c r="G510" s="24">
        <f t="shared" si="74"/>
        <v>-1.123</v>
      </c>
      <c r="H510" s="31"/>
      <c r="I510" s="31"/>
      <c r="J510" s="76"/>
      <c r="K510" s="24">
        <f t="shared" si="75"/>
        <v>-1.123</v>
      </c>
    </row>
    <row r="511" spans="1:11">
      <c r="A511" s="57">
        <v>2420643</v>
      </c>
      <c r="B511" s="1" t="s">
        <v>290</v>
      </c>
      <c r="C511" s="24">
        <v>76160.245999999999</v>
      </c>
      <c r="D511" s="30"/>
      <c r="E511" s="31"/>
      <c r="F511" s="31"/>
      <c r="G511" s="24">
        <f t="shared" si="74"/>
        <v>-76160.245999999999</v>
      </c>
      <c r="H511" s="31"/>
      <c r="I511" s="31"/>
      <c r="J511" s="76"/>
      <c r="K511" s="24">
        <f t="shared" si="75"/>
        <v>-76160.245999999999</v>
      </c>
    </row>
    <row r="512" spans="1:11">
      <c r="A512" s="57" t="s">
        <v>678</v>
      </c>
      <c r="B512" s="1" t="s">
        <v>679</v>
      </c>
      <c r="C512" s="24">
        <v>0</v>
      </c>
      <c r="D512" s="30"/>
      <c r="E512" s="31"/>
      <c r="F512" s="31"/>
      <c r="G512" s="24">
        <f t="shared" si="74"/>
        <v>0</v>
      </c>
      <c r="H512" s="31"/>
      <c r="I512" s="31"/>
      <c r="J512" s="76"/>
      <c r="K512" s="24">
        <f t="shared" si="75"/>
        <v>0</v>
      </c>
    </row>
    <row r="513" spans="1:11">
      <c r="A513" s="57" t="s">
        <v>602</v>
      </c>
      <c r="B513" s="1" t="s">
        <v>603</v>
      </c>
      <c r="C513" s="24">
        <v>12704.645</v>
      </c>
      <c r="D513" s="30"/>
      <c r="E513" s="31"/>
      <c r="F513" s="31"/>
      <c r="G513" s="24">
        <f t="shared" si="74"/>
        <v>-12704.645</v>
      </c>
      <c r="H513" s="31"/>
      <c r="I513" s="31"/>
      <c r="J513" s="76"/>
      <c r="K513" s="24">
        <f t="shared" si="75"/>
        <v>-12704.645</v>
      </c>
    </row>
    <row r="514" spans="1:11">
      <c r="A514" s="57" t="s">
        <v>604</v>
      </c>
      <c r="B514" s="1" t="s">
        <v>605</v>
      </c>
      <c r="C514" s="24">
        <v>-4.0000000000000001E-3</v>
      </c>
      <c r="D514" s="30"/>
      <c r="E514" s="31"/>
      <c r="F514" s="31"/>
      <c r="G514" s="24">
        <f t="shared" si="74"/>
        <v>4.0000000000000001E-3</v>
      </c>
      <c r="H514" s="31"/>
      <c r="I514" s="31"/>
      <c r="J514" s="76"/>
      <c r="K514" s="24">
        <f t="shared" si="75"/>
        <v>4.0000000000000001E-3</v>
      </c>
    </row>
    <row r="515" spans="1:11">
      <c r="A515" s="57" t="s">
        <v>517</v>
      </c>
      <c r="B515" s="1" t="s">
        <v>518</v>
      </c>
      <c r="C515" s="55">
        <v>684.2</v>
      </c>
      <c r="D515" s="30"/>
      <c r="E515" s="31"/>
      <c r="F515" s="31"/>
      <c r="G515" s="55">
        <f t="shared" si="74"/>
        <v>-684.2</v>
      </c>
      <c r="H515" s="31"/>
      <c r="I515" s="94"/>
      <c r="J515" s="76"/>
      <c r="K515" s="55">
        <f t="shared" si="75"/>
        <v>-684.2</v>
      </c>
    </row>
    <row r="516" spans="1:11">
      <c r="B516" s="1" t="s">
        <v>291</v>
      </c>
      <c r="C516" s="24">
        <f>SUM(C493:C515)</f>
        <v>5453203.8340000007</v>
      </c>
      <c r="D516" s="30"/>
      <c r="E516" s="31"/>
      <c r="F516" s="31"/>
      <c r="G516" s="24">
        <f>SUM(G493:G515)</f>
        <v>-5453203.8340000007</v>
      </c>
      <c r="H516" s="31"/>
      <c r="I516" s="24">
        <f>SUM(I493:I515)</f>
        <v>0</v>
      </c>
      <c r="J516" s="76"/>
      <c r="K516" s="24">
        <f>SUM(K493:K515)</f>
        <v>-5453203.8340000007</v>
      </c>
    </row>
    <row r="517" spans="1:11">
      <c r="B517" s="1" t="s">
        <v>292</v>
      </c>
      <c r="C517" s="55">
        <f>C473+C475+C478+C485+C490+C492+C516</f>
        <v>10553622</v>
      </c>
      <c r="D517" s="30"/>
      <c r="E517" s="94"/>
      <c r="F517" s="31"/>
      <c r="G517" s="55">
        <f>G473+G475+G478+G485+G490+G492+G516</f>
        <v>-10553622</v>
      </c>
      <c r="H517" s="31"/>
      <c r="I517" s="55">
        <f>I473+I475+I478+I485+I490+I492+I516</f>
        <v>0</v>
      </c>
      <c r="J517" s="76"/>
      <c r="K517" s="55">
        <f t="shared" si="75"/>
        <v>-10553622</v>
      </c>
    </row>
    <row r="518" spans="1:11">
      <c r="B518" s="1" t="s">
        <v>293</v>
      </c>
      <c r="C518" s="24">
        <f>C372+C383+C387+C442+C452+C458+C464+C517+C351-C461-C463</f>
        <v>286609049.24899995</v>
      </c>
      <c r="D518" s="30"/>
      <c r="E518" s="24">
        <f>E372+E383+E387+E442+E452+E458+E464+E517+E351-E461-E463</f>
        <v>85199813.670000002</v>
      </c>
      <c r="F518" s="24"/>
      <c r="G518" s="24">
        <f>G372+G383+G387+G442+G452+G458+G464+G517+G351-G461-G463</f>
        <v>-201409235.57899997</v>
      </c>
      <c r="H518" s="31"/>
      <c r="I518" s="24">
        <f>I372+I383+I387+I442+I452+I458+I464+I517+I351-I461-I463</f>
        <v>-38458193.330000006</v>
      </c>
      <c r="J518" s="97"/>
      <c r="K518" s="24">
        <f>K372+K383+K387+K442+K452+K458+K464+K517+K351-K461-K463</f>
        <v>-162951042.24899995</v>
      </c>
    </row>
    <row r="519" spans="1:11">
      <c r="C519" s="24" t="s">
        <v>155</v>
      </c>
      <c r="D519" s="30"/>
      <c r="E519" s="31"/>
      <c r="F519" s="31"/>
      <c r="G519" s="24" t="s">
        <v>155</v>
      </c>
      <c r="H519" s="31"/>
      <c r="I519" s="31"/>
      <c r="J519" s="76"/>
      <c r="K519" s="24" t="s">
        <v>155</v>
      </c>
    </row>
    <row r="520" spans="1:11">
      <c r="A520" s="57">
        <v>2811001</v>
      </c>
      <c r="B520" s="1" t="s">
        <v>539</v>
      </c>
      <c r="C520" s="24">
        <v>38204479.299999997</v>
      </c>
      <c r="D520" s="30"/>
      <c r="E520" s="31"/>
      <c r="F520" s="31"/>
      <c r="G520" s="24">
        <f t="shared" ref="G520:G530" si="76">(C520-E520)*-1</f>
        <v>-38204479.299999997</v>
      </c>
      <c r="H520" s="31"/>
      <c r="I520" s="31">
        <f>G520</f>
        <v>-38204479.299999997</v>
      </c>
      <c r="J520" s="76" t="s">
        <v>537</v>
      </c>
      <c r="K520" s="24">
        <f>G520-I520</f>
        <v>0</v>
      </c>
    </row>
    <row r="521" spans="1:11">
      <c r="A521" s="57" t="s">
        <v>521</v>
      </c>
      <c r="B521" s="1" t="s">
        <v>522</v>
      </c>
      <c r="C521" s="24">
        <v>-15241313.27</v>
      </c>
      <c r="D521" s="30"/>
      <c r="E521" s="31"/>
      <c r="F521" s="31"/>
      <c r="G521" s="24">
        <f t="shared" si="76"/>
        <v>15241313.27</v>
      </c>
      <c r="H521" s="31"/>
      <c r="I521" s="31"/>
      <c r="J521" s="76"/>
      <c r="K521" s="24">
        <f t="shared" ref="K521:K530" si="77">G521-I521</f>
        <v>15241313.27</v>
      </c>
    </row>
    <row r="522" spans="1:11">
      <c r="A522" s="57">
        <v>2821001</v>
      </c>
      <c r="B522" s="1" t="s">
        <v>540</v>
      </c>
      <c r="C522" s="24">
        <v>323519396.17000002</v>
      </c>
      <c r="D522" s="30"/>
      <c r="E522" s="31"/>
      <c r="F522" s="31"/>
      <c r="G522" s="24">
        <f t="shared" si="76"/>
        <v>-323519396.17000002</v>
      </c>
      <c r="H522" s="31"/>
      <c r="I522" s="31">
        <f>+G522</f>
        <v>-323519396.17000002</v>
      </c>
      <c r="J522" s="76"/>
      <c r="K522" s="24">
        <f t="shared" si="77"/>
        <v>0</v>
      </c>
    </row>
    <row r="523" spans="1:11">
      <c r="A523" s="57">
        <v>2823001</v>
      </c>
      <c r="B523" s="1" t="s">
        <v>294</v>
      </c>
      <c r="C523" s="24">
        <v>34657873.060000002</v>
      </c>
      <c r="D523" s="30"/>
      <c r="E523" s="31"/>
      <c r="F523" s="31"/>
      <c r="G523" s="24">
        <f t="shared" si="76"/>
        <v>-34657873.060000002</v>
      </c>
      <c r="H523" s="31"/>
      <c r="I523" s="31"/>
      <c r="J523" s="76"/>
      <c r="K523" s="24">
        <f t="shared" si="77"/>
        <v>-34657873.060000002</v>
      </c>
    </row>
    <row r="524" spans="1:11">
      <c r="A524" s="57">
        <v>2824001</v>
      </c>
      <c r="B524" s="1" t="s">
        <v>295</v>
      </c>
      <c r="C524" s="24">
        <v>-70375240.010000005</v>
      </c>
      <c r="D524" s="30"/>
      <c r="E524" s="31"/>
      <c r="F524" s="31"/>
      <c r="G524" s="24">
        <f t="shared" si="76"/>
        <v>70375240.010000005</v>
      </c>
      <c r="H524" s="31"/>
      <c r="I524" s="31"/>
      <c r="J524" s="76"/>
      <c r="K524" s="24">
        <f t="shared" si="77"/>
        <v>70375240.010000005</v>
      </c>
    </row>
    <row r="525" spans="1:11">
      <c r="A525" s="57">
        <v>2831001</v>
      </c>
      <c r="B525" s="1" t="s">
        <v>538</v>
      </c>
      <c r="C525" s="24">
        <v>123162734.77</v>
      </c>
      <c r="D525" s="30"/>
      <c r="E525" s="31"/>
      <c r="F525" s="31"/>
      <c r="G525" s="24">
        <f t="shared" si="76"/>
        <v>-123162734.77</v>
      </c>
      <c r="H525" s="31"/>
      <c r="I525" s="31">
        <f>G525</f>
        <v>-123162734.77</v>
      </c>
      <c r="J525" s="76" t="s">
        <v>537</v>
      </c>
      <c r="K525" s="24">
        <f t="shared" si="77"/>
        <v>0</v>
      </c>
    </row>
    <row r="526" spans="1:11">
      <c r="A526" s="57">
        <v>2831102</v>
      </c>
      <c r="B526" s="1" t="s">
        <v>541</v>
      </c>
      <c r="C526" s="24">
        <v>1243953.17</v>
      </c>
      <c r="D526" s="30"/>
      <c r="E526" s="31"/>
      <c r="F526" s="31"/>
      <c r="G526" s="24">
        <f t="shared" si="76"/>
        <v>-1243953.17</v>
      </c>
      <c r="H526" s="31"/>
      <c r="I526" s="31">
        <f>G526</f>
        <v>-1243953.17</v>
      </c>
      <c r="J526" s="76" t="s">
        <v>537</v>
      </c>
      <c r="K526" s="24">
        <f t="shared" si="77"/>
        <v>0</v>
      </c>
    </row>
    <row r="527" spans="1:11">
      <c r="A527" s="57">
        <v>2832001</v>
      </c>
      <c r="B527" s="1" t="s">
        <v>297</v>
      </c>
      <c r="C527" s="24">
        <v>0.09</v>
      </c>
      <c r="D527" s="30"/>
      <c r="E527" s="31"/>
      <c r="F527" s="31"/>
      <c r="G527" s="24">
        <f t="shared" si="76"/>
        <v>-0.09</v>
      </c>
      <c r="H527" s="31"/>
      <c r="I527" s="31"/>
      <c r="J527" s="76"/>
      <c r="K527" s="24">
        <f t="shared" si="77"/>
        <v>-0.09</v>
      </c>
    </row>
    <row r="528" spans="1:11">
      <c r="A528" s="57">
        <v>2833001</v>
      </c>
      <c r="B528" s="1" t="s">
        <v>298</v>
      </c>
      <c r="C528" s="24">
        <v>30794143.25</v>
      </c>
      <c r="D528" s="30"/>
      <c r="E528" s="31"/>
      <c r="F528" s="31"/>
      <c r="G528" s="24">
        <f t="shared" si="76"/>
        <v>-30794143.25</v>
      </c>
      <c r="H528" s="31"/>
      <c r="I528" s="31"/>
      <c r="J528" s="76"/>
      <c r="K528" s="24">
        <f t="shared" si="77"/>
        <v>-30794143.25</v>
      </c>
    </row>
    <row r="529" spans="1:11">
      <c r="A529" s="57">
        <v>2833002</v>
      </c>
      <c r="B529" s="1" t="s">
        <v>299</v>
      </c>
      <c r="C529" s="24">
        <v>102763385.47</v>
      </c>
      <c r="D529" s="30"/>
      <c r="E529" s="31"/>
      <c r="F529" s="31"/>
      <c r="G529" s="24">
        <f t="shared" si="76"/>
        <v>-102763385.47</v>
      </c>
      <c r="H529" s="31"/>
      <c r="I529" s="31"/>
      <c r="J529" s="76"/>
      <c r="K529" s="24">
        <f t="shared" si="77"/>
        <v>-102763385.47</v>
      </c>
    </row>
    <row r="530" spans="1:11">
      <c r="A530" s="57" t="s">
        <v>519</v>
      </c>
      <c r="B530" s="1" t="s">
        <v>520</v>
      </c>
      <c r="C530" s="55">
        <v>818874.86</v>
      </c>
      <c r="D530" s="30"/>
      <c r="E530" s="31"/>
      <c r="F530" s="31"/>
      <c r="G530" s="55">
        <f t="shared" si="76"/>
        <v>-818874.86</v>
      </c>
      <c r="H530" s="31"/>
      <c r="I530" s="94"/>
      <c r="J530" s="78"/>
      <c r="K530" s="55">
        <f t="shared" si="77"/>
        <v>-818874.86</v>
      </c>
    </row>
    <row r="531" spans="1:11" ht="15.75" thickBot="1">
      <c r="B531" s="1" t="s">
        <v>300</v>
      </c>
      <c r="C531" s="24">
        <f>SUM(C520:C530)</f>
        <v>569548286.86000001</v>
      </c>
      <c r="D531" s="30"/>
      <c r="E531" s="31"/>
      <c r="F531" s="31"/>
      <c r="G531" s="24">
        <f>SUM(G520:G530)</f>
        <v>-569548286.86000001</v>
      </c>
      <c r="H531" s="31"/>
      <c r="I531" s="16">
        <f>SUM(I520:I530)</f>
        <v>-486130563.41000003</v>
      </c>
      <c r="J531" s="76"/>
      <c r="K531" s="24">
        <f>SUM(K520:K530)</f>
        <v>-83417723.450000003</v>
      </c>
    </row>
    <row r="532" spans="1:11" ht="45.75" customHeight="1" thickBot="1">
      <c r="A532" s="104" t="s">
        <v>542</v>
      </c>
      <c r="B532" s="105"/>
      <c r="G532" s="3"/>
      <c r="I532" s="16"/>
      <c r="K532" s="3"/>
    </row>
    <row r="533" spans="1:11">
      <c r="B533" s="71"/>
      <c r="G533" s="3"/>
      <c r="K533" s="3"/>
    </row>
    <row r="534" spans="1:11">
      <c r="A534" s="57">
        <v>2550001</v>
      </c>
      <c r="B534" s="1" t="s">
        <v>301</v>
      </c>
      <c r="C534" s="55">
        <v>-0.38</v>
      </c>
      <c r="D534" s="30"/>
      <c r="E534" s="94">
        <f>C534</f>
        <v>-0.38</v>
      </c>
      <c r="F534" s="31"/>
      <c r="G534" s="55">
        <f t="shared" ref="G534" si="78">(C534-E534)*-1</f>
        <v>0</v>
      </c>
      <c r="H534" s="31"/>
      <c r="I534" s="94"/>
      <c r="J534" s="76"/>
      <c r="K534" s="55">
        <f>G534-I534</f>
        <v>0</v>
      </c>
    </row>
    <row r="535" spans="1:11">
      <c r="B535" s="1" t="s">
        <v>302</v>
      </c>
      <c r="C535" s="24">
        <f>SUM(C534)</f>
        <v>-0.38</v>
      </c>
      <c r="D535" s="30"/>
      <c r="E535" s="31">
        <f>SUM(E534)</f>
        <v>-0.38</v>
      </c>
      <c r="F535" s="31"/>
      <c r="G535" s="24">
        <f>SUM(G534)</f>
        <v>0</v>
      </c>
      <c r="H535" s="31"/>
      <c r="I535" s="24">
        <f>SUM(I534)</f>
        <v>0</v>
      </c>
      <c r="J535" s="76"/>
      <c r="K535" s="24">
        <f>SUM(K534)</f>
        <v>0</v>
      </c>
    </row>
    <row r="536" spans="1:11">
      <c r="C536" s="24"/>
      <c r="D536" s="30"/>
      <c r="E536" s="31"/>
      <c r="F536" s="31"/>
      <c r="G536" s="24"/>
      <c r="H536" s="31"/>
      <c r="I536" s="31"/>
      <c r="J536" s="76"/>
      <c r="K536" s="24"/>
    </row>
    <row r="537" spans="1:11">
      <c r="A537" s="57">
        <v>2540011</v>
      </c>
      <c r="B537" s="1" t="s">
        <v>303</v>
      </c>
      <c r="C537" s="24">
        <v>0</v>
      </c>
      <c r="D537" s="30"/>
      <c r="E537" s="31"/>
      <c r="F537" s="31"/>
      <c r="G537" s="24">
        <f t="shared" ref="G537" si="79">(C537-E537)*-1</f>
        <v>0</v>
      </c>
      <c r="H537" s="31"/>
      <c r="I537" s="31"/>
      <c r="J537" s="76"/>
      <c r="K537" s="24">
        <f>G537-I537</f>
        <v>0</v>
      </c>
    </row>
    <row r="538" spans="1:11">
      <c r="B538" s="1" t="s">
        <v>304</v>
      </c>
      <c r="C538" s="24">
        <f>SUM(C537)</f>
        <v>0</v>
      </c>
      <c r="D538" s="30"/>
      <c r="E538" s="31"/>
      <c r="F538" s="31"/>
      <c r="G538" s="24">
        <f>SUM(G537)</f>
        <v>0</v>
      </c>
      <c r="H538" s="31"/>
      <c r="I538" s="31"/>
      <c r="J538" s="76"/>
      <c r="K538" s="24">
        <f>SUM(K537)</f>
        <v>0</v>
      </c>
    </row>
    <row r="539" spans="1:11">
      <c r="A539" s="57" t="s">
        <v>606</v>
      </c>
      <c r="B539" s="1" t="s">
        <v>607</v>
      </c>
      <c r="C539" s="24">
        <v>1135346.75</v>
      </c>
      <c r="D539" s="30"/>
      <c r="E539" s="31"/>
      <c r="F539" s="31"/>
      <c r="G539" s="24">
        <f t="shared" ref="G539:G549" si="80">(C539-E539)*-1</f>
        <v>-1135346.75</v>
      </c>
      <c r="H539" s="31"/>
      <c r="I539" s="31"/>
      <c r="J539" s="76"/>
      <c r="K539" s="24">
        <f t="shared" ref="K539:K546" si="81">G539-I539</f>
        <v>-1135346.75</v>
      </c>
    </row>
    <row r="540" spans="1:11">
      <c r="A540" s="57">
        <v>2540047</v>
      </c>
      <c r="B540" s="1" t="s">
        <v>305</v>
      </c>
      <c r="C540" s="24">
        <v>1145191.68</v>
      </c>
      <c r="D540" s="30"/>
      <c r="E540" s="31"/>
      <c r="F540" s="31"/>
      <c r="G540" s="24">
        <f t="shared" si="80"/>
        <v>-1145191.68</v>
      </c>
      <c r="H540" s="31"/>
      <c r="I540" s="31"/>
      <c r="J540" s="76"/>
      <c r="K540" s="24">
        <f t="shared" si="81"/>
        <v>-1145191.68</v>
      </c>
    </row>
    <row r="541" spans="1:11">
      <c r="A541" s="57">
        <v>2540071</v>
      </c>
      <c r="B541" s="1" t="s">
        <v>408</v>
      </c>
      <c r="C541" s="24">
        <v>0</v>
      </c>
      <c r="D541" s="30"/>
      <c r="E541" s="31"/>
      <c r="F541" s="31"/>
      <c r="G541" s="24">
        <f t="shared" si="80"/>
        <v>0</v>
      </c>
      <c r="H541" s="31"/>
      <c r="I541" s="31"/>
      <c r="J541" s="76"/>
      <c r="K541" s="24">
        <f t="shared" si="81"/>
        <v>0</v>
      </c>
    </row>
    <row r="542" spans="1:11">
      <c r="A542" s="57">
        <v>2540105</v>
      </c>
      <c r="B542" s="1" t="s">
        <v>306</v>
      </c>
      <c r="C542" s="24">
        <v>-110431.05</v>
      </c>
      <c r="D542" s="30"/>
      <c r="E542" s="31"/>
      <c r="F542" s="31"/>
      <c r="G542" s="24">
        <f t="shared" si="80"/>
        <v>110431.05</v>
      </c>
      <c r="H542" s="31"/>
      <c r="I542" s="31"/>
      <c r="J542" s="76"/>
      <c r="K542" s="24">
        <f t="shared" si="81"/>
        <v>110431.05</v>
      </c>
    </row>
    <row r="543" spans="1:11">
      <c r="A543" s="57" t="s">
        <v>523</v>
      </c>
      <c r="B543" s="1" t="s">
        <v>524</v>
      </c>
      <c r="C543" s="24">
        <v>845170.77</v>
      </c>
      <c r="D543" s="30"/>
      <c r="E543" s="31"/>
      <c r="F543" s="31"/>
      <c r="G543" s="24">
        <f t="shared" si="80"/>
        <v>-845170.77</v>
      </c>
      <c r="H543" s="31"/>
      <c r="I543" s="31"/>
      <c r="J543" s="76"/>
      <c r="K543" s="24">
        <f t="shared" si="81"/>
        <v>-845170.77</v>
      </c>
    </row>
    <row r="544" spans="1:11">
      <c r="A544" s="57" t="s">
        <v>525</v>
      </c>
      <c r="B544" s="1" t="s">
        <v>526</v>
      </c>
      <c r="C544" s="24">
        <v>493763.74800000002</v>
      </c>
      <c r="D544" s="30"/>
      <c r="E544" s="31"/>
      <c r="F544" s="31"/>
      <c r="G544" s="24">
        <f t="shared" si="80"/>
        <v>-493763.74800000002</v>
      </c>
      <c r="H544" s="31"/>
      <c r="I544" s="31"/>
      <c r="J544" s="76"/>
      <c r="K544" s="24">
        <f t="shared" si="81"/>
        <v>-493763.74800000002</v>
      </c>
    </row>
    <row r="545" spans="1:11">
      <c r="A545" s="57" t="s">
        <v>608</v>
      </c>
      <c r="B545" s="1" t="s">
        <v>609</v>
      </c>
      <c r="C545" s="24">
        <v>162724.83000000002</v>
      </c>
      <c r="D545" s="30"/>
      <c r="E545" s="31"/>
      <c r="F545" s="31"/>
      <c r="G545" s="24">
        <f t="shared" si="80"/>
        <v>-162724.83000000002</v>
      </c>
      <c r="H545" s="31"/>
      <c r="I545" s="31"/>
      <c r="J545" s="76"/>
      <c r="K545" s="24">
        <f t="shared" si="81"/>
        <v>-162724.83000000002</v>
      </c>
    </row>
    <row r="546" spans="1:11">
      <c r="A546" s="57" t="s">
        <v>527</v>
      </c>
      <c r="B546" s="1" t="s">
        <v>528</v>
      </c>
      <c r="C546" s="55">
        <v>229331.67</v>
      </c>
      <c r="D546" s="30"/>
      <c r="E546" s="31"/>
      <c r="F546" s="31"/>
      <c r="G546" s="55">
        <f t="shared" si="80"/>
        <v>-229331.67</v>
      </c>
      <c r="H546" s="31"/>
      <c r="I546" s="31"/>
      <c r="J546" s="76"/>
      <c r="K546" s="55">
        <f t="shared" si="81"/>
        <v>-229331.67</v>
      </c>
    </row>
    <row r="547" spans="1:11">
      <c r="B547" s="1" t="s">
        <v>307</v>
      </c>
      <c r="C547" s="24">
        <f>SUM(C539:C546)</f>
        <v>3901098.398</v>
      </c>
      <c r="D547" s="30"/>
      <c r="E547" s="31"/>
      <c r="F547" s="31"/>
      <c r="G547" s="24">
        <f>SUM(G539:G546)</f>
        <v>-3901098.398</v>
      </c>
      <c r="H547" s="31"/>
      <c r="I547" s="31"/>
      <c r="J547" s="76"/>
      <c r="K547" s="24">
        <f>G547-I547</f>
        <v>-3901098.398</v>
      </c>
    </row>
    <row r="548" spans="1:11">
      <c r="A548" s="57">
        <v>2543001</v>
      </c>
      <c r="B548" s="1" t="s">
        <v>308</v>
      </c>
      <c r="C548" s="24">
        <v>0.01</v>
      </c>
      <c r="D548" s="30"/>
      <c r="E548" s="31"/>
      <c r="F548" s="31"/>
      <c r="G548" s="24">
        <f t="shared" si="80"/>
        <v>-0.01</v>
      </c>
      <c r="H548" s="31"/>
      <c r="I548" s="31"/>
      <c r="J548" s="76"/>
      <c r="K548" s="24">
        <f t="shared" ref="K548" si="82">G548-I548</f>
        <v>-0.01</v>
      </c>
    </row>
    <row r="549" spans="1:11">
      <c r="A549" s="57">
        <v>2544001</v>
      </c>
      <c r="B549" s="1" t="s">
        <v>309</v>
      </c>
      <c r="C549" s="55">
        <v>112999783.09999999</v>
      </c>
      <c r="D549" s="30"/>
      <c r="E549" s="31"/>
      <c r="F549" s="31"/>
      <c r="G549" s="55">
        <f t="shared" si="80"/>
        <v>-112999783.09999999</v>
      </c>
      <c r="H549" s="31"/>
      <c r="I549" s="94"/>
      <c r="J549" s="76"/>
      <c r="K549" s="55">
        <f>G549-I549</f>
        <v>-112999783.09999999</v>
      </c>
    </row>
    <row r="550" spans="1:11">
      <c r="B550" s="1" t="s">
        <v>310</v>
      </c>
      <c r="C550" s="24">
        <f>SUM(C548:C549)</f>
        <v>112999783.11</v>
      </c>
      <c r="D550" s="30"/>
      <c r="E550" s="31"/>
      <c r="F550" s="31"/>
      <c r="G550" s="24">
        <f>SUM(G548:G549)</f>
        <v>-112999783.11</v>
      </c>
      <c r="H550" s="31"/>
      <c r="I550" s="24">
        <f>SUM(I548:I549)</f>
        <v>0</v>
      </c>
      <c r="J550" s="76"/>
      <c r="K550" s="24">
        <f>SUM(K548:K549)</f>
        <v>-112999783.11</v>
      </c>
    </row>
    <row r="551" spans="1:11">
      <c r="B551" s="1" t="s">
        <v>311</v>
      </c>
      <c r="C551" s="24">
        <f>C538+C547+C550</f>
        <v>116900881.508</v>
      </c>
      <c r="D551" s="30"/>
      <c r="E551" s="31"/>
      <c r="F551" s="31"/>
      <c r="G551" s="24">
        <f>G538+G547+G550</f>
        <v>-116900881.508</v>
      </c>
      <c r="H551" s="31"/>
      <c r="I551" s="24">
        <f>I538+I547+I550</f>
        <v>0</v>
      </c>
      <c r="J551" s="76"/>
      <c r="K551" s="24">
        <f>K538+K547+K550</f>
        <v>-116900881.508</v>
      </c>
    </row>
    <row r="552" spans="1:11">
      <c r="C552" s="24"/>
      <c r="D552" s="30"/>
      <c r="E552" s="31"/>
      <c r="F552" s="31"/>
      <c r="G552" s="24"/>
      <c r="H552" s="31"/>
      <c r="I552" s="31"/>
      <c r="J552" s="76"/>
      <c r="K552" s="24"/>
    </row>
    <row r="553" spans="1:11">
      <c r="A553" s="57">
        <v>2520000</v>
      </c>
      <c r="B553" s="1" t="s">
        <v>314</v>
      </c>
      <c r="C553" s="55">
        <v>101503.08</v>
      </c>
      <c r="D553" s="30"/>
      <c r="E553" s="31"/>
      <c r="F553" s="31"/>
      <c r="G553" s="55">
        <f t="shared" ref="G553" si="83">(C553-E553)*-1</f>
        <v>-101503.08</v>
      </c>
      <c r="H553" s="31"/>
      <c r="I553" s="94">
        <f>C553*-1</f>
        <v>-101503.08</v>
      </c>
      <c r="J553" s="76"/>
      <c r="K553" s="55">
        <f>G553-I553</f>
        <v>0</v>
      </c>
    </row>
    <row r="554" spans="1:11">
      <c r="B554" s="1" t="s">
        <v>315</v>
      </c>
      <c r="C554" s="24">
        <f>SUM(C553)</f>
        <v>101503.08</v>
      </c>
      <c r="D554" s="30"/>
      <c r="E554" s="31"/>
      <c r="F554" s="31"/>
      <c r="G554" s="24">
        <f>SUM(G553)</f>
        <v>-101503.08</v>
      </c>
      <c r="H554" s="31"/>
      <c r="I554" s="16">
        <f>SUM(I553)</f>
        <v>-101503.08</v>
      </c>
      <c r="J554" s="76"/>
      <c r="K554" s="24">
        <f>SUM(K553)</f>
        <v>0</v>
      </c>
    </row>
    <row r="555" spans="1:11">
      <c r="G555" s="3"/>
      <c r="K555" s="3"/>
    </row>
    <row r="556" spans="1:11">
      <c r="A556" s="57">
        <v>2530000</v>
      </c>
      <c r="B556" s="1" t="s">
        <v>316</v>
      </c>
      <c r="C556" s="3">
        <v>0</v>
      </c>
      <c r="G556" s="3">
        <f t="shared" ref="G556:G572" si="84">(C556-E556)*-1</f>
        <v>0</v>
      </c>
      <c r="K556" s="3">
        <f>G556-I556</f>
        <v>0</v>
      </c>
    </row>
    <row r="557" spans="1:11">
      <c r="A557" s="57">
        <v>2530004</v>
      </c>
      <c r="B557" s="1" t="s">
        <v>138</v>
      </c>
      <c r="C557" s="3">
        <v>0</v>
      </c>
      <c r="G557" s="3">
        <f t="shared" si="84"/>
        <v>0</v>
      </c>
      <c r="K557" s="3">
        <f t="shared" ref="K557:K572" si="85">G557-I557</f>
        <v>0</v>
      </c>
    </row>
    <row r="558" spans="1:11">
      <c r="A558" s="57">
        <v>2530022</v>
      </c>
      <c r="B558" s="1" t="s">
        <v>317</v>
      </c>
      <c r="C558" s="3">
        <v>2308679.25</v>
      </c>
      <c r="G558" s="3">
        <f t="shared" si="84"/>
        <v>-2308679.25</v>
      </c>
      <c r="K558" s="3">
        <f t="shared" si="85"/>
        <v>-2308679.25</v>
      </c>
    </row>
    <row r="559" spans="1:11">
      <c r="A559" s="57" t="s">
        <v>680</v>
      </c>
      <c r="B559" s="1" t="s">
        <v>681</v>
      </c>
      <c r="C559" s="3">
        <v>-15.06</v>
      </c>
      <c r="G559" s="3">
        <f t="shared" si="84"/>
        <v>15.06</v>
      </c>
      <c r="K559" s="3">
        <f t="shared" si="85"/>
        <v>15.06</v>
      </c>
    </row>
    <row r="560" spans="1:11">
      <c r="A560" s="57">
        <v>2530050</v>
      </c>
      <c r="B560" s="1" t="s">
        <v>318</v>
      </c>
      <c r="C560" s="3">
        <v>470152.99</v>
      </c>
      <c r="G560" s="3">
        <f t="shared" si="84"/>
        <v>-470152.99</v>
      </c>
      <c r="I560" s="10">
        <f>G560</f>
        <v>-470152.99</v>
      </c>
      <c r="K560" s="3">
        <f t="shared" si="85"/>
        <v>0</v>
      </c>
    </row>
    <row r="561" spans="1:11">
      <c r="A561" s="57">
        <v>2530067</v>
      </c>
      <c r="B561" s="1" t="s">
        <v>319</v>
      </c>
      <c r="C561" s="3">
        <v>0.01</v>
      </c>
      <c r="G561" s="3">
        <f t="shared" si="84"/>
        <v>-0.01</v>
      </c>
      <c r="K561" s="3">
        <f t="shared" si="85"/>
        <v>-0.01</v>
      </c>
    </row>
    <row r="562" spans="1:11">
      <c r="A562" s="57">
        <v>2530092</v>
      </c>
      <c r="B562" s="1" t="s">
        <v>320</v>
      </c>
      <c r="C562" s="3">
        <v>19009</v>
      </c>
      <c r="G562" s="3">
        <f t="shared" si="84"/>
        <v>-19009</v>
      </c>
      <c r="K562" s="3">
        <f t="shared" si="85"/>
        <v>-19009</v>
      </c>
    </row>
    <row r="563" spans="1:11">
      <c r="A563" s="57">
        <v>2530101</v>
      </c>
      <c r="B563" s="1" t="s">
        <v>321</v>
      </c>
      <c r="C563" s="3">
        <v>0</v>
      </c>
      <c r="G563" s="3">
        <f t="shared" si="84"/>
        <v>0</v>
      </c>
      <c r="K563" s="3">
        <f t="shared" si="85"/>
        <v>0</v>
      </c>
    </row>
    <row r="564" spans="1:11">
      <c r="A564" s="57">
        <v>2530112</v>
      </c>
      <c r="B564" s="1" t="s">
        <v>322</v>
      </c>
      <c r="C564" s="3">
        <v>48277.35</v>
      </c>
      <c r="G564" s="3">
        <f t="shared" si="84"/>
        <v>-48277.35</v>
      </c>
      <c r="K564" s="3">
        <f t="shared" si="85"/>
        <v>-48277.35</v>
      </c>
    </row>
    <row r="565" spans="1:11">
      <c r="A565" s="57">
        <v>2530114</v>
      </c>
      <c r="B565" s="1" t="s">
        <v>323</v>
      </c>
      <c r="C565" s="3">
        <v>0</v>
      </c>
      <c r="G565" s="3">
        <f t="shared" si="84"/>
        <v>0</v>
      </c>
      <c r="K565" s="3">
        <f t="shared" si="85"/>
        <v>0</v>
      </c>
    </row>
    <row r="566" spans="1:11">
      <c r="A566" s="57">
        <v>2530124</v>
      </c>
      <c r="B566" s="1" t="s">
        <v>324</v>
      </c>
      <c r="C566" s="3">
        <v>750316.52</v>
      </c>
      <c r="G566" s="3">
        <f t="shared" si="84"/>
        <v>-750316.52</v>
      </c>
      <c r="I566" s="10">
        <f>G566</f>
        <v>-750316.52</v>
      </c>
      <c r="K566" s="3">
        <f t="shared" si="85"/>
        <v>0</v>
      </c>
    </row>
    <row r="567" spans="1:11">
      <c r="A567" s="57">
        <v>2530137</v>
      </c>
      <c r="B567" s="1" t="s">
        <v>325</v>
      </c>
      <c r="C567" s="3">
        <v>0</v>
      </c>
      <c r="G567" s="3">
        <f t="shared" si="84"/>
        <v>0</v>
      </c>
      <c r="K567" s="3">
        <f t="shared" si="85"/>
        <v>0</v>
      </c>
    </row>
    <row r="568" spans="1:11">
      <c r="A568" s="57">
        <v>2530177</v>
      </c>
      <c r="B568" s="1" t="s">
        <v>326</v>
      </c>
      <c r="C568" s="3">
        <v>0</v>
      </c>
      <c r="G568" s="3">
        <f t="shared" si="84"/>
        <v>0</v>
      </c>
      <c r="K568" s="3">
        <f>G568-I568</f>
        <v>0</v>
      </c>
    </row>
    <row r="569" spans="1:11">
      <c r="A569" s="57">
        <v>2530178</v>
      </c>
      <c r="B569" s="1" t="s">
        <v>327</v>
      </c>
      <c r="C569" s="24">
        <v>0</v>
      </c>
      <c r="G569" s="24">
        <f t="shared" si="84"/>
        <v>0</v>
      </c>
      <c r="K569" s="24">
        <f t="shared" si="85"/>
        <v>0</v>
      </c>
    </row>
    <row r="570" spans="1:11">
      <c r="A570" s="57" t="s">
        <v>529</v>
      </c>
      <c r="B570" s="1" t="s">
        <v>530</v>
      </c>
      <c r="C570" s="24">
        <v>4735</v>
      </c>
      <c r="G570" s="24">
        <f t="shared" si="84"/>
        <v>-4735</v>
      </c>
      <c r="K570" s="24">
        <f t="shared" si="85"/>
        <v>-4735</v>
      </c>
    </row>
    <row r="571" spans="1:11">
      <c r="A571" s="57" t="s">
        <v>610</v>
      </c>
      <c r="B571" s="1" t="s">
        <v>611</v>
      </c>
      <c r="C571" s="24">
        <v>8860712</v>
      </c>
      <c r="G571" s="24">
        <f t="shared" si="84"/>
        <v>-8860712</v>
      </c>
      <c r="K571" s="24">
        <f t="shared" si="85"/>
        <v>-8860712</v>
      </c>
    </row>
    <row r="572" spans="1:11">
      <c r="A572" s="57" t="s">
        <v>531</v>
      </c>
      <c r="B572" s="1" t="s">
        <v>532</v>
      </c>
      <c r="C572" s="55">
        <v>72870.392000000007</v>
      </c>
      <c r="G572" s="55">
        <f t="shared" si="84"/>
        <v>-72870.392000000007</v>
      </c>
      <c r="I572" s="14"/>
      <c r="K572" s="55">
        <f t="shared" si="85"/>
        <v>-72870.392000000007</v>
      </c>
    </row>
    <row r="573" spans="1:11">
      <c r="B573" s="1" t="s">
        <v>316</v>
      </c>
      <c r="C573" s="3">
        <f>SUM(C556:C572)</f>
        <v>12534737.452</v>
      </c>
      <c r="G573" s="3">
        <f>SUM(G556:G572)</f>
        <v>-12534737.452</v>
      </c>
      <c r="K573" s="3">
        <f>SUM(K556:K572)</f>
        <v>-11314267.942000002</v>
      </c>
    </row>
    <row r="574" spans="1:11">
      <c r="B574" s="1" t="s">
        <v>328</v>
      </c>
      <c r="C574" s="4">
        <f>C554+C573</f>
        <v>12636240.532</v>
      </c>
      <c r="E574" s="4">
        <f>E554+E573</f>
        <v>0</v>
      </c>
      <c r="F574" s="8"/>
      <c r="G574" s="4">
        <f>G554+G573</f>
        <v>-12636240.532</v>
      </c>
      <c r="I574" s="4">
        <f>I554+I573+I560+I566</f>
        <v>-1321972.5899999999</v>
      </c>
      <c r="J574" s="73"/>
      <c r="K574" s="4">
        <f>K554+K573</f>
        <v>-11314267.942000002</v>
      </c>
    </row>
    <row r="575" spans="1:11">
      <c r="B575" s="1" t="s">
        <v>329</v>
      </c>
      <c r="C575" s="3">
        <f>C531+C535+C551+C574</f>
        <v>699085408.51999998</v>
      </c>
      <c r="E575" s="3">
        <f>E531+E535+E551+E574</f>
        <v>-0.38</v>
      </c>
      <c r="F575" s="3"/>
      <c r="G575" s="3">
        <f>G531+G535+G551+G574</f>
        <v>-699085408.89999998</v>
      </c>
      <c r="I575" s="3">
        <f>I531+I535+I551+I574</f>
        <v>-487452536</v>
      </c>
      <c r="J575" s="77"/>
      <c r="K575" s="3">
        <f>K531+K535+K551+K574</f>
        <v>-211632872.90000001</v>
      </c>
    </row>
    <row r="576" spans="1:11">
      <c r="C576" s="3" t="s">
        <v>155</v>
      </c>
      <c r="G576" s="3" t="s">
        <v>155</v>
      </c>
      <c r="K576" s="3" t="s">
        <v>155</v>
      </c>
    </row>
    <row r="577" spans="1:11" s="13" customFormat="1">
      <c r="A577" s="60"/>
      <c r="B577" s="13" t="s">
        <v>330</v>
      </c>
      <c r="C577" s="5">
        <f>C321+C349+C518+C575</f>
        <v>3449326711.2090006</v>
      </c>
      <c r="E577" s="5">
        <f>E321+E351+E575</f>
        <v>2445357960.4300003</v>
      </c>
      <c r="F577" s="5"/>
      <c r="G577" s="5">
        <f>G321+G349+G518+G575+G351</f>
        <v>-1003968750.7789999</v>
      </c>
      <c r="H577" s="16"/>
      <c r="I577" s="5">
        <f>I321+I349+I518+I575+I351</f>
        <v>-525910729.32999998</v>
      </c>
      <c r="J577" s="75"/>
      <c r="K577" s="5">
        <f>K321+K349+K518+K575+K351</f>
        <v>-478058021.449</v>
      </c>
    </row>
    <row r="578" spans="1:11">
      <c r="B578" s="26"/>
      <c r="C578" s="3" t="s">
        <v>155</v>
      </c>
      <c r="K578" s="3"/>
    </row>
    <row r="579" spans="1:11">
      <c r="B579" s="1" t="s">
        <v>613</v>
      </c>
      <c r="C579" s="4"/>
      <c r="E579" s="14"/>
      <c r="F579" s="15"/>
      <c r="G579" s="14">
        <f>E579</f>
        <v>0</v>
      </c>
      <c r="I579" s="90">
        <v>-7263290.0999999996</v>
      </c>
      <c r="J579" s="73"/>
      <c r="K579" s="14">
        <f>G579-I579</f>
        <v>7263290.0999999996</v>
      </c>
    </row>
    <row r="580" spans="1:11">
      <c r="K580" s="3"/>
    </row>
    <row r="581" spans="1:11">
      <c r="C581" s="3">
        <f>C577+C579</f>
        <v>3449326711.2090006</v>
      </c>
      <c r="E581" s="10">
        <f>E577+E579</f>
        <v>2445357960.4300003</v>
      </c>
      <c r="G581" s="10">
        <f>G577+G579</f>
        <v>-1003968750.7789999</v>
      </c>
      <c r="I581" s="10">
        <f>I577+I579</f>
        <v>-533174019.43000001</v>
      </c>
      <c r="K581" s="10">
        <f>K577+K579</f>
        <v>-470794731.34899998</v>
      </c>
    </row>
    <row r="583" spans="1:11">
      <c r="B583" s="1" t="s">
        <v>350</v>
      </c>
      <c r="C583" s="3">
        <f>C292</f>
        <v>3449326711.6719999</v>
      </c>
      <c r="E583" s="3">
        <f>E292</f>
        <v>0</v>
      </c>
      <c r="G583" s="10">
        <f>G292</f>
        <v>3449326711.6719999</v>
      </c>
      <c r="I583" s="10">
        <f>I292</f>
        <v>2598382356.3650002</v>
      </c>
      <c r="K583" s="10">
        <f>K292</f>
        <v>850944355.30699992</v>
      </c>
    </row>
    <row r="584" spans="1:11">
      <c r="B584" s="1" t="s">
        <v>351</v>
      </c>
      <c r="C584" s="14">
        <f>C581</f>
        <v>3449326711.2090006</v>
      </c>
      <c r="E584" s="14">
        <f>E581</f>
        <v>2445357960.4300003</v>
      </c>
      <c r="G584" s="14">
        <f>G581</f>
        <v>-1003968750.7789999</v>
      </c>
      <c r="I584" s="14">
        <f>I581</f>
        <v>-533174019.43000001</v>
      </c>
      <c r="K584" s="14">
        <f>K581</f>
        <v>-470794731.34899998</v>
      </c>
    </row>
    <row r="585" spans="1:11" ht="17.25" customHeight="1">
      <c r="C585" s="3">
        <f>C583-C584</f>
        <v>0.46299934387207031</v>
      </c>
      <c r="E585" s="10">
        <f>SUM(E583:E584)</f>
        <v>2445357960.4300003</v>
      </c>
      <c r="G585" s="10">
        <f>SUM(G583:G584)</f>
        <v>2445357960.8930001</v>
      </c>
      <c r="I585" s="10">
        <f>SUM(I583:I584)</f>
        <v>2065208336.9350002</v>
      </c>
      <c r="J585" s="79"/>
      <c r="K585" s="10">
        <f>SUM(K583:K584)</f>
        <v>380149623.95799994</v>
      </c>
    </row>
  </sheetData>
  <mergeCells count="1">
    <mergeCell ref="A532:B532"/>
  </mergeCells>
  <pageMargins left="0.45" right="0.45" top="0.5" bottom="0.5" header="0.3" footer="0.3"/>
  <pageSetup scale="10" orientation="portrait" r:id="rId1"/>
  <rowBreaks count="8" manualBreakCount="8">
    <brk id="41" max="16383" man="1"/>
    <brk id="101" max="16383" man="1"/>
    <brk id="156" max="16383" man="1"/>
    <brk id="246" max="16383" man="1"/>
    <brk id="309" max="16383" man="1"/>
    <brk id="383" max="16383" man="1"/>
    <brk id="458" max="16383" man="1"/>
    <brk id="53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wvc2lzbD48VXNlck5hbWU+Q09SUFxzMjYyMzY4PC9Vc2VyTmFtZT48RGF0ZVRpbWU+Ni82LzIwMjMgMzoxNTo1OCBQTTwvRGF0ZVRpbWU+PExhYmVsU3RyaW5nPkFFUCBJbnRlcm5hbDwvTGFiZWxTdHJpbmc+PC9pdGVtPjwvbGFiZWxIaXN0b3J5Pg==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56C375BA-F16F-44C1-8448-81ABA8364A4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E691ADE-ADF5-4A81-9BB8-BD6B20DEAD62}">
  <ds:schemaRefs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b6888f76-1100-40b0-929b-1efe9044426d"/>
    <ds:schemaRef ds:uri="http://purl.org/dc/elements/1.1/"/>
    <ds:schemaRef ds:uri="f88ffb1c-9230-4705-a789-27bae69f5829"/>
  </ds:schemaRefs>
</ds:datastoreItem>
</file>

<file path=customXml/itemProps3.xml><?xml version="1.0" encoding="utf-8"?>
<ds:datastoreItem xmlns:ds="http://schemas.openxmlformats.org/officeDocument/2006/customXml" ds:itemID="{D44F4C18-7451-433D-89F0-6137681EA3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D2E36D4-4735-47E4-9D6B-593C78D21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69772B7-3DBA-411C-A8BE-91CB4F379A4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Sheet</vt:lpstr>
      <vt:lpstr>Reconciliation</vt:lpstr>
      <vt:lpstr>Balance Sheet Detail</vt:lpstr>
      <vt:lpstr>Reconciliation!Print_Area</vt:lpstr>
      <vt:lpstr>'Balance Sheet Detail'!Print_Titles</vt:lpstr>
      <vt:lpstr>Reconciliation!Print_Titles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keywords/>
  <cp:lastModifiedBy>Jaclyn Cost</cp:lastModifiedBy>
  <cp:lastPrinted>2025-08-12T20:37:59Z</cp:lastPrinted>
  <dcterms:created xsi:type="dcterms:W3CDTF">2015-02-12T13:45:27Z</dcterms:created>
  <dcterms:modified xsi:type="dcterms:W3CDTF">2025-09-11T12:29:01Z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f5d0b0db-c118-416d-84aa-d9aea30e22c2</vt:lpwstr>
  </property>
  <property fmtid="{D5CDD505-2E9C-101B-9397-08002B2CF9AE}" pid="3" name="bjSaver">
    <vt:lpwstr>xZzrf02Aubzx74tgVp24Vul5jA7mQze+</vt:lpwstr>
  </property>
  <property fmtid="{D5CDD505-2E9C-101B-9397-08002B2CF9AE}" pid="4" name="bjDocumentSecurityLabel">
    <vt:lpwstr>AEP Internal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/&gt;&lt;/sisl&gt;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{56C375BA-F16F-44C1-8448-81ABA8364A44}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