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22" documentId="13_ncr:1_{7C610505-7C8F-4DD6-9C42-43AA0940731D}" xr6:coauthVersionLast="47" xr6:coauthVersionMax="47" xr10:uidLastSave="{78469FA7-BBB8-4A32-8BCF-AFA1027A8CE6}"/>
  <bookViews>
    <workbookView xWindow="-28920" yWindow="-120" windowWidth="29040" windowHeight="15720" activeTab="5" xr2:uid="{22D73124-21F4-4720-BBE3-DE16057C399F}"/>
  </bookViews>
  <sheets>
    <sheet name="2024 Summary" sheetId="4" r:id="rId1"/>
    <sheet name="2024 Kentucky Power" sheetId="1" r:id="rId2"/>
    <sheet name="2024 Generation" sheetId="2" r:id="rId3"/>
    <sheet name="2024 Energy Delivery" sheetId="3" r:id="rId4"/>
    <sheet name="2024 Corp_Staff" sheetId="6" r:id="rId5"/>
    <sheet name="2024 Executive and Funding" sheetId="5" r:id="rId6"/>
  </sheets>
  <externalReferences>
    <externalReference r:id="rId7"/>
  </externalReferences>
  <definedNames>
    <definedName name="_xlnm._FilterDatabase" localSheetId="3" hidden="1">'2024 Energy Delivery'!#REF!</definedName>
    <definedName name="AprSun1" localSheetId="3">DATEVALUE("4/1/"&amp;#REF!)-WEEKDAY(DATEVALUE("4/1/"&amp;#REF!))+1</definedName>
    <definedName name="AprSun1" localSheetId="2">DATEVALUE("4/1/"&amp;#REF!)-WEEKDAY(DATEVALUE("4/1/"&amp;#REF!))+1</definedName>
    <definedName name="AprSun1">DATEVALUE("4/1/"&amp;#REF!)-WEEKDAY(DATEVALUE("4/1/"&amp;#REF!))+1</definedName>
    <definedName name="AugSun1" localSheetId="3">DATEVALUE("8/1/"&amp;#REF!)-WEEKDAY(DATEVALUE("8/1/"&amp;#REF!))+1</definedName>
    <definedName name="AugSun1" localSheetId="2">DATEVALUE("8/1/"&amp;#REF!)-WEEKDAY(DATEVALUE("8/1/"&amp;#REF!))+1</definedName>
    <definedName name="AugSun1">DATEVALUE("8/1/"&amp;#REF!)-WEEKDAY(DATEVALUE("8/1/"&amp;#REF!))+1</definedName>
    <definedName name="DecSun1" localSheetId="3">DATEVALUE("12/1/"&amp;#REF!)-WEEKDAY(DATEVALUE("12/1/"&amp;#REF!))+1</definedName>
    <definedName name="DecSun1" localSheetId="2">DATEVALUE("12/1/"&amp;#REF!)-WEEKDAY(DATEVALUE("12/1/"&amp;#REF!))+1</definedName>
    <definedName name="DecSun1">DATEVALUE("12/1/"&amp;#REF!)-WEEKDAY(DATEVALUE("12/1/"&amp;#REF!))+1</definedName>
    <definedName name="FebSun1" localSheetId="3">DATEVALUE("2/1/"&amp;#REF!)-WEEKDAY(DATEVALUE("2/1/"&amp;#REF!))+1</definedName>
    <definedName name="FebSun1" localSheetId="2">DATEVALUE("2/1/"&amp;#REF!)-WEEKDAY(DATEVALUE("2/1/"&amp;#REF!))+1</definedName>
    <definedName name="FebSun1">DATEVALUE("2/1/"&amp;#REF!)-WEEKDAY(DATEVALUE("2/1/"&amp;#REF!))+1</definedName>
    <definedName name="JanSun1" localSheetId="3">DATEVALUE("1/1/"&amp;#REF!)-WEEKDAY(DATEVALUE("1/1/"&amp;#REF!))+1</definedName>
    <definedName name="JanSun1" localSheetId="2">DATEVALUE("1/1/"&amp;#REF!)-WEEKDAY(DATEVALUE("1/1/"&amp;#REF!))+1</definedName>
    <definedName name="JanSun1">DATEVALUE("1/1/"&amp;#REF!)-WEEKDAY(DATEVALUE("1/1/"&amp;#REF!))+1</definedName>
    <definedName name="JulSun1" localSheetId="3">DATEVALUE("7/1/"&amp;#REF!)-WEEKDAY(DATEVALUE("7/1/"&amp;#REF!))+1</definedName>
    <definedName name="JulSun1" localSheetId="2">DATEVALUE("7/1/"&amp;#REF!)-WEEKDAY(DATEVALUE("7/1/"&amp;#REF!))+1</definedName>
    <definedName name="JulSun1">DATEVALUE("7/1/"&amp;#REF!)-WEEKDAY(DATEVALUE("7/1/"&amp;#REF!))+1</definedName>
    <definedName name="JunSun1" localSheetId="3">DATEVALUE("6/1/"&amp;#REF!)-WEEKDAY(DATEVALUE("6/1/"&amp;#REF!))+1</definedName>
    <definedName name="JunSun1" localSheetId="2">DATEVALUE("6/1/"&amp;#REF!)-WEEKDAY(DATEVALUE("6/1/"&amp;#REF!))+1</definedName>
    <definedName name="JunSun1">DATEVALUE("6/1/"&amp;#REF!)-WEEKDAY(DATEVALUE("6/1/"&amp;#REF!))+1</definedName>
    <definedName name="MarSun1" localSheetId="3">DATEVALUE("3/1/"&amp;#REF!)-WEEKDAY(DATEVALUE("3/1/"&amp;#REF!))+1</definedName>
    <definedName name="MarSun1" localSheetId="2">DATEVALUE("3/1/"&amp;#REF!)-WEEKDAY(DATEVALUE("3/1/"&amp;#REF!))+1</definedName>
    <definedName name="MarSun1">DATEVALUE("3/1/"&amp;#REF!)-WEEKDAY(DATEVALUE("3/1/"&amp;#REF!))+1</definedName>
    <definedName name="MaySun1" localSheetId="3">DATEVALUE("5/1/"&amp;#REF!)-WEEKDAY(DATEVALUE("5/1/"&amp;#REF!))+1</definedName>
    <definedName name="MaySun1" localSheetId="2">DATEVALUE("5/1/"&amp;#REF!)-WEEKDAY(DATEVALUE("5/1/"&amp;#REF!))+1</definedName>
    <definedName name="MaySun1">DATEVALUE("5/1/"&amp;#REF!)-WEEKDAY(DATEVALUE("5/1/"&amp;#REF!))+1</definedName>
    <definedName name="NovSun1" localSheetId="3">DATEVALUE("11/1/"&amp;#REF!)-WEEKDAY(DATEVALUE("11/1/"&amp;#REF!))+1</definedName>
    <definedName name="NovSun1" localSheetId="2">DATEVALUE("11/1/"&amp;#REF!)-WEEKDAY(DATEVALUE("11/1/"&amp;#REF!))+1</definedName>
    <definedName name="NovSun1">DATEVALUE("11/1/"&amp;#REF!)-WEEKDAY(DATEVALUE("11/1/"&amp;#REF!))+1</definedName>
    <definedName name="OctSun1" localSheetId="3">DATEVALUE("10/1/"&amp;#REF!)-WEEKDAY(DATEVALUE("10/1/"&amp;#REF!))+1</definedName>
    <definedName name="OctSun1" localSheetId="2">DATEVALUE("10/1/"&amp;#REF!)-WEEKDAY(DATEVALUE("10/1/"&amp;#REF!))+1</definedName>
    <definedName name="OctSun1">DATEVALUE("10/1/"&amp;#REF!)-WEEKDAY(DATEVALUE("10/1/"&amp;#REF!))+1</definedName>
    <definedName name="_xlnm.Print_Area" localSheetId="3">'2024 Energy Delivery'!$A$1:$K$19</definedName>
    <definedName name="_xlnm.Print_Area" localSheetId="2">'2024 Generation'!$A$1:$K$16</definedName>
    <definedName name="_xlnm.Print_Area" localSheetId="1">'2024 Kentucky Power'!$A$1:$K$16</definedName>
    <definedName name="SepSun1" localSheetId="3">DATEVALUE("9/1/"&amp;#REF!)-WEEKDAY(DATEVALUE("9/1/"&amp;#REF!))+1</definedName>
    <definedName name="SepSun1" localSheetId="2">DATEVALUE("9/1/"&amp;#REF!)-WEEKDAY(DATEVALUE("9/1/"&amp;#REF!))+1</definedName>
    <definedName name="SepSun1">DATEVALUE("9/1/"&amp;#REF!)-WEEKDAY(DATEVALUE("9/1/"&amp;#REF!))+1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6" l="1"/>
  <c r="I16" i="6"/>
  <c r="B15" i="6"/>
  <c r="B14" i="6"/>
  <c r="B13" i="6"/>
  <c r="B12" i="6"/>
  <c r="B11" i="6"/>
  <c r="B10" i="6"/>
  <c r="B9" i="6"/>
  <c r="B8" i="6"/>
  <c r="B7" i="6"/>
  <c r="B6" i="6"/>
  <c r="B5" i="6"/>
  <c r="A6" i="5"/>
  <c r="D6" i="5"/>
  <c r="E6" i="5"/>
  <c r="E31" i="5"/>
  <c r="D31" i="5"/>
  <c r="C27" i="5"/>
  <c r="E26" i="5"/>
  <c r="D26" i="5"/>
  <c r="C24" i="5"/>
  <c r="E23" i="5"/>
  <c r="D23" i="5"/>
  <c r="C21" i="5"/>
  <c r="E20" i="5"/>
  <c r="D20" i="5"/>
  <c r="C18" i="5"/>
  <c r="E17" i="5"/>
  <c r="D17" i="5"/>
  <c r="E14" i="5"/>
  <c r="D14" i="5"/>
  <c r="C13" i="5"/>
  <c r="E12" i="5"/>
  <c r="D12" i="5"/>
  <c r="C11" i="5"/>
  <c r="E10" i="5"/>
  <c r="D10" i="5"/>
  <c r="C9" i="5"/>
  <c r="E8" i="5"/>
  <c r="D8" i="5"/>
  <c r="A8" i="5"/>
  <c r="A10" i="5"/>
  <c r="A12" i="5"/>
  <c r="A17" i="5"/>
  <c r="A20" i="5"/>
  <c r="A23" i="5"/>
  <c r="A26" i="5"/>
  <c r="C7" i="5"/>
  <c r="E4" i="5"/>
  <c r="D4" i="5"/>
  <c r="D27" i="5"/>
  <c r="B4" i="5"/>
  <c r="D4" i="4"/>
  <c r="D9" i="4"/>
  <c r="D8" i="4"/>
  <c r="N17" i="1"/>
  <c r="O17" i="1"/>
  <c r="O20" i="3"/>
  <c r="N20" i="3"/>
  <c r="O17" i="2"/>
  <c r="N17" i="2"/>
  <c r="K17" i="1"/>
  <c r="J6" i="3"/>
  <c r="K6" i="3"/>
  <c r="J19" i="3"/>
  <c r="K19" i="3"/>
  <c r="J18" i="3"/>
  <c r="K18" i="3"/>
  <c r="J16" i="3"/>
  <c r="K16" i="3"/>
  <c r="J15" i="3"/>
  <c r="K15" i="3"/>
  <c r="J14" i="3"/>
  <c r="K14" i="3"/>
  <c r="J13" i="3"/>
  <c r="K13" i="3"/>
  <c r="J8" i="3"/>
  <c r="K8" i="3"/>
  <c r="J7" i="3"/>
  <c r="K7" i="3"/>
  <c r="J5" i="3"/>
  <c r="K5" i="3"/>
  <c r="J4" i="3"/>
  <c r="K4" i="3"/>
  <c r="J3" i="3"/>
  <c r="K3" i="3"/>
  <c r="J2" i="3"/>
  <c r="K2" i="3"/>
  <c r="C10" i="6"/>
  <c r="C7" i="6"/>
  <c r="F7" i="6"/>
  <c r="C12" i="6"/>
  <c r="C14" i="6"/>
  <c r="F14" i="6"/>
  <c r="C6" i="6"/>
  <c r="F6" i="6"/>
  <c r="C8" i="6"/>
  <c r="F8" i="6"/>
  <c r="F10" i="6"/>
  <c r="F12" i="6"/>
  <c r="C11" i="6"/>
  <c r="B16" i="6"/>
  <c r="C5" i="6"/>
  <c r="C13" i="6"/>
  <c r="C15" i="6"/>
  <c r="C9" i="6"/>
  <c r="E9" i="5"/>
  <c r="D7" i="5"/>
  <c r="E24" i="5"/>
  <c r="E7" i="5"/>
  <c r="E27" i="5"/>
  <c r="E13" i="5"/>
  <c r="D21" i="5"/>
  <c r="D11" i="5"/>
  <c r="E21" i="5"/>
  <c r="D13" i="5"/>
  <c r="E11" i="5"/>
  <c r="D18" i="5"/>
  <c r="D9" i="5"/>
  <c r="C15" i="5"/>
  <c r="C29" i="5"/>
  <c r="E18" i="5"/>
  <c r="D24" i="5"/>
  <c r="D7" i="4"/>
  <c r="D5" i="4"/>
  <c r="D6" i="4"/>
  <c r="J17" i="3"/>
  <c r="K17" i="3"/>
  <c r="J9" i="3"/>
  <c r="K9" i="3"/>
  <c r="K20" i="3"/>
  <c r="J11" i="3"/>
  <c r="K11" i="3"/>
  <c r="J12" i="3"/>
  <c r="K12" i="3"/>
  <c r="J10" i="3"/>
  <c r="K10" i="3"/>
  <c r="F15" i="6"/>
  <c r="C16" i="6"/>
  <c r="F5" i="6"/>
  <c r="F13" i="6"/>
  <c r="F11" i="6"/>
  <c r="F9" i="6"/>
  <c r="E15" i="5"/>
  <c r="E29" i="5"/>
  <c r="E30" i="5"/>
  <c r="D15" i="5"/>
  <c r="D29" i="5"/>
  <c r="D30" i="5"/>
  <c r="K16" i="1"/>
  <c r="J16" i="1"/>
  <c r="J15" i="1"/>
  <c r="K15" i="1"/>
  <c r="K14" i="1"/>
  <c r="J14" i="1"/>
  <c r="J13" i="1"/>
  <c r="K13" i="1"/>
  <c r="J12" i="1"/>
  <c r="K12" i="1"/>
  <c r="J11" i="1"/>
  <c r="K11" i="1"/>
  <c r="K10" i="1"/>
  <c r="J10" i="1"/>
  <c r="J9" i="1"/>
  <c r="K9" i="1"/>
  <c r="K8" i="1"/>
  <c r="J8" i="1"/>
  <c r="J7" i="1"/>
  <c r="K7" i="1"/>
  <c r="J5" i="1"/>
  <c r="K5" i="1"/>
  <c r="J4" i="1"/>
  <c r="K4" i="1"/>
  <c r="K3" i="1"/>
  <c r="J3" i="1"/>
  <c r="J2" i="1"/>
  <c r="K2" i="1"/>
  <c r="F16" i="6"/>
  <c r="J16" i="2"/>
  <c r="K16" i="2"/>
  <c r="J15" i="2"/>
  <c r="K15" i="2"/>
  <c r="J14" i="2"/>
  <c r="K14" i="2"/>
  <c r="J13" i="2"/>
  <c r="K13" i="2"/>
  <c r="J12" i="2"/>
  <c r="K12" i="2"/>
  <c r="J11" i="2"/>
  <c r="K11" i="2"/>
  <c r="J9" i="2"/>
  <c r="K9" i="2"/>
  <c r="J8" i="2"/>
  <c r="K8" i="2"/>
  <c r="J7" i="2"/>
  <c r="K7" i="2"/>
  <c r="K6" i="2"/>
  <c r="J5" i="2"/>
  <c r="K5" i="2"/>
  <c r="J4" i="2"/>
  <c r="K4" i="2"/>
  <c r="J3" i="2"/>
  <c r="K3" i="2"/>
  <c r="J2" i="2"/>
  <c r="K2" i="2"/>
  <c r="K17" i="2"/>
  <c r="J10" i="2"/>
  <c r="K10" i="2"/>
</calcChain>
</file>

<file path=xl/sharedStrings.xml><?xml version="1.0" encoding="utf-8"?>
<sst xmlns="http://schemas.openxmlformats.org/spreadsheetml/2006/main" count="258" uniqueCount="110">
  <si>
    <t>OPCO</t>
  </si>
  <si>
    <t xml:space="preserve">Metric </t>
  </si>
  <si>
    <t>Metric Weight</t>
  </si>
  <si>
    <t>0.0 Target</t>
  </si>
  <si>
    <t>1.0 Target</t>
  </si>
  <si>
    <t>1.5 Target</t>
  </si>
  <si>
    <t>2.0 Target</t>
  </si>
  <si>
    <t>Safety &amp; Compliance</t>
  </si>
  <si>
    <t>Serious Injury &amp; Fatality (SIF) Event Sharing</t>
  </si>
  <si>
    <t>Employee Targeted CORE visit Assessment</t>
  </si>
  <si>
    <t>Contractor Targeted CORE visit Assessment</t>
  </si>
  <si>
    <t>Targeted CORE visit Assessment Effectiveness</t>
  </si>
  <si>
    <t>Zero Harm Modifier</t>
  </si>
  <si>
    <t>Workplace Culture</t>
  </si>
  <si>
    <t>Employee Voice Survey Participation</t>
  </si>
  <si>
    <t>Affordability</t>
  </si>
  <si>
    <t>Medallia JD Power Blend</t>
  </si>
  <si>
    <t>LIHEAP</t>
  </si>
  <si>
    <t>Business Performance</t>
  </si>
  <si>
    <t>Operating Earnings</t>
  </si>
  <si>
    <t>ROE</t>
  </si>
  <si>
    <t>Operations</t>
  </si>
  <si>
    <t>SAIDI</t>
  </si>
  <si>
    <t>Big Data/Technology Initiative</t>
  </si>
  <si>
    <t>Reliability Workplans</t>
  </si>
  <si>
    <t>Invoice Processing</t>
  </si>
  <si>
    <t>Forestry Management Optimization</t>
  </si>
  <si>
    <t>Generation</t>
  </si>
  <si>
    <t>Environmental Event Reduction</t>
  </si>
  <si>
    <t>Workforce &amp; Culture</t>
  </si>
  <si>
    <t>FutureGen O&amp;M ($M)</t>
  </si>
  <si>
    <t>FutureGen Overall ($M)</t>
  </si>
  <si>
    <t>Operating Earnings ($M)</t>
  </si>
  <si>
    <t>Return on Equity</t>
  </si>
  <si>
    <t>EFORd</t>
  </si>
  <si>
    <t>EFORv</t>
  </si>
  <si>
    <t>Zero Emission Dispatchable Gen Mix</t>
  </si>
  <si>
    <t>Small Modular Reactor FEED Study</t>
  </si>
  <si>
    <t>NERC Cold Weather Compliance</t>
  </si>
  <si>
    <t xml:space="preserve"> </t>
  </si>
  <si>
    <t>Kentucky</t>
  </si>
  <si>
    <t>Energy Delivery</t>
  </si>
  <si>
    <t>NERC Compliance Improvement</t>
  </si>
  <si>
    <t>Workforce</t>
  </si>
  <si>
    <t>AEPTHC Earnings ($M)</t>
  </si>
  <si>
    <t>Plant in Service</t>
  </si>
  <si>
    <t>Real Time Operations</t>
  </si>
  <si>
    <t>FAC 008 Rating Audit Response and Improvement</t>
  </si>
  <si>
    <t>TRIND Score Improvement</t>
  </si>
  <si>
    <t>DEM with Break and Fix Capital</t>
  </si>
  <si>
    <t>Identify Efficiency Opportunities</t>
  </si>
  <si>
    <t>Category</t>
  </si>
  <si>
    <t>2024 Metric Score</t>
  </si>
  <si>
    <t>2024 ICP Score</t>
  </si>
  <si>
    <t>2024 Weighted ICP Score</t>
  </si>
  <si>
    <t>AOPS</t>
  </si>
  <si>
    <t>Funding Score</t>
  </si>
  <si>
    <t>Overall Score</t>
  </si>
  <si>
    <t>Modifier</t>
  </si>
  <si>
    <t>Business Unit</t>
  </si>
  <si>
    <t>YE ICP Performance Score</t>
  </si>
  <si>
    <t>ICP Award Factor</t>
  </si>
  <si>
    <t xml:space="preserve">APCO </t>
  </si>
  <si>
    <r>
      <t xml:space="preserve">KY </t>
    </r>
    <r>
      <rPr>
        <sz val="8"/>
        <color indexed="10"/>
        <rFont val="Arial"/>
        <family val="2"/>
      </rPr>
      <t/>
    </r>
  </si>
  <si>
    <r>
      <t>Corporate / Staff Groups</t>
    </r>
    <r>
      <rPr>
        <sz val="9"/>
        <rFont val="Arial"/>
        <family val="2"/>
      </rPr>
      <t xml:space="preserve"> (performance score = AOPS)</t>
    </r>
  </si>
  <si>
    <t xml:space="preserve">Executive Council </t>
  </si>
  <si>
    <t>N/A</t>
  </si>
  <si>
    <t>2024 Business Unit ICP Performance Scores</t>
  </si>
  <si>
    <t>Weight</t>
  </si>
  <si>
    <r>
      <t xml:space="preserve">YTD
</t>
    </r>
    <r>
      <rPr>
        <sz val="8"/>
        <rFont val="Arial"/>
        <family val="2"/>
      </rPr>
      <t>Performance</t>
    </r>
  </si>
  <si>
    <t>Yr-End</t>
  </si>
  <si>
    <t>Safety Measures</t>
  </si>
  <si>
    <t>Proactive Safety Measures (Decrease in CORE Visits with 0 LO)</t>
  </si>
  <si>
    <t>Compliance</t>
  </si>
  <si>
    <t>NERC Compliance</t>
  </si>
  <si>
    <t>Federal Assistance Funding Participation</t>
  </si>
  <si>
    <t>Reliability</t>
  </si>
  <si>
    <t>Quality of Service: SAIDI</t>
  </si>
  <si>
    <t>Engagement</t>
  </si>
  <si>
    <t>Employee Engagement &amp; Inclusion</t>
  </si>
  <si>
    <t>Management Discretion</t>
  </si>
  <si>
    <t>Non EPS Portion</t>
  </si>
  <si>
    <t xml:space="preserve"> Proactive Safety Measures CORE Visits Effectiveness Reviews</t>
  </si>
  <si>
    <t>Proactive Safety Measures (Leadership Engagement)</t>
  </si>
  <si>
    <t>Proactive Safety Measures (Increase in % of Comments Documented)</t>
  </si>
  <si>
    <t>Employee and Contractor Proactive Safety Measures CORE Visits Effectiveness Reviews (after Zero Harm Modifier)</t>
  </si>
  <si>
    <t>Proactive Safety Measures (Increase in % of Comments Documented) (after Zero Harm Modifier)</t>
  </si>
  <si>
    <t>Proactive Safety Measures (Decrease in CORE Visits with 0 LO) (after Zero Harm Modifier)</t>
  </si>
  <si>
    <t>Proactive Safety Measures (Leadership Engagement) (after Zero Harm Modifier)</t>
  </si>
  <si>
    <t>Executive Council / Funding Factor</t>
  </si>
  <si>
    <t>Executive Counsel and Funding Performance Measure Details</t>
  </si>
  <si>
    <t>AOPS Weight</t>
  </si>
  <si>
    <t>Year End</t>
  </si>
  <si>
    <t>Performance Score</t>
  </si>
  <si>
    <t>AOPS Weighted Score</t>
  </si>
  <si>
    <t>"Weight" is the incentive target weighted average of the business unit (non-EC) plans.</t>
  </si>
  <si>
    <t>"AOPS Weight" is the incentive target weighted average of the business unit (non-EC) plans not on the AOPS plan.</t>
  </si>
  <si>
    <t>2024 Average Operating Performance Score (AOPS)</t>
  </si>
  <si>
    <t>Weighted Average Operating Performance Score and Corp / Staff Score</t>
  </si>
  <si>
    <t>Incentive Group 1</t>
  </si>
  <si>
    <t>Incentive Group 2</t>
  </si>
  <si>
    <t>Incentive Group 3</t>
  </si>
  <si>
    <t>Incentive Group 4</t>
  </si>
  <si>
    <t>Incentive Group 5</t>
  </si>
  <si>
    <t>Incentive Group 6</t>
  </si>
  <si>
    <t>Incentive Group 7</t>
  </si>
  <si>
    <t>Incentive Group 8</t>
  </si>
  <si>
    <t>Incentive Group 9</t>
  </si>
  <si>
    <t>Incentive Group 10</t>
  </si>
  <si>
    <t>Incentive Group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</si>
</sst>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0.000"/>
    <numFmt numFmtId="167" formatCode="#,##0.000_);[Red]\(#,##0.000\)"/>
    <numFmt numFmtId="168" formatCode="_(* #,##0_);_(* \(#,##0\);_(* &quot;-&quot;??_);_(@_)"/>
    <numFmt numFmtId="169" formatCode="0.000%"/>
    <numFmt numFmtId="170" formatCode="#,##0.0000_);[Red]\(#,##0.0000\)"/>
    <numFmt numFmtId="171" formatCode="#,##0.000"/>
    <numFmt numFmtId="172" formatCode="&quot;$&quot;#,##0"/>
    <numFmt numFmtId="173" formatCode="_(* #,##0.000000000_);_(* \(#,##0.000000000\);_(* &quot;-&quot;??_);_(@_)"/>
    <numFmt numFmtId="174" formatCode="[$-409]mmmm\-yy;@"/>
    <numFmt numFmtId="175" formatCode="_(* #,##0.0000_);_(* \(#,##0.00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indexed="12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9"/>
      <color indexed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42">
    <xf numFmtId="0" fontId="0" fillId="0" borderId="0" xfId="0"/>
    <xf numFmtId="9" fontId="3" fillId="0" borderId="0" xfId="2" applyFont="1" applyFill="1"/>
    <xf numFmtId="10" fontId="3" fillId="0" borderId="0" xfId="2" applyNumberFormat="1" applyFont="1" applyFill="1"/>
    <xf numFmtId="0" fontId="2" fillId="0" borderId="0" xfId="0" applyFont="1" applyFill="1"/>
    <xf numFmtId="0" fontId="0" fillId="0" borderId="0" xfId="0" applyFill="1"/>
    <xf numFmtId="164" fontId="0" fillId="0" borderId="0" xfId="2" applyNumberFormat="1" applyFont="1" applyFill="1" applyBorder="1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 applyProtection="1">
      <protection hidden="1"/>
    </xf>
    <xf numFmtId="43" fontId="0" fillId="0" borderId="0" xfId="1" applyFont="1" applyFill="1" applyBorder="1"/>
    <xf numFmtId="165" fontId="3" fillId="0" borderId="0" xfId="1" applyNumberFormat="1" applyFont="1" applyFill="1" applyBorder="1"/>
    <xf numFmtId="9" fontId="0" fillId="0" borderId="0" xfId="2" applyFont="1" applyFill="1" applyBorder="1"/>
    <xf numFmtId="9" fontId="0" fillId="0" borderId="0" xfId="1" applyNumberFormat="1" applyFont="1" applyFill="1" applyBorder="1"/>
    <xf numFmtId="10" fontId="0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>
      <alignment horizontal="right"/>
    </xf>
    <xf numFmtId="2" fontId="0" fillId="0" borderId="0" xfId="0" applyNumberFormat="1" applyFill="1"/>
    <xf numFmtId="9" fontId="0" fillId="0" borderId="0" xfId="0" applyNumberFormat="1" applyFill="1"/>
    <xf numFmtId="40" fontId="3" fillId="0" borderId="0" xfId="0" applyNumberFormat="1" applyFont="1" applyFill="1"/>
    <xf numFmtId="167" fontId="3" fillId="0" borderId="0" xfId="0" applyNumberFormat="1" applyFont="1" applyFill="1"/>
    <xf numFmtId="167" fontId="0" fillId="0" borderId="0" xfId="0" applyNumberFormat="1" applyFill="1"/>
    <xf numFmtId="168" fontId="3" fillId="0" borderId="0" xfId="1" applyNumberFormat="1" applyFont="1" applyFill="1"/>
    <xf numFmtId="168" fontId="3" fillId="0" borderId="0" xfId="0" applyNumberFormat="1" applyFont="1" applyFill="1"/>
    <xf numFmtId="43" fontId="3" fillId="0" borderId="0" xfId="1" applyFont="1" applyFill="1"/>
    <xf numFmtId="164" fontId="3" fillId="0" borderId="0" xfId="2" applyNumberFormat="1" applyFont="1" applyFill="1"/>
    <xf numFmtId="166" fontId="0" fillId="0" borderId="0" xfId="1" applyNumberFormat="1" applyFont="1" applyFill="1" applyBorder="1" applyAlignment="1" applyProtection="1">
      <protection hidden="1"/>
    </xf>
    <xf numFmtId="0" fontId="2" fillId="0" borderId="0" xfId="0" applyFont="1" applyFill="1" applyBorder="1"/>
    <xf numFmtId="0" fontId="0" fillId="0" borderId="0" xfId="0" applyFill="1" applyBorder="1"/>
    <xf numFmtId="167" fontId="0" fillId="0" borderId="0" xfId="0" applyNumberFormat="1" applyFill="1" applyBorder="1"/>
    <xf numFmtId="166" fontId="0" fillId="0" borderId="0" xfId="0" applyNumberFormat="1" applyFill="1" applyBorder="1"/>
    <xf numFmtId="167" fontId="3" fillId="0" borderId="0" xfId="0" applyNumberFormat="1" applyFont="1" applyFill="1" applyBorder="1"/>
    <xf numFmtId="10" fontId="3" fillId="0" borderId="0" xfId="2" applyNumberFormat="1" applyFont="1" applyFill="1" applyBorder="1"/>
    <xf numFmtId="166" fontId="3" fillId="0" borderId="0" xfId="2" applyNumberFormat="1" applyFont="1" applyFill="1" applyBorder="1"/>
    <xf numFmtId="4" fontId="0" fillId="0" borderId="0" xfId="0" applyNumberFormat="1" applyFill="1" applyBorder="1"/>
    <xf numFmtId="166" fontId="1" fillId="0" borderId="0" xfId="1" applyNumberFormat="1" applyFont="1" applyFill="1" applyBorder="1"/>
    <xf numFmtId="9" fontId="1" fillId="0" borderId="0" xfId="0" applyNumberFormat="1" applyFont="1" applyFill="1"/>
    <xf numFmtId="9" fontId="1" fillId="0" borderId="0" xfId="2" applyFont="1" applyFill="1" applyBorder="1"/>
    <xf numFmtId="43" fontId="1" fillId="0" borderId="0" xfId="1" applyFont="1" applyFill="1" applyBorder="1"/>
    <xf numFmtId="10" fontId="1" fillId="0" borderId="0" xfId="2" applyNumberFormat="1" applyFont="1" applyFill="1" applyBorder="1"/>
    <xf numFmtId="166" fontId="1" fillId="0" borderId="0" xfId="0" applyNumberFormat="1" applyFont="1" applyFill="1"/>
    <xf numFmtId="2" fontId="1" fillId="0" borderId="0" xfId="0" applyNumberFormat="1" applyFont="1" applyFill="1"/>
    <xf numFmtId="2" fontId="1" fillId="0" borderId="0" xfId="1" applyNumberFormat="1" applyFont="1" applyFill="1" applyBorder="1"/>
    <xf numFmtId="167" fontId="0" fillId="0" borderId="0" xfId="0" applyNumberFormat="1" applyFont="1" applyFill="1"/>
    <xf numFmtId="9" fontId="0" fillId="0" borderId="0" xfId="2" applyFont="1" applyFill="1"/>
    <xf numFmtId="38" fontId="0" fillId="0" borderId="0" xfId="0" applyNumberFormat="1" applyFont="1" applyFill="1"/>
    <xf numFmtId="43" fontId="0" fillId="0" borderId="0" xfId="1" applyFont="1" applyFill="1"/>
    <xf numFmtId="10" fontId="0" fillId="0" borderId="0" xfId="1" applyNumberFormat="1" applyFont="1" applyFill="1"/>
    <xf numFmtId="10" fontId="0" fillId="0" borderId="0" xfId="2" applyNumberFormat="1" applyFont="1" applyFill="1"/>
    <xf numFmtId="167" fontId="0" fillId="0" borderId="0" xfId="0" applyNumberFormat="1" applyFont="1" applyFill="1" applyBorder="1"/>
    <xf numFmtId="169" fontId="0" fillId="0" borderId="0" xfId="2" applyNumberFormat="1" applyFont="1" applyFill="1" applyBorder="1"/>
    <xf numFmtId="40" fontId="0" fillId="0" borderId="0" xfId="0" applyNumberFormat="1" applyFont="1" applyFill="1" applyBorder="1"/>
    <xf numFmtId="170" fontId="0" fillId="0" borderId="0" xfId="0" applyNumberFormat="1" applyFont="1" applyFill="1" applyBorder="1"/>
    <xf numFmtId="164" fontId="2" fillId="0" borderId="0" xfId="2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5" fontId="2" fillId="0" borderId="0" xfId="1" applyNumberFormat="1" applyFont="1" applyFill="1" applyBorder="1" applyAlignment="1">
      <alignment horizontal="center" wrapText="1"/>
    </xf>
    <xf numFmtId="165" fontId="0" fillId="0" borderId="0" xfId="0" applyNumberFormat="1" applyFill="1"/>
    <xf numFmtId="166" fontId="4" fillId="0" borderId="0" xfId="0" applyNumberFormat="1" applyFont="1" applyFill="1" applyBorder="1"/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6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168" fontId="6" fillId="0" borderId="0" xfId="1" applyNumberFormat="1" applyFont="1" applyAlignment="1">
      <alignment vertical="center"/>
    </xf>
    <xf numFmtId="0" fontId="6" fillId="0" borderId="0" xfId="0" applyFont="1"/>
    <xf numFmtId="166" fontId="9" fillId="0" borderId="0" xfId="0" applyNumberFormat="1" applyFont="1"/>
    <xf numFmtId="171" fontId="9" fillId="0" borderId="0" xfId="0" applyNumberFormat="1" applyFont="1" applyAlignment="1">
      <alignment horizontal="center" vertical="center"/>
    </xf>
    <xf numFmtId="172" fontId="6" fillId="0" borderId="0" xfId="0" quotePrefix="1" applyNumberFormat="1" applyFont="1" applyAlignment="1">
      <alignment horizontal="left" vertical="center"/>
    </xf>
    <xf numFmtId="173" fontId="6" fillId="0" borderId="0" xfId="1" quotePrefix="1" applyNumberFormat="1" applyFont="1" applyAlignment="1">
      <alignment horizontal="left" vertical="center"/>
    </xf>
    <xf numFmtId="10" fontId="13" fillId="0" borderId="0" xfId="0" applyNumberFormat="1" applyFont="1" applyAlignment="1">
      <alignment horizontal="center" vertical="center"/>
    </xf>
    <xf numFmtId="172" fontId="6" fillId="0" borderId="0" xfId="0" applyNumberFormat="1" applyFont="1" applyAlignment="1">
      <alignment horizontal="left" vertical="center"/>
    </xf>
    <xf numFmtId="171" fontId="9" fillId="0" borderId="0" xfId="0" applyNumberFormat="1" applyFont="1" applyAlignment="1">
      <alignment horizontal="center"/>
    </xf>
    <xf numFmtId="166" fontId="14" fillId="0" borderId="2" xfId="0" applyNumberFormat="1" applyFont="1" applyBorder="1" applyAlignment="1">
      <alignment horizontal="center" vertical="center"/>
    </xf>
    <xf numFmtId="171" fontId="14" fillId="0" borderId="2" xfId="0" applyNumberFormat="1" applyFont="1" applyBorder="1" applyAlignment="1">
      <alignment horizontal="center" vertical="center"/>
    </xf>
    <xf numFmtId="0" fontId="6" fillId="0" borderId="0" xfId="3"/>
    <xf numFmtId="0" fontId="16" fillId="0" borderId="0" xfId="3" applyFont="1" applyAlignment="1">
      <alignment vertical="center"/>
    </xf>
    <xf numFmtId="0" fontId="6" fillId="0" borderId="0" xfId="3" applyAlignment="1">
      <alignment vertical="center"/>
    </xf>
    <xf numFmtId="0" fontId="17" fillId="0" borderId="0" xfId="3" applyFont="1" applyAlignment="1">
      <alignment horizontal="left" vertical="center"/>
    </xf>
    <xf numFmtId="0" fontId="18" fillId="0" borderId="1" xfId="3" applyFont="1" applyBorder="1" applyAlignment="1">
      <alignment horizontal="left" vertical="center"/>
    </xf>
    <xf numFmtId="164" fontId="18" fillId="0" borderId="9" xfId="3" applyNumberFormat="1" applyFont="1" applyBorder="1" applyAlignment="1">
      <alignment horizontal="left" vertical="center"/>
    </xf>
    <xf numFmtId="171" fontId="18" fillId="0" borderId="9" xfId="3" applyNumberFormat="1" applyFont="1" applyBorder="1" applyAlignment="1">
      <alignment horizontal="left" vertical="center"/>
    </xf>
    <xf numFmtId="0" fontId="18" fillId="0" borderId="3" xfId="3" applyFont="1" applyBorder="1" applyAlignment="1">
      <alignment horizontal="left" vertical="center"/>
    </xf>
    <xf numFmtId="0" fontId="6" fillId="0" borderId="0" xfId="3" applyAlignment="1">
      <alignment horizontal="center" vertical="center"/>
    </xf>
    <xf numFmtId="0" fontId="18" fillId="2" borderId="1" xfId="3" applyFont="1" applyFill="1" applyBorder="1" applyAlignment="1">
      <alignment horizontal="left" vertical="center"/>
    </xf>
    <xf numFmtId="164" fontId="8" fillId="2" borderId="2" xfId="3" applyNumberFormat="1" applyFont="1" applyFill="1" applyBorder="1" applyAlignment="1">
      <alignment horizontal="center" vertical="center"/>
    </xf>
    <xf numFmtId="171" fontId="19" fillId="2" borderId="2" xfId="3" applyNumberFormat="1" applyFont="1" applyFill="1" applyBorder="1" applyAlignment="1">
      <alignment horizontal="center" vertical="center"/>
    </xf>
    <xf numFmtId="0" fontId="18" fillId="0" borderId="10" xfId="3" applyFont="1" applyBorder="1" applyAlignment="1">
      <alignment horizontal="left" vertical="center"/>
    </xf>
    <xf numFmtId="43" fontId="19" fillId="0" borderId="10" xfId="1" applyFont="1" applyFill="1" applyBorder="1" applyAlignment="1">
      <alignment horizontal="center" vertical="center"/>
    </xf>
    <xf numFmtId="0" fontId="18" fillId="4" borderId="0" xfId="3" applyFont="1" applyFill="1" applyAlignment="1">
      <alignment horizontal="left" vertical="center"/>
    </xf>
    <xf numFmtId="0" fontId="6" fillId="4" borderId="0" xfId="3" applyFill="1" applyAlignment="1">
      <alignment vertical="center"/>
    </xf>
    <xf numFmtId="165" fontId="19" fillId="4" borderId="0" xfId="1" applyNumberFormat="1" applyFont="1" applyFill="1" applyBorder="1" applyAlignment="1">
      <alignment horizontal="center" vertical="center"/>
    </xf>
    <xf numFmtId="174" fontId="21" fillId="0" borderId="0" xfId="3" applyNumberFormat="1" applyFont="1" applyAlignment="1">
      <alignment horizontal="center"/>
    </xf>
    <xf numFmtId="175" fontId="21" fillId="0" borderId="0" xfId="1" applyNumberFormat="1" applyFont="1" applyFill="1" applyBorder="1" applyAlignment="1">
      <alignment horizontal="center"/>
    </xf>
    <xf numFmtId="0" fontId="18" fillId="0" borderId="2" xfId="3" applyFont="1" applyFill="1" applyBorder="1" applyAlignment="1">
      <alignment horizontal="centerContinuous" vertical="center"/>
    </xf>
    <xf numFmtId="0" fontId="18" fillId="0" borderId="2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left" vertical="center" indent="1"/>
    </xf>
    <xf numFmtId="164" fontId="6" fillId="2" borderId="7" xfId="3" applyNumberFormat="1" applyFill="1" applyBorder="1" applyAlignment="1">
      <alignment horizontal="center" vertical="center"/>
    </xf>
    <xf numFmtId="171" fontId="20" fillId="2" borderId="2" xfId="3" applyNumberFormat="1" applyFont="1" applyFill="1" applyBorder="1" applyAlignment="1">
      <alignment horizontal="center" vertical="center"/>
    </xf>
    <xf numFmtId="164" fontId="6" fillId="2" borderId="2" xfId="3" quotePrefix="1" applyNumberForma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left" vertical="center" indent="1"/>
    </xf>
    <xf numFmtId="0" fontId="9" fillId="0" borderId="0" xfId="3" applyFont="1"/>
    <xf numFmtId="0" fontId="11" fillId="0" borderId="2" xfId="3" applyFont="1" applyBorder="1" applyAlignment="1">
      <alignment horizontal="center" vertical="center"/>
    </xf>
    <xf numFmtId="0" fontId="11" fillId="0" borderId="0" xfId="3" applyFont="1" applyAlignment="1">
      <alignment horizontal="left" vertical="center" indent="1"/>
    </xf>
    <xf numFmtId="164" fontId="11" fillId="0" borderId="0" xfId="3" applyNumberFormat="1" applyFont="1" applyAlignment="1">
      <alignment horizontal="center"/>
    </xf>
    <xf numFmtId="164" fontId="6" fillId="0" borderId="0" xfId="3" applyNumberFormat="1"/>
    <xf numFmtId="164" fontId="18" fillId="0" borderId="0" xfId="3" applyNumberFormat="1" applyFont="1" applyFill="1" applyAlignment="1">
      <alignment horizontal="center" vertical="center" wrapText="1"/>
    </xf>
    <xf numFmtId="0" fontId="11" fillId="0" borderId="2" xfId="3" applyFont="1" applyBorder="1" applyAlignment="1">
      <alignment horizontal="left" vertical="center" indent="2"/>
    </xf>
    <xf numFmtId="169" fontId="11" fillId="0" borderId="2" xfId="2" applyNumberFormat="1" applyFont="1" applyFill="1" applyBorder="1" applyAlignment="1">
      <alignment horizontal="center" vertical="center"/>
    </xf>
    <xf numFmtId="169" fontId="11" fillId="0" borderId="2" xfId="2" applyNumberFormat="1" applyFont="1" applyBorder="1" applyAlignment="1">
      <alignment horizontal="center" vertical="center"/>
    </xf>
    <xf numFmtId="164" fontId="18" fillId="0" borderId="2" xfId="3" applyNumberFormat="1" applyFont="1" applyBorder="1" applyAlignment="1">
      <alignment horizontal="center" vertical="center"/>
    </xf>
    <xf numFmtId="166" fontId="22" fillId="0" borderId="2" xfId="3" applyNumberFormat="1" applyFont="1" applyBorder="1" applyAlignment="1">
      <alignment horizontal="center" vertical="center"/>
    </xf>
    <xf numFmtId="166" fontId="11" fillId="0" borderId="2" xfId="3" applyNumberFormat="1" applyFont="1" applyBorder="1" applyAlignment="1">
      <alignment horizontal="center" vertical="center"/>
    </xf>
    <xf numFmtId="164" fontId="11" fillId="0" borderId="2" xfId="3" applyNumberFormat="1" applyFont="1" applyBorder="1" applyAlignment="1">
      <alignment vertical="center"/>
    </xf>
    <xf numFmtId="166" fontId="23" fillId="3" borderId="2" xfId="3" applyNumberFormat="1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left" vertical="center" indent="1"/>
    </xf>
    <xf numFmtId="169" fontId="18" fillId="0" borderId="2" xfId="3" applyNumberFormat="1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/>
    </xf>
    <xf numFmtId="164" fontId="8" fillId="0" borderId="2" xfId="3" applyNumberFormat="1" applyFont="1" applyFill="1" applyBorder="1" applyAlignment="1">
      <alignment horizontal="center" vertical="center"/>
    </xf>
    <xf numFmtId="171" fontId="19" fillId="0" borderId="2" xfId="3" applyNumberFormat="1" applyFont="1" applyFill="1" applyBorder="1" applyAlignment="1">
      <alignment horizontal="center" vertical="center"/>
    </xf>
    <xf numFmtId="164" fontId="18" fillId="0" borderId="9" xfId="3" applyNumberFormat="1" applyFont="1" applyFill="1" applyBorder="1" applyAlignment="1">
      <alignment horizontal="left" vertical="center"/>
    </xf>
    <xf numFmtId="171" fontId="18" fillId="0" borderId="9" xfId="3" applyNumberFormat="1" applyFont="1" applyFill="1" applyBorder="1" applyAlignment="1">
      <alignment horizontal="left" vertical="center"/>
    </xf>
    <xf numFmtId="0" fontId="18" fillId="0" borderId="3" xfId="3" applyFont="1" applyFill="1" applyBorder="1" applyAlignment="1">
      <alignment horizontal="left" vertical="center"/>
    </xf>
    <xf numFmtId="0" fontId="11" fillId="0" borderId="8" xfId="3" applyFont="1" applyFill="1" applyBorder="1" applyAlignment="1">
      <alignment horizontal="left" vertical="center" wrapText="1" indent="1"/>
    </xf>
    <xf numFmtId="164" fontId="6" fillId="0" borderId="7" xfId="3" applyNumberFormat="1" applyFill="1" applyBorder="1" applyAlignment="1">
      <alignment horizontal="center" vertical="center"/>
    </xf>
    <xf numFmtId="171" fontId="20" fillId="0" borderId="2" xfId="3" applyNumberFormat="1" applyFont="1" applyFill="1" applyBorder="1" applyAlignment="1">
      <alignment horizontal="center" vertical="center"/>
    </xf>
    <xf numFmtId="164" fontId="8" fillId="0" borderId="2" xfId="3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164" fontId="18" fillId="0" borderId="6" xfId="3" applyNumberFormat="1" applyFont="1" applyFill="1" applyBorder="1" applyAlignment="1">
      <alignment horizontal="center" vertical="center" wrapText="1"/>
    </xf>
    <xf numFmtId="164" fontId="18" fillId="0" borderId="11" xfId="3" applyNumberFormat="1" applyFont="1" applyFill="1" applyBorder="1" applyAlignment="1">
      <alignment horizontal="center" vertical="center" wrapText="1"/>
    </xf>
    <xf numFmtId="164" fontId="18" fillId="0" borderId="4" xfId="3" applyNumberFormat="1" applyFont="1" applyFill="1" applyBorder="1" applyAlignment="1">
      <alignment horizontal="center" vertical="center" wrapText="1"/>
    </xf>
    <xf numFmtId="164" fontId="18" fillId="0" borderId="5" xfId="3" applyNumberFormat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left" vertical="center" indent="1"/>
    </xf>
    <xf numFmtId="164" fontId="6" fillId="0" borderId="2" xfId="3" quotePrefix="1" applyNumberForma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Composite Score 2012 Template" xfId="3" xr:uid="{FA41EF71-CEB9-430E-8A42-12E4157771EF}"/>
    <cellStyle name="Percent" xfId="2" builtinId="5"/>
  </cellStyles>
  <dxfs count="6"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HR_Rate_Cases\Employee%20Benefits\Compensation%20and%20Other%20Topics\KY\2025\Discovery\KUIC\KPCO_R_KPSC_1_30_PublicAttachment3.xlsx" TargetMode="External"/><Relationship Id="rId1" Type="http://schemas.openxmlformats.org/officeDocument/2006/relationships/externalLinkPath" Target="KPCO_R_KPSC_1_30_PublicAttachmen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 ICP Scorecard"/>
      <sheetName val="Inputs"/>
      <sheetName val="Contents"/>
      <sheetName val="AOPS"/>
      <sheetName val="EPS"/>
      <sheetName val="2019 Cash Flow Estimate"/>
      <sheetName val="2019"/>
      <sheetName val="HR Master 11.3.22 OLD"/>
      <sheetName val="NOT UPDATED -&gt;"/>
      <sheetName val="Safety"/>
      <sheetName val="Diverse Rev OLD"/>
      <sheetName val="Contract Renewables"/>
      <sheetName val="NERC"/>
      <sheetName val="SAIDI"/>
      <sheetName val="Engagement"/>
      <sheetName val="Fed Assistance"/>
      <sheetName val="BU Input---&gt;"/>
      <sheetName val="Opcos"/>
      <sheetName val="Gen"/>
      <sheetName val="Energy Delivery"/>
    </sheetNames>
    <sheetDataSet>
      <sheetData sheetId="0">
        <row r="5">
          <cell r="C5">
            <v>6.0922694335303784E-2</v>
          </cell>
        </row>
        <row r="6">
          <cell r="C6">
            <v>4.3316144817241053E-2</v>
          </cell>
        </row>
        <row r="7">
          <cell r="C7">
            <v>2.8940841389400958E-2</v>
          </cell>
        </row>
        <row r="8">
          <cell r="C8">
            <v>1.0753222564960616E-2</v>
          </cell>
        </row>
        <row r="9">
          <cell r="C9">
            <v>2.6532110314848104E-2</v>
          </cell>
        </row>
        <row r="10">
          <cell r="C10">
            <v>3.0327238360126931E-2</v>
          </cell>
        </row>
        <row r="11">
          <cell r="C11">
            <v>5.0923846703392346E-2</v>
          </cell>
        </row>
        <row r="12">
          <cell r="C12">
            <v>0.11710955427334349</v>
          </cell>
        </row>
        <row r="13">
          <cell r="C13">
            <v>7.3735325751214789E-2</v>
          </cell>
        </row>
        <row r="14">
          <cell r="C14">
            <v>0.23130478854564213</v>
          </cell>
        </row>
        <row r="15">
          <cell r="C15">
            <v>3.6115169534657186E-3</v>
          </cell>
        </row>
      </sheetData>
      <sheetData sheetId="1"/>
      <sheetData sheetId="2"/>
      <sheetData sheetId="3"/>
      <sheetData sheetId="4">
        <row r="4">
          <cell r="H4">
            <v>5.6177999999999999</v>
          </cell>
        </row>
        <row r="5">
          <cell r="H5">
            <v>0.91500000000000004</v>
          </cell>
        </row>
      </sheetData>
      <sheetData sheetId="5"/>
      <sheetData sheetId="6"/>
      <sheetData sheetId="7"/>
      <sheetData sheetId="8"/>
      <sheetData sheetId="9">
        <row r="7">
          <cell r="M7">
            <v>2</v>
          </cell>
          <cell r="N7">
            <v>2</v>
          </cell>
        </row>
        <row r="8">
          <cell r="M8">
            <v>2</v>
          </cell>
          <cell r="N8">
            <v>2</v>
          </cell>
        </row>
        <row r="9">
          <cell r="M9">
            <v>0.54</v>
          </cell>
          <cell r="N9">
            <v>0.54</v>
          </cell>
        </row>
        <row r="12">
          <cell r="M12">
            <v>2</v>
          </cell>
          <cell r="N12">
            <v>2</v>
          </cell>
        </row>
      </sheetData>
      <sheetData sheetId="10"/>
      <sheetData sheetId="11"/>
      <sheetData sheetId="12">
        <row r="7">
          <cell r="M7">
            <v>2</v>
          </cell>
          <cell r="N7">
            <v>2</v>
          </cell>
        </row>
      </sheetData>
      <sheetData sheetId="13">
        <row r="7">
          <cell r="M7">
            <v>1.43919623484453</v>
          </cell>
          <cell r="N7">
            <v>1.43919623484453</v>
          </cell>
        </row>
      </sheetData>
      <sheetData sheetId="14">
        <row r="7">
          <cell r="M7">
            <v>1</v>
          </cell>
          <cell r="N7">
            <v>1</v>
          </cell>
        </row>
      </sheetData>
      <sheetData sheetId="15">
        <row r="8">
          <cell r="M8">
            <v>0.96099999999999997</v>
          </cell>
          <cell r="N8">
            <v>0.96099999999999997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A778-13A2-4C1E-BB6B-80FF21B35927}">
  <dimension ref="A1:D24"/>
  <sheetViews>
    <sheetView workbookViewId="0">
      <selection activeCell="C18" sqref="C18"/>
    </sheetView>
  </sheetViews>
  <sheetFormatPr defaultColWidth="9.26953125" defaultRowHeight="12.5" outlineLevelCol="1" x14ac:dyDescent="0.25"/>
  <cols>
    <col min="1" max="1" width="50.26953125" style="63" bestFit="1" customWidth="1"/>
    <col min="2" max="2" width="14.26953125" style="70" customWidth="1"/>
    <col min="3" max="3" width="14.26953125" style="63" customWidth="1"/>
    <col min="4" max="4" width="21.26953125" style="63" customWidth="1" outlineLevel="1"/>
    <col min="5" max="16384" width="9.26953125" style="63"/>
  </cols>
  <sheetData>
    <row r="1" spans="1:4" s="55" customFormat="1" ht="19.5" customHeight="1" x14ac:dyDescent="0.35">
      <c r="A1" s="127" t="s">
        <v>67</v>
      </c>
      <c r="B1" s="127"/>
      <c r="C1" s="127"/>
      <c r="D1" s="127"/>
    </row>
    <row r="2" spans="1:4" s="55" customFormat="1" ht="19.5" customHeight="1" x14ac:dyDescent="0.35">
      <c r="A2" s="128"/>
      <c r="B2" s="128"/>
      <c r="C2" s="128"/>
      <c r="D2" s="128"/>
    </row>
    <row r="3" spans="1:4" s="57" customFormat="1" ht="51" customHeight="1" x14ac:dyDescent="0.35">
      <c r="A3" s="56" t="s">
        <v>59</v>
      </c>
      <c r="B3" s="56" t="s">
        <v>60</v>
      </c>
      <c r="C3" s="56" t="s">
        <v>58</v>
      </c>
      <c r="D3" s="56" t="s">
        <v>61</v>
      </c>
    </row>
    <row r="4" spans="1:4" s="57" customFormat="1" ht="19.5" customHeight="1" x14ac:dyDescent="0.35">
      <c r="A4" s="60" t="s">
        <v>62</v>
      </c>
      <c r="B4" s="72">
        <v>1.5640000000000001</v>
      </c>
      <c r="C4" s="129">
        <v>0.60299999999999998</v>
      </c>
      <c r="D4" s="58">
        <f>ROUND(IF(B4*$C$4&gt;2,2,(B4*$C$4)),3)</f>
        <v>0.94299999999999995</v>
      </c>
    </row>
    <row r="5" spans="1:4" s="59" customFormat="1" ht="19.5" customHeight="1" x14ac:dyDescent="0.35">
      <c r="A5" s="60" t="s">
        <v>63</v>
      </c>
      <c r="B5" s="72">
        <v>1.3490435482846401</v>
      </c>
      <c r="C5" s="130"/>
      <c r="D5" s="58">
        <f>ROUND(IF(B5*$C$4&gt;2,2,(B5*$C$4)),3)</f>
        <v>0.81299999999999994</v>
      </c>
    </row>
    <row r="6" spans="1:4" s="57" customFormat="1" ht="19.5" customHeight="1" x14ac:dyDescent="0.35">
      <c r="A6" s="60" t="s">
        <v>27</v>
      </c>
      <c r="B6" s="72">
        <v>1.506</v>
      </c>
      <c r="C6" s="130"/>
      <c r="D6" s="58">
        <f>ROUND(IF(B6*$C$4&gt;2,2,(B6*$C$4)),3)</f>
        <v>0.90800000000000003</v>
      </c>
    </row>
    <row r="7" spans="1:4" s="57" customFormat="1" ht="19.5" customHeight="1" x14ac:dyDescent="0.35">
      <c r="A7" s="60" t="s">
        <v>41</v>
      </c>
      <c r="B7" s="72">
        <v>1.4827300110421444</v>
      </c>
      <c r="C7" s="130"/>
      <c r="D7" s="58">
        <f>ROUND(IF(B7*$C$4&gt;2,2,(B7*$C$4)),3)</f>
        <v>0.89400000000000002</v>
      </c>
    </row>
    <row r="8" spans="1:4" s="55" customFormat="1" ht="19.5" customHeight="1" x14ac:dyDescent="0.35">
      <c r="A8" s="60" t="s">
        <v>64</v>
      </c>
      <c r="B8" s="72">
        <v>1.548</v>
      </c>
      <c r="C8" s="131"/>
      <c r="D8" s="58">
        <f>ROUND(IF(B8*$C$4&gt;2,2,(B8*$C$4)),3)</f>
        <v>0.93300000000000005</v>
      </c>
    </row>
    <row r="9" spans="1:4" s="61" customFormat="1" ht="19.5" customHeight="1" x14ac:dyDescent="0.35">
      <c r="A9" s="60" t="s">
        <v>65</v>
      </c>
      <c r="B9" s="71">
        <v>0.93300000000000027</v>
      </c>
      <c r="C9" s="58" t="s">
        <v>66</v>
      </c>
      <c r="D9" s="58">
        <f>B9</f>
        <v>0.93300000000000027</v>
      </c>
    </row>
    <row r="10" spans="1:4" s="55" customFormat="1" ht="19.5" customHeight="1" x14ac:dyDescent="0.35">
      <c r="B10" s="65"/>
      <c r="C10" s="62"/>
      <c r="D10" s="66"/>
    </row>
    <row r="11" spans="1:4" s="55" customFormat="1" ht="19.5" customHeight="1" x14ac:dyDescent="0.35">
      <c r="C11" s="65"/>
      <c r="D11" s="67"/>
    </row>
    <row r="12" spans="1:4" s="55" customFormat="1" ht="19.5" customHeight="1" x14ac:dyDescent="0.35">
      <c r="B12" s="65"/>
      <c r="C12" s="62"/>
      <c r="D12" s="66"/>
    </row>
    <row r="13" spans="1:4" s="55" customFormat="1" ht="20.149999999999999" customHeight="1" x14ac:dyDescent="0.35">
      <c r="B13" s="68"/>
      <c r="C13" s="62"/>
      <c r="D13" s="69"/>
    </row>
    <row r="14" spans="1:4" ht="27" customHeight="1" x14ac:dyDescent="0.25">
      <c r="B14" s="64"/>
    </row>
    <row r="15" spans="1:4" s="55" customFormat="1" ht="20.149999999999999" customHeight="1" x14ac:dyDescent="0.25">
      <c r="A15" s="63"/>
      <c r="B15" s="70"/>
    </row>
    <row r="17" spans="1:2" s="55" customFormat="1" ht="20.149999999999999" customHeight="1" x14ac:dyDescent="0.25">
      <c r="A17" s="63"/>
      <c r="B17" s="70"/>
    </row>
    <row r="18" spans="1:2" s="55" customFormat="1" ht="20.149999999999999" customHeight="1" x14ac:dyDescent="0.25">
      <c r="A18" s="63"/>
      <c r="B18" s="70"/>
    </row>
    <row r="19" spans="1:2" s="55" customFormat="1" x14ac:dyDescent="0.25">
      <c r="A19" s="63"/>
      <c r="B19" s="70"/>
    </row>
    <row r="20" spans="1:2" s="55" customFormat="1" x14ac:dyDescent="0.25">
      <c r="A20" s="63"/>
      <c r="B20" s="70"/>
    </row>
    <row r="21" spans="1:2" s="55" customFormat="1" x14ac:dyDescent="0.25">
      <c r="A21" s="63"/>
      <c r="B21" s="70"/>
    </row>
    <row r="22" spans="1:2" s="55" customFormat="1" x14ac:dyDescent="0.25">
      <c r="A22" s="63"/>
      <c r="B22" s="70"/>
    </row>
    <row r="23" spans="1:2" s="55" customFormat="1" x14ac:dyDescent="0.25">
      <c r="A23" s="63"/>
      <c r="B23" s="70"/>
    </row>
    <row r="24" spans="1:2" s="55" customFormat="1" x14ac:dyDescent="0.25">
      <c r="A24" s="63"/>
      <c r="B24" s="70"/>
    </row>
  </sheetData>
  <mergeCells count="3">
    <mergeCell ref="A1:D1"/>
    <mergeCell ref="A2:D2"/>
    <mergeCell ref="C4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2E9B-F711-426E-8295-9C13FAA2BDAE}">
  <sheetPr codeName="Sheet1"/>
  <dimension ref="A1:O17"/>
  <sheetViews>
    <sheetView zoomScaleNormal="100" workbookViewId="0">
      <selection activeCell="I13" sqref="I13"/>
    </sheetView>
  </sheetViews>
  <sheetFormatPr defaultColWidth="9.1796875" defaultRowHeight="14.5" x14ac:dyDescent="0.35"/>
  <cols>
    <col min="1" max="1" width="8.81640625" style="4" bestFit="1" customWidth="1"/>
    <col min="2" max="2" width="20.81640625" style="4" bestFit="1" customWidth="1"/>
    <col min="3" max="3" width="42.54296875" style="4" bestFit="1" customWidth="1"/>
    <col min="4" max="4" width="14" style="4" bestFit="1" customWidth="1"/>
    <col min="5" max="8" width="9.54296875" style="4" bestFit="1" customWidth="1"/>
    <col min="9" max="9" width="16.1796875" style="4" bestFit="1" customWidth="1"/>
    <col min="10" max="10" width="14.54296875" style="4" bestFit="1" customWidth="1"/>
    <col min="11" max="11" width="20.1796875" style="4" bestFit="1" customWidth="1"/>
    <col min="12" max="16384" width="9.1796875" style="4"/>
  </cols>
  <sheetData>
    <row r="1" spans="1:15" ht="29" x14ac:dyDescent="0.35">
      <c r="A1" s="3" t="s">
        <v>0</v>
      </c>
      <c r="B1" s="3" t="s">
        <v>51</v>
      </c>
      <c r="C1" s="3" t="s">
        <v>1</v>
      </c>
      <c r="D1" s="50" t="s">
        <v>2</v>
      </c>
      <c r="E1" s="51" t="s">
        <v>3</v>
      </c>
      <c r="F1" s="51" t="s">
        <v>4</v>
      </c>
      <c r="G1" s="51" t="s">
        <v>5</v>
      </c>
      <c r="H1" s="51" t="s">
        <v>6</v>
      </c>
      <c r="I1" s="51" t="s">
        <v>52</v>
      </c>
      <c r="J1" s="52" t="s">
        <v>53</v>
      </c>
      <c r="K1" s="52" t="s">
        <v>54</v>
      </c>
      <c r="L1" s="52" t="s">
        <v>55</v>
      </c>
      <c r="M1" s="52" t="s">
        <v>56</v>
      </c>
      <c r="N1" s="52" t="s">
        <v>58</v>
      </c>
      <c r="O1" s="52" t="s">
        <v>57</v>
      </c>
    </row>
    <row r="2" spans="1:15" x14ac:dyDescent="0.35">
      <c r="A2" s="4" t="s">
        <v>40</v>
      </c>
      <c r="B2" s="4" t="s">
        <v>7</v>
      </c>
      <c r="C2" s="4" t="s">
        <v>8</v>
      </c>
      <c r="D2" s="5">
        <v>0.1</v>
      </c>
      <c r="E2" s="6">
        <v>0</v>
      </c>
      <c r="F2" s="6">
        <v>1</v>
      </c>
      <c r="G2" s="6"/>
      <c r="H2" s="6">
        <v>2</v>
      </c>
      <c r="I2" s="32">
        <v>2</v>
      </c>
      <c r="J2" s="7">
        <f t="shared" ref="J2:J5" si="0">IF(I2&lt;=E2,0,IF(I2&lt;=F2,(I2-E2)/(F2-E2),IF(I2&lt;H2,1+(I2-F2)/(H2-F2),2)))</f>
        <v>2</v>
      </c>
      <c r="K2" s="6">
        <f t="shared" ref="K2:K3" si="1">+J2*D2</f>
        <v>0.2</v>
      </c>
      <c r="L2" s="25"/>
      <c r="M2" s="25"/>
      <c r="N2" s="25"/>
      <c r="O2" s="25"/>
    </row>
    <row r="3" spans="1:15" x14ac:dyDescent="0.35">
      <c r="A3" s="4" t="s">
        <v>40</v>
      </c>
      <c r="B3" s="4" t="s">
        <v>7</v>
      </c>
      <c r="C3" s="4" t="s">
        <v>9</v>
      </c>
      <c r="D3" s="5">
        <v>0.05</v>
      </c>
      <c r="E3" s="6">
        <v>0</v>
      </c>
      <c r="F3" s="6">
        <v>1</v>
      </c>
      <c r="G3" s="6"/>
      <c r="H3" s="6">
        <v>2</v>
      </c>
      <c r="I3" s="32">
        <v>1.9985200000000001</v>
      </c>
      <c r="J3" s="7">
        <f t="shared" si="0"/>
        <v>1.9985200000000001</v>
      </c>
      <c r="K3" s="6">
        <f t="shared" si="1"/>
        <v>9.9926000000000015E-2</v>
      </c>
      <c r="L3" s="25"/>
      <c r="M3" s="25"/>
      <c r="N3" s="25"/>
      <c r="O3" s="25"/>
    </row>
    <row r="4" spans="1:15" x14ac:dyDescent="0.35">
      <c r="A4" s="4" t="s">
        <v>40</v>
      </c>
      <c r="B4" s="4" t="s">
        <v>7</v>
      </c>
      <c r="C4" s="4" t="s">
        <v>10</v>
      </c>
      <c r="D4" s="5">
        <v>0.05</v>
      </c>
      <c r="E4" s="8">
        <v>0</v>
      </c>
      <c r="F4" s="8">
        <v>1</v>
      </c>
      <c r="G4" s="8"/>
      <c r="H4" s="8">
        <v>2</v>
      </c>
      <c r="I4" s="32">
        <v>2</v>
      </c>
      <c r="J4" s="6">
        <f t="shared" si="0"/>
        <v>2</v>
      </c>
      <c r="K4" s="6">
        <f t="shared" ref="K4:K5" si="2">+D4*J4</f>
        <v>0.1</v>
      </c>
      <c r="L4" s="25"/>
      <c r="M4" s="25"/>
      <c r="N4" s="25"/>
      <c r="O4" s="25"/>
    </row>
    <row r="5" spans="1:15" x14ac:dyDescent="0.35">
      <c r="A5" s="4" t="s">
        <v>40</v>
      </c>
      <c r="B5" s="4" t="s">
        <v>7</v>
      </c>
      <c r="C5" s="4" t="s">
        <v>11</v>
      </c>
      <c r="D5" s="5">
        <v>0.1</v>
      </c>
      <c r="E5" s="8">
        <v>0</v>
      </c>
      <c r="F5" s="8">
        <v>1</v>
      </c>
      <c r="G5" s="8"/>
      <c r="H5" s="8">
        <v>2</v>
      </c>
      <c r="I5" s="32">
        <v>1.5469999999999999</v>
      </c>
      <c r="J5" s="6">
        <f t="shared" si="0"/>
        <v>1.5469999999999999</v>
      </c>
      <c r="K5" s="6">
        <f t="shared" si="2"/>
        <v>0.1547</v>
      </c>
      <c r="L5" s="25"/>
      <c r="M5" s="25"/>
      <c r="N5" s="25"/>
      <c r="O5" s="25"/>
    </row>
    <row r="6" spans="1:15" x14ac:dyDescent="0.35">
      <c r="A6" s="4" t="s">
        <v>40</v>
      </c>
      <c r="B6" s="4" t="s">
        <v>7</v>
      </c>
      <c r="C6" s="4" t="s">
        <v>12</v>
      </c>
      <c r="D6" s="5"/>
      <c r="I6" s="33">
        <v>1</v>
      </c>
      <c r="J6" s="9"/>
      <c r="K6" s="6"/>
      <c r="L6" s="25"/>
      <c r="M6" s="25"/>
      <c r="N6" s="25"/>
      <c r="O6" s="25"/>
    </row>
    <row r="7" spans="1:15" x14ac:dyDescent="0.35">
      <c r="A7" s="4" t="s">
        <v>40</v>
      </c>
      <c r="B7" s="4" t="s">
        <v>13</v>
      </c>
      <c r="C7" s="4" t="s">
        <v>14</v>
      </c>
      <c r="D7" s="5">
        <v>0.05</v>
      </c>
      <c r="E7" s="10">
        <v>0.9</v>
      </c>
      <c r="F7" s="10">
        <v>0.93</v>
      </c>
      <c r="G7" s="10"/>
      <c r="H7" s="10">
        <v>0.96</v>
      </c>
      <c r="I7" s="34">
        <v>0.94099999999999995</v>
      </c>
      <c r="J7" s="7">
        <f t="shared" ref="J7:J10" si="3">IF(I7&lt;=E7,0,IF(I7&lt;=F7,(I7-E7)/(F7-E7),IF(I7&lt;H7,1+(I7-F7)/(H7-F7),2)))</f>
        <v>1.3666666666666643</v>
      </c>
      <c r="K7" s="6">
        <f t="shared" ref="K7" si="4">+J7*D7</f>
        <v>6.8333333333333218E-2</v>
      </c>
      <c r="L7" s="25"/>
      <c r="M7" s="25"/>
      <c r="N7" s="25"/>
      <c r="O7" s="25"/>
    </row>
    <row r="8" spans="1:15" x14ac:dyDescent="0.35">
      <c r="A8" s="4" t="s">
        <v>40</v>
      </c>
      <c r="B8" s="4" t="s">
        <v>15</v>
      </c>
      <c r="C8" s="4" t="s">
        <v>16</v>
      </c>
      <c r="D8" s="5">
        <v>0.1</v>
      </c>
      <c r="E8" s="8">
        <v>0</v>
      </c>
      <c r="F8" s="8">
        <v>1</v>
      </c>
      <c r="G8" s="8"/>
      <c r="H8" s="8">
        <v>2</v>
      </c>
      <c r="I8" s="35">
        <v>2</v>
      </c>
      <c r="J8" s="6">
        <f t="shared" si="3"/>
        <v>2</v>
      </c>
      <c r="K8" s="6">
        <f t="shared" ref="K8:K9" si="5">+D8*J8</f>
        <v>0.2</v>
      </c>
      <c r="L8" s="25"/>
      <c r="M8" s="25"/>
      <c r="N8" s="25"/>
      <c r="O8" s="25"/>
    </row>
    <row r="9" spans="1:15" x14ac:dyDescent="0.35">
      <c r="A9" s="4" t="s">
        <v>40</v>
      </c>
      <c r="B9" s="4" t="s">
        <v>15</v>
      </c>
      <c r="C9" s="4" t="s">
        <v>17</v>
      </c>
      <c r="D9" s="5">
        <v>0.05</v>
      </c>
      <c r="E9" s="10">
        <v>0</v>
      </c>
      <c r="F9" s="11">
        <v>0.02</v>
      </c>
      <c r="G9" s="8"/>
      <c r="H9" s="11">
        <v>0.03</v>
      </c>
      <c r="I9" s="34">
        <v>-4.2669984630022695E-2</v>
      </c>
      <c r="J9" s="6">
        <f t="shared" si="3"/>
        <v>0</v>
      </c>
      <c r="K9" s="6">
        <f t="shared" si="5"/>
        <v>0</v>
      </c>
      <c r="L9" s="25"/>
      <c r="M9" s="25"/>
      <c r="N9" s="25"/>
      <c r="O9" s="25"/>
    </row>
    <row r="10" spans="1:15" x14ac:dyDescent="0.35">
      <c r="A10" s="4" t="s">
        <v>40</v>
      </c>
      <c r="B10" s="4" t="s">
        <v>18</v>
      </c>
      <c r="C10" s="4" t="s">
        <v>19</v>
      </c>
      <c r="D10" s="5">
        <v>0.1</v>
      </c>
      <c r="E10" s="8">
        <v>76.417159980899996</v>
      </c>
      <c r="F10" s="8">
        <v>89.902541153999991</v>
      </c>
      <c r="G10" s="8"/>
      <c r="H10" s="8">
        <v>103.38792232709999</v>
      </c>
      <c r="I10" s="35">
        <v>43.100001061000007</v>
      </c>
      <c r="J10" s="7">
        <f t="shared" si="3"/>
        <v>0</v>
      </c>
      <c r="K10" s="6">
        <f t="shared" ref="K10:K16" si="6">+J10*D10</f>
        <v>0</v>
      </c>
      <c r="L10" s="25"/>
      <c r="M10" s="25"/>
      <c r="N10" s="25"/>
      <c r="O10" s="25"/>
    </row>
    <row r="11" spans="1:15" x14ac:dyDescent="0.35">
      <c r="A11" s="4" t="s">
        <v>40</v>
      </c>
      <c r="B11" s="4" t="s">
        <v>18</v>
      </c>
      <c r="C11" s="4" t="s">
        <v>20</v>
      </c>
      <c r="D11" s="5">
        <v>0.1</v>
      </c>
      <c r="E11" s="12">
        <v>8.7500000000000008E-2</v>
      </c>
      <c r="F11" s="12">
        <v>9.2499999999999999E-2</v>
      </c>
      <c r="G11" s="13">
        <v>9.7500000000000003E-2</v>
      </c>
      <c r="H11" s="12">
        <v>0.1</v>
      </c>
      <c r="I11" s="36">
        <v>4.4390828190772801E-2</v>
      </c>
      <c r="J11" s="6">
        <f t="shared" ref="J11" si="7">+IF(I11&gt;=H11,2,IF(I11&gt;=G11,1.5+(I11-G11)/(H11-G11)*0.5,IF(I11&gt;=F11,1+(I11-F11)/(G11-F11)*0.5,IF(I11&gt;=E11,(I11-E11)/(F11-E11),0))))</f>
        <v>0</v>
      </c>
      <c r="K11" s="6">
        <f t="shared" si="6"/>
        <v>0</v>
      </c>
      <c r="L11" s="25"/>
      <c r="M11" s="25"/>
      <c r="N11" s="25"/>
      <c r="O11" s="25"/>
    </row>
    <row r="12" spans="1:15" x14ac:dyDescent="0.35">
      <c r="A12" s="4" t="s">
        <v>40</v>
      </c>
      <c r="B12" s="4" t="s">
        <v>21</v>
      </c>
      <c r="C12" s="4" t="s">
        <v>22</v>
      </c>
      <c r="D12" s="5">
        <v>0.1</v>
      </c>
      <c r="E12" s="14">
        <v>513.82500000000005</v>
      </c>
      <c r="F12" s="14">
        <v>428.18799999999999</v>
      </c>
      <c r="G12" s="14"/>
      <c r="H12" s="14">
        <v>342.55</v>
      </c>
      <c r="I12" s="37">
        <v>405.84665746693997</v>
      </c>
      <c r="J12" s="7">
        <f t="shared" ref="J12" si="8">IF(I12&gt;=E12,0,IF(I12&gt;=F12,(I12-E12)/(F12-E12),IF(I12&gt;H12,1+(I12-F12)/(H12-F12),2)))</f>
        <v>1.2608811804696516</v>
      </c>
      <c r="K12" s="6">
        <f t="shared" si="6"/>
        <v>0.12608811804696515</v>
      </c>
      <c r="L12" s="25"/>
      <c r="M12" s="25"/>
      <c r="N12" s="25"/>
      <c r="O12" s="25"/>
    </row>
    <row r="13" spans="1:15" x14ac:dyDescent="0.35">
      <c r="A13" s="4" t="s">
        <v>40</v>
      </c>
      <c r="B13" s="4" t="s">
        <v>21</v>
      </c>
      <c r="C13" s="4" t="s">
        <v>23</v>
      </c>
      <c r="D13" s="5">
        <v>0.05</v>
      </c>
      <c r="E13" s="14">
        <v>0</v>
      </c>
      <c r="F13" s="14">
        <v>2</v>
      </c>
      <c r="H13" s="14">
        <v>4</v>
      </c>
      <c r="I13" s="38">
        <v>4</v>
      </c>
      <c r="J13" s="7">
        <f t="shared" ref="J13:J16" si="9">IF(I13&lt;=E13,0,IF(I13&lt;=F13,(I13-E13)/(F13-E13),IF(I13&lt;H13,1+(I13-F13)/(H13-F13),2)))</f>
        <v>2</v>
      </c>
      <c r="K13" s="6">
        <f t="shared" si="6"/>
        <v>0.1</v>
      </c>
      <c r="L13" s="25"/>
      <c r="M13" s="25"/>
      <c r="N13" s="25"/>
      <c r="O13" s="25"/>
    </row>
    <row r="14" spans="1:15" x14ac:dyDescent="0.35">
      <c r="A14" s="4" t="s">
        <v>40</v>
      </c>
      <c r="B14" s="4" t="s">
        <v>21</v>
      </c>
      <c r="C14" s="4" t="s">
        <v>24</v>
      </c>
      <c r="D14" s="5">
        <v>0.05</v>
      </c>
      <c r="E14" s="15">
        <v>0</v>
      </c>
      <c r="F14" s="15">
        <v>0.5</v>
      </c>
      <c r="H14" s="15">
        <v>1</v>
      </c>
      <c r="I14" s="33">
        <v>1</v>
      </c>
      <c r="J14" s="7">
        <f t="shared" si="9"/>
        <v>2</v>
      </c>
      <c r="K14" s="6">
        <f t="shared" si="6"/>
        <v>0.1</v>
      </c>
      <c r="L14" s="25"/>
      <c r="M14" s="25"/>
      <c r="N14" s="25"/>
      <c r="O14" s="25"/>
    </row>
    <row r="15" spans="1:15" x14ac:dyDescent="0.35">
      <c r="A15" s="4" t="s">
        <v>40</v>
      </c>
      <c r="B15" s="4" t="s">
        <v>21</v>
      </c>
      <c r="C15" s="4" t="s">
        <v>25</v>
      </c>
      <c r="D15" s="5">
        <v>0.05</v>
      </c>
      <c r="E15" s="8">
        <v>0</v>
      </c>
      <c r="F15" s="8">
        <v>1</v>
      </c>
      <c r="G15" s="8"/>
      <c r="H15" s="8">
        <v>2</v>
      </c>
      <c r="I15" s="39">
        <v>2</v>
      </c>
      <c r="J15" s="7">
        <f t="shared" si="9"/>
        <v>2</v>
      </c>
      <c r="K15" s="6">
        <f t="shared" si="6"/>
        <v>0.1</v>
      </c>
      <c r="L15" s="25"/>
      <c r="M15" s="25"/>
      <c r="N15" s="25"/>
      <c r="O15" s="25"/>
    </row>
    <row r="16" spans="1:15" x14ac:dyDescent="0.35">
      <c r="A16" s="4" t="s">
        <v>40</v>
      </c>
      <c r="B16" s="4" t="s">
        <v>21</v>
      </c>
      <c r="C16" s="4" t="s">
        <v>26</v>
      </c>
      <c r="D16" s="5">
        <v>0.05</v>
      </c>
      <c r="E16" s="8">
        <v>0</v>
      </c>
      <c r="F16" s="8">
        <v>2</v>
      </c>
      <c r="H16" s="8">
        <v>3</v>
      </c>
      <c r="I16" s="38">
        <v>3</v>
      </c>
      <c r="J16" s="7">
        <f t="shared" si="9"/>
        <v>2</v>
      </c>
      <c r="K16" s="6">
        <f t="shared" si="6"/>
        <v>0.1</v>
      </c>
      <c r="L16" s="25"/>
      <c r="M16" s="25"/>
      <c r="N16" s="25"/>
      <c r="O16" s="25"/>
    </row>
    <row r="17" spans="11:15" x14ac:dyDescent="0.35">
      <c r="K17" s="53">
        <f>SUM(K2:K16)</f>
        <v>1.3490474513802988</v>
      </c>
      <c r="L17" s="25">
        <v>1.548</v>
      </c>
      <c r="M17" s="25">
        <v>0.93300000000000005</v>
      </c>
      <c r="N17" s="25">
        <f>ROUND(M17/L17,3)</f>
        <v>0.60299999999999998</v>
      </c>
      <c r="O17" s="25">
        <f>ROUND(N17*K17,3)</f>
        <v>0.81299999999999994</v>
      </c>
    </row>
  </sheetData>
  <pageMargins left="0.7" right="0.7" top="1.5" bottom="0.75" header="0.3" footer="0.3"/>
  <pageSetup scale="69" orientation="landscape" r:id="rId1"/>
  <headerFooter>
    <oddHeader>&amp;RKPSC Case No. 2025-00257
AG/KIUC First Set of Data Requests
Dated September 24, 2025
 Item No. 30
Public Attachment 1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4675B-6DF2-4F68-AEE6-BB7264B23C40}">
  <sheetPr codeName="Sheet2"/>
  <dimension ref="A1:O32"/>
  <sheetViews>
    <sheetView zoomScale="90" zoomScaleNormal="90" workbookViewId="0">
      <selection activeCell="F31" sqref="F31"/>
    </sheetView>
  </sheetViews>
  <sheetFormatPr defaultColWidth="9.1796875" defaultRowHeight="14.5" x14ac:dyDescent="0.35"/>
  <cols>
    <col min="1" max="1" width="15" style="4" bestFit="1" customWidth="1"/>
    <col min="2" max="2" width="20.81640625" style="4" bestFit="1" customWidth="1"/>
    <col min="3" max="3" width="40.1796875" style="4" customWidth="1"/>
    <col min="4" max="4" width="14" style="4" bestFit="1" customWidth="1"/>
    <col min="5" max="5" width="15" style="4" bestFit="1" customWidth="1"/>
    <col min="6" max="6" width="16.1796875" style="4" bestFit="1" customWidth="1"/>
    <col min="7" max="7" width="9.81640625" style="4" bestFit="1" customWidth="1"/>
    <col min="8" max="9" width="16.1796875" style="4" bestFit="1" customWidth="1"/>
    <col min="10" max="10" width="13.1796875" style="4" bestFit="1" customWidth="1"/>
    <col min="11" max="11" width="18.7265625" style="4" bestFit="1" customWidth="1"/>
    <col min="12" max="16384" width="9.1796875" style="4"/>
  </cols>
  <sheetData>
    <row r="1" spans="1:15" s="3" customFormat="1" ht="29" x14ac:dyDescent="0.35">
      <c r="A1" s="3" t="s">
        <v>0</v>
      </c>
      <c r="B1" s="3" t="s">
        <v>51</v>
      </c>
      <c r="C1" s="3" t="s">
        <v>1</v>
      </c>
      <c r="D1" s="50" t="s">
        <v>2</v>
      </c>
      <c r="E1" s="51" t="s">
        <v>3</v>
      </c>
      <c r="F1" s="51" t="s">
        <v>4</v>
      </c>
      <c r="G1" s="51" t="s">
        <v>5</v>
      </c>
      <c r="H1" s="51" t="s">
        <v>6</v>
      </c>
      <c r="I1" s="51" t="s">
        <v>52</v>
      </c>
      <c r="J1" s="52" t="s">
        <v>53</v>
      </c>
      <c r="K1" s="52" t="s">
        <v>54</v>
      </c>
      <c r="L1" s="52" t="s">
        <v>55</v>
      </c>
      <c r="M1" s="52" t="s">
        <v>56</v>
      </c>
      <c r="N1" s="52" t="s">
        <v>58</v>
      </c>
      <c r="O1" s="52" t="s">
        <v>57</v>
      </c>
    </row>
    <row r="2" spans="1:15" x14ac:dyDescent="0.35">
      <c r="A2" s="4" t="s">
        <v>27</v>
      </c>
      <c r="B2" s="4" t="s">
        <v>7</v>
      </c>
      <c r="C2" s="4" t="s">
        <v>8</v>
      </c>
      <c r="D2" s="1">
        <v>0.1</v>
      </c>
      <c r="E2" s="16">
        <v>0</v>
      </c>
      <c r="F2" s="16">
        <v>1</v>
      </c>
      <c r="G2" s="16"/>
      <c r="H2" s="16">
        <v>2</v>
      </c>
      <c r="I2" s="40">
        <v>2</v>
      </c>
      <c r="J2" s="17">
        <f>IF(I2&lt;=E2,0,IF(I2&lt;=F2,(I2-E2)/(F2-E2),IF(I2&lt;H2,1+(I2-F2)/(H2-F2),2)))</f>
        <v>2</v>
      </c>
      <c r="K2" s="18">
        <f>+J2*D2</f>
        <v>0.2</v>
      </c>
      <c r="L2" s="25"/>
      <c r="M2" s="25"/>
      <c r="N2" s="25"/>
      <c r="O2" s="25"/>
    </row>
    <row r="3" spans="1:15" x14ac:dyDescent="0.35">
      <c r="A3" s="4" t="s">
        <v>27</v>
      </c>
      <c r="B3" s="4" t="s">
        <v>7</v>
      </c>
      <c r="C3" s="4" t="s">
        <v>9</v>
      </c>
      <c r="D3" s="1">
        <v>0.05</v>
      </c>
      <c r="E3" s="16">
        <v>0</v>
      </c>
      <c r="F3" s="16">
        <v>1</v>
      </c>
      <c r="G3" s="16"/>
      <c r="H3" s="16">
        <v>2</v>
      </c>
      <c r="I3" s="40">
        <v>1.9990000000000001</v>
      </c>
      <c r="J3" s="17">
        <f t="shared" ref="J3:J5" si="0">IF(I3&lt;=E3,0,IF(I3&lt;=F3,(I3-E3)/(F3-E3),IF(I3&lt;H3,1+(I3-F3)/(H3-F3),2)))</f>
        <v>1.9990000000000001</v>
      </c>
      <c r="K3" s="18">
        <f t="shared" ref="K3:K16" si="1">+J3*D3</f>
        <v>9.9950000000000011E-2</v>
      </c>
      <c r="L3" s="25"/>
      <c r="M3" s="25"/>
      <c r="N3" s="25"/>
      <c r="O3" s="25"/>
    </row>
    <row r="4" spans="1:15" x14ac:dyDescent="0.35">
      <c r="A4" s="4" t="s">
        <v>27</v>
      </c>
      <c r="B4" s="4" t="s">
        <v>7</v>
      </c>
      <c r="C4" s="4" t="s">
        <v>10</v>
      </c>
      <c r="D4" s="1">
        <v>0.05</v>
      </c>
      <c r="E4" s="16">
        <v>0</v>
      </c>
      <c r="F4" s="16">
        <v>1</v>
      </c>
      <c r="G4" s="16"/>
      <c r="H4" s="16">
        <v>2</v>
      </c>
      <c r="I4" s="40">
        <v>2</v>
      </c>
      <c r="J4" s="17">
        <f t="shared" si="0"/>
        <v>2</v>
      </c>
      <c r="K4" s="18">
        <f t="shared" si="1"/>
        <v>0.1</v>
      </c>
      <c r="L4" s="25"/>
      <c r="M4" s="25"/>
      <c r="N4" s="25"/>
      <c r="O4" s="25"/>
    </row>
    <row r="5" spans="1:15" x14ac:dyDescent="0.35">
      <c r="A5" s="4" t="s">
        <v>27</v>
      </c>
      <c r="B5" s="4" t="s">
        <v>7</v>
      </c>
      <c r="C5" s="4" t="s">
        <v>11</v>
      </c>
      <c r="D5" s="1">
        <v>0.1</v>
      </c>
      <c r="E5" s="16">
        <v>0</v>
      </c>
      <c r="F5" s="16">
        <v>1</v>
      </c>
      <c r="G5" s="16"/>
      <c r="H5" s="16">
        <v>2</v>
      </c>
      <c r="I5" s="40">
        <v>1.5469999999999999</v>
      </c>
      <c r="J5" s="17">
        <f t="shared" si="0"/>
        <v>1.5469999999999999</v>
      </c>
      <c r="K5" s="18">
        <f t="shared" si="1"/>
        <v>0.1547</v>
      </c>
      <c r="L5" s="25"/>
      <c r="M5" s="25"/>
      <c r="N5" s="25"/>
      <c r="O5" s="25"/>
    </row>
    <row r="6" spans="1:15" x14ac:dyDescent="0.35">
      <c r="A6" s="4" t="s">
        <v>27</v>
      </c>
      <c r="B6" s="4" t="s">
        <v>7</v>
      </c>
      <c r="C6" s="4" t="s">
        <v>28</v>
      </c>
      <c r="D6" s="1">
        <v>0.05</v>
      </c>
      <c r="E6" s="16">
        <v>43</v>
      </c>
      <c r="F6" s="16">
        <v>31</v>
      </c>
      <c r="G6" s="16"/>
      <c r="H6" s="16">
        <v>19</v>
      </c>
      <c r="I6" s="40">
        <v>24</v>
      </c>
      <c r="J6" s="40">
        <v>1.58</v>
      </c>
      <c r="K6" s="18">
        <f t="shared" si="1"/>
        <v>7.9000000000000015E-2</v>
      </c>
      <c r="L6" s="25"/>
      <c r="M6" s="25"/>
      <c r="N6" s="25"/>
      <c r="O6" s="25"/>
    </row>
    <row r="7" spans="1:15" x14ac:dyDescent="0.35">
      <c r="A7" s="4" t="s">
        <v>27</v>
      </c>
      <c r="B7" s="4" t="s">
        <v>29</v>
      </c>
      <c r="C7" s="4" t="s">
        <v>14</v>
      </c>
      <c r="D7" s="1">
        <v>0.05</v>
      </c>
      <c r="E7" s="1">
        <v>0.9</v>
      </c>
      <c r="F7" s="1">
        <v>0.93</v>
      </c>
      <c r="G7" s="1"/>
      <c r="H7" s="1">
        <v>0.96</v>
      </c>
      <c r="I7" s="41">
        <v>0.94799999999999995</v>
      </c>
      <c r="J7" s="17">
        <f>IF(I7&lt;=E7,0,IF(I7&lt;=F7,(I7-E7)/(F7-E7),IF(I7&lt;H7,1+(I7-F7)/(H7-F7),2)))</f>
        <v>1.5999999999999985</v>
      </c>
      <c r="K7" s="18">
        <f t="shared" si="1"/>
        <v>7.9999999999999932E-2</v>
      </c>
      <c r="L7" s="25"/>
      <c r="M7" s="25"/>
      <c r="N7" s="25"/>
      <c r="O7" s="25"/>
    </row>
    <row r="8" spans="1:15" x14ac:dyDescent="0.35">
      <c r="A8" s="4" t="s">
        <v>27</v>
      </c>
      <c r="B8" s="4" t="s">
        <v>18</v>
      </c>
      <c r="C8" s="4" t="s">
        <v>30</v>
      </c>
      <c r="D8" s="1">
        <v>0.05</v>
      </c>
      <c r="E8" s="19">
        <v>20742</v>
      </c>
      <c r="F8" s="19">
        <v>24405</v>
      </c>
      <c r="G8" s="20"/>
      <c r="H8" s="19">
        <v>26846</v>
      </c>
      <c r="I8" s="42">
        <v>31972</v>
      </c>
      <c r="J8" s="17">
        <f t="shared" ref="J8:J9" si="2">IF(I8&lt;=E8,0,IF(I8&lt;=F8,(I8-E8)/(F8-E8),IF(I8&lt;H8,1+(I8-F8)/(H8-F8),2)))</f>
        <v>2</v>
      </c>
      <c r="K8" s="18">
        <f t="shared" si="1"/>
        <v>0.1</v>
      </c>
      <c r="L8" s="25"/>
      <c r="M8" s="25"/>
      <c r="N8" s="25"/>
      <c r="O8" s="25"/>
    </row>
    <row r="9" spans="1:15" x14ac:dyDescent="0.35">
      <c r="A9" s="4" t="s">
        <v>27</v>
      </c>
      <c r="B9" s="4" t="s">
        <v>18</v>
      </c>
      <c r="C9" s="4" t="s">
        <v>31</v>
      </c>
      <c r="D9" s="1">
        <v>0.05</v>
      </c>
      <c r="E9" s="19">
        <v>87570</v>
      </c>
      <c r="F9" s="19">
        <v>103036</v>
      </c>
      <c r="G9" s="20"/>
      <c r="H9" s="19">
        <v>113339</v>
      </c>
      <c r="I9" s="42">
        <v>116790.39999999999</v>
      </c>
      <c r="J9" s="17">
        <f t="shared" si="2"/>
        <v>2</v>
      </c>
      <c r="K9" s="18">
        <f t="shared" si="1"/>
        <v>0.1</v>
      </c>
      <c r="L9" s="25"/>
      <c r="M9" s="25"/>
      <c r="N9" s="25"/>
      <c r="O9" s="25"/>
    </row>
    <row r="10" spans="1:15" x14ac:dyDescent="0.35">
      <c r="A10" s="4" t="s">
        <v>27</v>
      </c>
      <c r="B10" s="4" t="s">
        <v>18</v>
      </c>
      <c r="C10" s="4" t="s">
        <v>32</v>
      </c>
      <c r="D10" s="1">
        <v>0.1</v>
      </c>
      <c r="E10" s="21">
        <v>1245.6459050635501</v>
      </c>
      <c r="F10" s="21">
        <v>1465.4657706630001</v>
      </c>
      <c r="G10" s="17"/>
      <c r="H10" s="21">
        <v>1685.28563626245</v>
      </c>
      <c r="I10" s="43">
        <v>1422.4354077769999</v>
      </c>
      <c r="J10" s="17">
        <f>IF(I10&lt;=E10,0,IF(I10&lt;=F10,(I10-E10)/(F10-E10),IF(I10&lt;H10,1+(I10-F10)/(H10-F10),2)))</f>
        <v>0.8042471604253959</v>
      </c>
      <c r="K10" s="18">
        <f t="shared" si="1"/>
        <v>8.042471604253959E-2</v>
      </c>
      <c r="L10" s="25"/>
      <c r="M10" s="25"/>
      <c r="N10" s="25"/>
      <c r="O10" s="25"/>
    </row>
    <row r="11" spans="1:15" x14ac:dyDescent="0.35">
      <c r="A11" s="4" t="s">
        <v>27</v>
      </c>
      <c r="B11" s="4" t="s">
        <v>18</v>
      </c>
      <c r="C11" s="4" t="s">
        <v>33</v>
      </c>
      <c r="D11" s="1">
        <v>0.1</v>
      </c>
      <c r="E11" s="2">
        <v>8.5660385531157915E-2</v>
      </c>
      <c r="F11" s="2">
        <v>9.0660385531157905E-2</v>
      </c>
      <c r="G11" s="2">
        <v>9.5699999999999993E-2</v>
      </c>
      <c r="H11" s="2">
        <v>9.8160385531157912E-2</v>
      </c>
      <c r="I11" s="44">
        <v>8.3309300023677924E-2</v>
      </c>
      <c r="J11" s="17">
        <f>+IF(I11&gt;=H11,2,IF(I11&gt;=G11,1.5+(I11-G11)/(H11-G11)*0.5,IF(I11&gt;=F11,1+(I11-F11)/(G11-F11)*0.5,IF(I11&gt;=E11,(I11-E11)/(F11-E11),0))))</f>
        <v>0</v>
      </c>
      <c r="K11" s="18">
        <f t="shared" si="1"/>
        <v>0</v>
      </c>
      <c r="L11" s="25"/>
      <c r="M11" s="25"/>
      <c r="N11" s="25"/>
      <c r="O11" s="25"/>
    </row>
    <row r="12" spans="1:15" x14ac:dyDescent="0.35">
      <c r="A12" s="4" t="s">
        <v>27</v>
      </c>
      <c r="B12" s="4" t="s">
        <v>21</v>
      </c>
      <c r="C12" s="4" t="s">
        <v>34</v>
      </c>
      <c r="D12" s="22">
        <v>7.4999999999999997E-2</v>
      </c>
      <c r="E12" s="2">
        <v>0.14599999999999999</v>
      </c>
      <c r="F12" s="2">
        <v>0.11700000000000001</v>
      </c>
      <c r="G12" s="2"/>
      <c r="H12" s="2">
        <v>8.7999999999999995E-2</v>
      </c>
      <c r="I12" s="45">
        <v>9.1999999999999998E-2</v>
      </c>
      <c r="J12" s="17">
        <f>IF(I12&gt;=E12,0,IF(I12&gt;=F12,1-(I12-F12)/(E12-F12),IF(I12&gt;H12,1+(I12-F12)/(H12-F12),2)))</f>
        <v>1.8620689655172413</v>
      </c>
      <c r="K12" s="18">
        <f t="shared" si="1"/>
        <v>0.1396551724137931</v>
      </c>
      <c r="L12" s="25"/>
      <c r="M12" s="25"/>
      <c r="N12" s="25"/>
      <c r="O12" s="25"/>
    </row>
    <row r="13" spans="1:15" x14ac:dyDescent="0.35">
      <c r="A13" s="4" t="s">
        <v>27</v>
      </c>
      <c r="B13" s="4" t="s">
        <v>21</v>
      </c>
      <c r="C13" s="4" t="s">
        <v>35</v>
      </c>
      <c r="D13" s="22">
        <v>7.4999999999999997E-2</v>
      </c>
      <c r="E13" s="2">
        <v>0.11899999999999999</v>
      </c>
      <c r="F13" s="2">
        <v>9.5000000000000001E-2</v>
      </c>
      <c r="G13" s="2"/>
      <c r="H13" s="2">
        <v>7.1999999999999995E-2</v>
      </c>
      <c r="I13" s="45">
        <v>9.6000000000000002E-2</v>
      </c>
      <c r="J13" s="17">
        <f>IF(I13&gt;=E13,0,IF(I13&gt;=F13,1-(I13-F13)/(E13-F13),IF(I13&gt;H13,1+(I13-F13)/(H13-F13),2)))</f>
        <v>0.95833333333333326</v>
      </c>
      <c r="K13" s="18">
        <f t="shared" si="1"/>
        <v>7.1874999999999994E-2</v>
      </c>
      <c r="L13" s="25"/>
      <c r="M13" s="25"/>
      <c r="N13" s="25"/>
      <c r="O13" s="25"/>
    </row>
    <row r="14" spans="1:15" x14ac:dyDescent="0.35">
      <c r="A14" s="4" t="s">
        <v>27</v>
      </c>
      <c r="B14" s="4" t="s">
        <v>21</v>
      </c>
      <c r="C14" s="4" t="s">
        <v>36</v>
      </c>
      <c r="D14" s="1">
        <v>0.05</v>
      </c>
      <c r="E14" s="17">
        <v>0</v>
      </c>
      <c r="F14" s="17"/>
      <c r="G14" s="17"/>
      <c r="H14" s="17">
        <v>2</v>
      </c>
      <c r="I14" s="40">
        <v>2</v>
      </c>
      <c r="J14" s="17">
        <f>IF(I14=0,0,IF(I14=1,0.5,IF(I14=2,2)))</f>
        <v>2</v>
      </c>
      <c r="K14" s="18">
        <f t="shared" si="1"/>
        <v>0.1</v>
      </c>
      <c r="L14" s="25"/>
      <c r="M14" s="25"/>
      <c r="N14" s="25"/>
      <c r="O14" s="25"/>
    </row>
    <row r="15" spans="1:15" x14ac:dyDescent="0.35">
      <c r="A15" s="4" t="s">
        <v>27</v>
      </c>
      <c r="B15" s="4" t="s">
        <v>21</v>
      </c>
      <c r="C15" s="4" t="s">
        <v>37</v>
      </c>
      <c r="D15" s="1">
        <v>0.05</v>
      </c>
      <c r="E15" s="17">
        <v>0</v>
      </c>
      <c r="F15" s="17">
        <v>3</v>
      </c>
      <c r="G15" s="17"/>
      <c r="H15" s="17">
        <v>4</v>
      </c>
      <c r="I15" s="40">
        <v>4</v>
      </c>
      <c r="J15" s="17">
        <f t="shared" ref="J15" si="3">IF(I15&lt;=E15,0,IF(I15&lt;=F15,(I15-E15)/(F15-E15),IF(I15&lt;H15,1+(I15-F15)/(H15-F15),2)))</f>
        <v>2</v>
      </c>
      <c r="K15" s="18">
        <f t="shared" si="1"/>
        <v>0.1</v>
      </c>
      <c r="L15" s="25"/>
      <c r="M15" s="25"/>
      <c r="N15" s="25"/>
      <c r="O15" s="25"/>
    </row>
    <row r="16" spans="1:15" x14ac:dyDescent="0.35">
      <c r="A16" s="4" t="s">
        <v>27</v>
      </c>
      <c r="B16" s="4" t="s">
        <v>21</v>
      </c>
      <c r="C16" s="4" t="s">
        <v>38</v>
      </c>
      <c r="D16" s="1">
        <v>0.05</v>
      </c>
      <c r="E16" s="17">
        <v>0</v>
      </c>
      <c r="F16" s="17"/>
      <c r="G16" s="17"/>
      <c r="H16" s="17">
        <v>2</v>
      </c>
      <c r="I16" s="40">
        <v>2</v>
      </c>
      <c r="J16" s="17">
        <f>IF(I16=0,0,IF(I16=1,0,IF(I16=2,2)))</f>
        <v>2</v>
      </c>
      <c r="K16" s="18">
        <f t="shared" si="1"/>
        <v>0.1</v>
      </c>
      <c r="L16" s="25"/>
      <c r="M16" s="25"/>
      <c r="N16" s="25"/>
      <c r="O16" s="25"/>
    </row>
    <row r="17" spans="8:15" x14ac:dyDescent="0.35">
      <c r="K17" s="18">
        <f>SUM(K2:K16)</f>
        <v>1.5056048884563329</v>
      </c>
      <c r="L17" s="25">
        <v>1.548</v>
      </c>
      <c r="M17" s="25">
        <v>0.93300000000000005</v>
      </c>
      <c r="N17" s="25">
        <f>ROUND(M17/L17,3)</f>
        <v>0.60299999999999998</v>
      </c>
      <c r="O17" s="25">
        <f>ROUND(N17*K17,3)</f>
        <v>0.90800000000000003</v>
      </c>
    </row>
    <row r="18" spans="8:15" x14ac:dyDescent="0.35">
      <c r="L18" s="25"/>
      <c r="N18" s="25"/>
      <c r="O18" s="25"/>
    </row>
    <row r="19" spans="8:15" x14ac:dyDescent="0.35">
      <c r="L19" s="25"/>
      <c r="M19" s="25"/>
      <c r="N19" s="25"/>
      <c r="O19" s="25"/>
    </row>
    <row r="32" spans="8:15" x14ac:dyDescent="0.35">
      <c r="H32" s="4" t="s">
        <v>39</v>
      </c>
    </row>
  </sheetData>
  <pageMargins left="0.7" right="0.7" top="1.5" bottom="0.75" header="0.3" footer="0.3"/>
  <pageSetup scale="62" orientation="landscape" r:id="rId1"/>
  <headerFooter>
    <oddHeader>&amp;RKPSC Case No. 2025-00257
AG/KIUC First Set of Data Requests
Dated September 24, 2025
 Item No. 30
Public Attachment 1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8659-D30F-4293-B06B-6C50110FEF71}">
  <sheetPr codeName="Sheet3"/>
  <dimension ref="A1:O26"/>
  <sheetViews>
    <sheetView zoomScale="90" zoomScaleNormal="90" workbookViewId="0">
      <selection activeCell="O1" sqref="L1:O20"/>
    </sheetView>
  </sheetViews>
  <sheetFormatPr defaultColWidth="9.1796875" defaultRowHeight="14.5" x14ac:dyDescent="0.35"/>
  <cols>
    <col min="1" max="1" width="15" style="25" bestFit="1" customWidth="1"/>
    <col min="2" max="2" width="20.81640625" style="25" bestFit="1" customWidth="1"/>
    <col min="3" max="3" width="45.54296875" style="25" bestFit="1" customWidth="1"/>
    <col min="4" max="4" width="16.26953125" style="25" bestFit="1" customWidth="1"/>
    <col min="5" max="8" width="12.453125" style="25" bestFit="1" customWidth="1"/>
    <col min="9" max="9" width="18.54296875" style="25" bestFit="1" customWidth="1"/>
    <col min="10" max="10" width="15.453125" style="25" bestFit="1" customWidth="1"/>
    <col min="11" max="11" width="21" style="25" bestFit="1" customWidth="1"/>
    <col min="12" max="16384" width="9.1796875" style="25"/>
  </cols>
  <sheetData>
    <row r="1" spans="1:15" s="24" customFormat="1" ht="29" x14ac:dyDescent="0.35">
      <c r="A1" s="24" t="s">
        <v>0</v>
      </c>
      <c r="B1" s="3" t="s">
        <v>51</v>
      </c>
      <c r="C1" s="24" t="s">
        <v>1</v>
      </c>
      <c r="D1" s="50" t="s">
        <v>2</v>
      </c>
      <c r="E1" s="51" t="s">
        <v>3</v>
      </c>
      <c r="F1" s="51" t="s">
        <v>4</v>
      </c>
      <c r="G1" s="51" t="s">
        <v>5</v>
      </c>
      <c r="H1" s="51" t="s">
        <v>6</v>
      </c>
      <c r="I1" s="51" t="s">
        <v>52</v>
      </c>
      <c r="J1" s="52" t="s">
        <v>53</v>
      </c>
      <c r="K1" s="52" t="s">
        <v>54</v>
      </c>
      <c r="L1" s="52" t="s">
        <v>55</v>
      </c>
      <c r="M1" s="52" t="s">
        <v>56</v>
      </c>
      <c r="N1" s="52" t="s">
        <v>58</v>
      </c>
      <c r="O1" s="52" t="s">
        <v>57</v>
      </c>
    </row>
    <row r="2" spans="1:15" x14ac:dyDescent="0.35">
      <c r="A2" s="25" t="s">
        <v>41</v>
      </c>
      <c r="B2" s="25" t="s">
        <v>7</v>
      </c>
      <c r="C2" s="25" t="s">
        <v>8</v>
      </c>
      <c r="D2" s="5">
        <v>0.1</v>
      </c>
      <c r="E2" s="26">
        <v>0</v>
      </c>
      <c r="F2" s="26">
        <v>1</v>
      </c>
      <c r="G2" s="26"/>
      <c r="H2" s="26">
        <v>2</v>
      </c>
      <c r="I2" s="46">
        <v>2</v>
      </c>
      <c r="J2" s="23">
        <f>IF(I2&lt;=E2,0,IF(I2&lt;=F2,(I2-E2)/(F2-E2),IF(I2&lt;H2,1+(I2-F2)/(H2-F2),2)))</f>
        <v>2</v>
      </c>
      <c r="K2" s="27">
        <f>+J2*D2</f>
        <v>0.2</v>
      </c>
    </row>
    <row r="3" spans="1:15" x14ac:dyDescent="0.35">
      <c r="A3" s="25" t="s">
        <v>41</v>
      </c>
      <c r="B3" s="25" t="s">
        <v>7</v>
      </c>
      <c r="C3" s="25" t="s">
        <v>9</v>
      </c>
      <c r="D3" s="5">
        <v>0.05</v>
      </c>
      <c r="E3" s="26">
        <v>0</v>
      </c>
      <c r="F3" s="26">
        <v>1</v>
      </c>
      <c r="G3" s="26"/>
      <c r="H3" s="26">
        <v>2</v>
      </c>
      <c r="I3" s="46">
        <v>1.9990000000000001</v>
      </c>
      <c r="J3" s="23">
        <f t="shared" ref="J3:J16" si="0">IF(I3&lt;=E3,0,IF(I3&lt;=F3,(I3-E3)/(F3-E3),IF(I3&lt;H3,1+(I3-F3)/(H3-F3),2)))</f>
        <v>1.9990000000000001</v>
      </c>
      <c r="K3" s="27">
        <f t="shared" ref="K3:K18" si="1">+J3*D3</f>
        <v>9.9950000000000011E-2</v>
      </c>
    </row>
    <row r="4" spans="1:15" x14ac:dyDescent="0.35">
      <c r="A4" s="25" t="s">
        <v>41</v>
      </c>
      <c r="B4" s="25" t="s">
        <v>7</v>
      </c>
      <c r="C4" s="25" t="s">
        <v>10</v>
      </c>
      <c r="D4" s="5">
        <v>0.05</v>
      </c>
      <c r="E4" s="26">
        <v>0</v>
      </c>
      <c r="F4" s="26">
        <v>1</v>
      </c>
      <c r="G4" s="26"/>
      <c r="H4" s="26">
        <v>2</v>
      </c>
      <c r="I4" s="46">
        <v>2</v>
      </c>
      <c r="J4" s="23">
        <f t="shared" si="0"/>
        <v>2</v>
      </c>
      <c r="K4" s="27">
        <f t="shared" si="1"/>
        <v>0.1</v>
      </c>
    </row>
    <row r="5" spans="1:15" x14ac:dyDescent="0.35">
      <c r="A5" s="25" t="s">
        <v>41</v>
      </c>
      <c r="B5" s="25" t="s">
        <v>7</v>
      </c>
      <c r="C5" s="25" t="s">
        <v>11</v>
      </c>
      <c r="D5" s="5">
        <v>0.1</v>
      </c>
      <c r="E5" s="26">
        <v>0</v>
      </c>
      <c r="F5" s="26">
        <v>1</v>
      </c>
      <c r="G5" s="26"/>
      <c r="H5" s="26">
        <v>2</v>
      </c>
      <c r="I5" s="46">
        <v>1.5469999999999999</v>
      </c>
      <c r="J5" s="23">
        <f t="shared" si="0"/>
        <v>1.5469999999999999</v>
      </c>
      <c r="K5" s="27">
        <f t="shared" si="1"/>
        <v>0.1547</v>
      </c>
    </row>
    <row r="6" spans="1:15" x14ac:dyDescent="0.35">
      <c r="A6" s="25" t="s">
        <v>41</v>
      </c>
      <c r="B6" s="25" t="s">
        <v>7</v>
      </c>
      <c r="C6" s="25" t="s">
        <v>42</v>
      </c>
      <c r="D6" s="5">
        <v>0.05</v>
      </c>
      <c r="E6" s="26">
        <v>29</v>
      </c>
      <c r="F6" s="26">
        <v>23</v>
      </c>
      <c r="G6" s="26"/>
      <c r="H6" s="26">
        <v>18</v>
      </c>
      <c r="I6" s="46">
        <v>1</v>
      </c>
      <c r="J6" s="23">
        <f>IF(I6&gt;=E6,0,IF(I6&gt;=F6,1-(I6-F6)/(E6-F6),IF(I6&gt;H6,1+(I6-F6)/(H6-F6),2)))</f>
        <v>2</v>
      </c>
      <c r="K6" s="27">
        <f t="shared" si="1"/>
        <v>0.1</v>
      </c>
    </row>
    <row r="7" spans="1:15" x14ac:dyDescent="0.35">
      <c r="A7" s="25" t="s">
        <v>41</v>
      </c>
      <c r="B7" s="25" t="s">
        <v>29</v>
      </c>
      <c r="C7" s="25" t="s">
        <v>14</v>
      </c>
      <c r="D7" s="5">
        <v>0.05</v>
      </c>
      <c r="E7" s="10">
        <v>0.9</v>
      </c>
      <c r="F7" s="10">
        <v>0.93</v>
      </c>
      <c r="G7" s="10"/>
      <c r="H7" s="10">
        <v>0.96</v>
      </c>
      <c r="I7" s="47">
        <v>0.93899999999999995</v>
      </c>
      <c r="J7" s="23">
        <f>IF(I7&lt;=E7,0,IF(I7&lt;=F7,(I7-E7)/(F7-E7),IF(I7&lt;H7,1+(I7-F7)/(H7-F7),2)))</f>
        <v>1.2999999999999974</v>
      </c>
      <c r="K7" s="27">
        <f t="shared" si="1"/>
        <v>6.4999999999999877E-2</v>
      </c>
    </row>
    <row r="8" spans="1:15" x14ac:dyDescent="0.35">
      <c r="A8" s="25" t="s">
        <v>41</v>
      </c>
      <c r="B8" s="25" t="s">
        <v>29</v>
      </c>
      <c r="C8" s="25" t="s">
        <v>43</v>
      </c>
      <c r="D8" s="5">
        <v>0.05</v>
      </c>
      <c r="E8" s="10">
        <v>0</v>
      </c>
      <c r="F8" s="10">
        <v>0.15</v>
      </c>
      <c r="G8" s="10"/>
      <c r="H8" s="10">
        <v>0.2</v>
      </c>
      <c r="I8" s="47">
        <v>0.2</v>
      </c>
      <c r="J8" s="23">
        <f t="shared" si="0"/>
        <v>2</v>
      </c>
      <c r="K8" s="27">
        <f t="shared" si="1"/>
        <v>0.1</v>
      </c>
    </row>
    <row r="9" spans="1:15" x14ac:dyDescent="0.35">
      <c r="A9" s="25" t="s">
        <v>41</v>
      </c>
      <c r="B9" s="25" t="s">
        <v>18</v>
      </c>
      <c r="C9" s="25" t="s">
        <v>44</v>
      </c>
      <c r="D9" s="5">
        <v>0.1</v>
      </c>
      <c r="E9" s="28">
        <v>701.88800000000003</v>
      </c>
      <c r="F9" s="28">
        <v>797.6</v>
      </c>
      <c r="G9" s="28"/>
      <c r="H9" s="28">
        <v>893.31200000000013</v>
      </c>
      <c r="I9" s="46">
        <v>798.6</v>
      </c>
      <c r="J9" s="23">
        <f t="shared" si="0"/>
        <v>1.010448010698763</v>
      </c>
      <c r="K9" s="27">
        <f t="shared" si="1"/>
        <v>0.1010448010698763</v>
      </c>
    </row>
    <row r="10" spans="1:15" x14ac:dyDescent="0.35">
      <c r="A10" s="25" t="s">
        <v>41</v>
      </c>
      <c r="B10" s="25" t="s">
        <v>18</v>
      </c>
      <c r="C10" s="25" t="s">
        <v>32</v>
      </c>
      <c r="D10" s="5">
        <v>0.1</v>
      </c>
      <c r="E10" s="28">
        <v>1906.2651786212502</v>
      </c>
      <c r="F10" s="28">
        <v>2242.6649160250004</v>
      </c>
      <c r="G10" s="28"/>
      <c r="H10" s="28">
        <v>2579.0646534287503</v>
      </c>
      <c r="I10" s="46">
        <v>2224.5354076949998</v>
      </c>
      <c r="J10" s="23">
        <f t="shared" si="0"/>
        <v>0.94610724589168926</v>
      </c>
      <c r="K10" s="27">
        <f t="shared" si="1"/>
        <v>9.4610724589168929E-2</v>
      </c>
    </row>
    <row r="11" spans="1:15" x14ac:dyDescent="0.35">
      <c r="A11" s="25" t="s">
        <v>41</v>
      </c>
      <c r="B11" s="25" t="s">
        <v>18</v>
      </c>
      <c r="C11" s="25" t="s">
        <v>33</v>
      </c>
      <c r="D11" s="5">
        <v>0.1</v>
      </c>
      <c r="E11" s="29">
        <v>8.5500000000000007E-2</v>
      </c>
      <c r="F11" s="29">
        <v>9.0499999999999997E-2</v>
      </c>
      <c r="G11" s="29">
        <v>9.5500000000000002E-2</v>
      </c>
      <c r="H11" s="29">
        <v>9.8000000000000004E-2</v>
      </c>
      <c r="I11" s="47">
        <v>8.6561610281237988E-2</v>
      </c>
      <c r="J11" s="30">
        <f>+IF(I11&gt;=H11,2,IF(I11&gt;=G11,1.5+(I11-G11)/(H11-G11)*0.5,IF(I11&gt;=F11,1+(I11-F11)/(G11-F11)*0.5,IF(I11&gt;=E11,(I11-E11)/(F11-E11),0))))</f>
        <v>0.21232205624759676</v>
      </c>
      <c r="K11" s="27">
        <f t="shared" si="1"/>
        <v>2.1232205624759679E-2</v>
      </c>
    </row>
    <row r="12" spans="1:15" x14ac:dyDescent="0.35">
      <c r="A12" s="25" t="s">
        <v>41</v>
      </c>
      <c r="B12" s="25" t="s">
        <v>15</v>
      </c>
      <c r="C12" s="25" t="s">
        <v>45</v>
      </c>
      <c r="D12" s="5">
        <v>0.05</v>
      </c>
      <c r="E12" s="28">
        <v>3015.4589826008973</v>
      </c>
      <c r="F12" s="28">
        <v>3277.6728071748885</v>
      </c>
      <c r="G12" s="28"/>
      <c r="H12" s="28">
        <v>3376.0029913901353</v>
      </c>
      <c r="I12" s="46">
        <v>3401</v>
      </c>
      <c r="J12" s="23">
        <f t="shared" si="0"/>
        <v>2</v>
      </c>
      <c r="K12" s="27">
        <f t="shared" si="1"/>
        <v>0.1</v>
      </c>
    </row>
    <row r="13" spans="1:15" x14ac:dyDescent="0.35">
      <c r="A13" s="25" t="s">
        <v>41</v>
      </c>
      <c r="B13" s="25" t="s">
        <v>21</v>
      </c>
      <c r="C13" s="25" t="s">
        <v>46</v>
      </c>
      <c r="D13" s="5">
        <v>2.5000000000000001E-2</v>
      </c>
      <c r="E13" s="26">
        <v>2</v>
      </c>
      <c r="F13" s="26">
        <v>4</v>
      </c>
      <c r="G13" s="26"/>
      <c r="H13" s="26">
        <v>6</v>
      </c>
      <c r="I13" s="46">
        <v>8</v>
      </c>
      <c r="J13" s="23">
        <f t="shared" si="0"/>
        <v>2</v>
      </c>
      <c r="K13" s="27">
        <f t="shared" si="1"/>
        <v>0.05</v>
      </c>
    </row>
    <row r="14" spans="1:15" x14ac:dyDescent="0.35">
      <c r="A14" s="25" t="s">
        <v>41</v>
      </c>
      <c r="B14" s="25" t="s">
        <v>21</v>
      </c>
      <c r="C14" s="25" t="s">
        <v>47</v>
      </c>
      <c r="D14" s="5">
        <v>0.05</v>
      </c>
      <c r="E14" s="26">
        <v>4</v>
      </c>
      <c r="F14" s="26">
        <v>6</v>
      </c>
      <c r="G14" s="26"/>
      <c r="H14" s="26">
        <v>8</v>
      </c>
      <c r="I14" s="46">
        <v>8</v>
      </c>
      <c r="J14" s="23">
        <f t="shared" si="0"/>
        <v>2</v>
      </c>
      <c r="K14" s="27">
        <f t="shared" si="1"/>
        <v>0.1</v>
      </c>
    </row>
    <row r="15" spans="1:15" x14ac:dyDescent="0.35">
      <c r="A15" s="25" t="s">
        <v>41</v>
      </c>
      <c r="B15" s="25" t="s">
        <v>21</v>
      </c>
      <c r="C15" s="25" t="s">
        <v>22</v>
      </c>
      <c r="D15" s="5">
        <v>2.5000000000000001E-2</v>
      </c>
      <c r="E15" s="26">
        <v>39.17</v>
      </c>
      <c r="F15" s="26">
        <v>32.64</v>
      </c>
      <c r="G15" s="26"/>
      <c r="H15" s="26">
        <v>26.11</v>
      </c>
      <c r="I15" s="46">
        <v>26.723659860455001</v>
      </c>
      <c r="J15" s="23">
        <f>IF(I15&gt;=E15,0,IF(I15&gt;=F15,(I15-E15)/(F15-E15),IF(I15&gt;H15,1+(I15-F15)/(H15-F15),2)))</f>
        <v>1.9060245236669218</v>
      </c>
      <c r="K15" s="27">
        <f t="shared" si="1"/>
        <v>4.7650613091673046E-2</v>
      </c>
    </row>
    <row r="16" spans="1:15" x14ac:dyDescent="0.35">
      <c r="A16" s="25" t="s">
        <v>41</v>
      </c>
      <c r="B16" s="25" t="s">
        <v>21</v>
      </c>
      <c r="C16" s="25" t="s">
        <v>48</v>
      </c>
      <c r="D16" s="5">
        <v>2.5000000000000001E-2</v>
      </c>
      <c r="E16" s="26">
        <v>47.95</v>
      </c>
      <c r="F16" s="26">
        <v>50.35</v>
      </c>
      <c r="G16" s="26"/>
      <c r="H16" s="26">
        <v>52.75</v>
      </c>
      <c r="I16" s="46">
        <v>49.01</v>
      </c>
      <c r="J16" s="23">
        <f t="shared" si="0"/>
        <v>0.44166666666666493</v>
      </c>
      <c r="K16" s="27">
        <f t="shared" si="1"/>
        <v>1.1041666666666623E-2</v>
      </c>
    </row>
    <row r="17" spans="1:15" x14ac:dyDescent="0.35">
      <c r="A17" s="25" t="s">
        <v>41</v>
      </c>
      <c r="B17" s="25" t="s">
        <v>21</v>
      </c>
      <c r="C17" s="25" t="s">
        <v>49</v>
      </c>
      <c r="D17" s="5">
        <v>2.5000000000000001E-2</v>
      </c>
      <c r="E17" s="31">
        <v>1200</v>
      </c>
      <c r="F17" s="31">
        <v>1280</v>
      </c>
      <c r="H17" s="31">
        <v>1316</v>
      </c>
      <c r="I17" s="48">
        <v>1486</v>
      </c>
      <c r="J17" s="23">
        <f>IF(I17&lt;=E17,0,IF(I17&lt;=F17,(I17-E17)/(F17-E17),IF(I17&lt;H17,1+(I17-F17)/(H17-F17),2)))</f>
        <v>2</v>
      </c>
      <c r="K17" s="27">
        <f t="shared" si="1"/>
        <v>0.05</v>
      </c>
    </row>
    <row r="18" spans="1:15" x14ac:dyDescent="0.35">
      <c r="A18" s="25" t="s">
        <v>41</v>
      </c>
      <c r="B18" s="25" t="s">
        <v>21</v>
      </c>
      <c r="C18" s="25" t="s">
        <v>26</v>
      </c>
      <c r="D18" s="5">
        <v>2.5000000000000001E-2</v>
      </c>
      <c r="E18" s="26">
        <v>0</v>
      </c>
      <c r="F18" s="26">
        <v>2</v>
      </c>
      <c r="G18" s="26"/>
      <c r="H18" s="26">
        <v>3</v>
      </c>
      <c r="I18" s="49">
        <v>3</v>
      </c>
      <c r="J18" s="23">
        <f>IF(I18&lt;=E18,0,IF(I18&lt;=F18,(I18-E18)/(F18-E18),IF(I18&lt;H18,1+(I18-F18)/(H18-F18),2)))</f>
        <v>2</v>
      </c>
      <c r="K18" s="27">
        <f t="shared" si="1"/>
        <v>0.05</v>
      </c>
    </row>
    <row r="19" spans="1:15" x14ac:dyDescent="0.35">
      <c r="A19" s="25" t="s">
        <v>41</v>
      </c>
      <c r="B19" s="25" t="s">
        <v>21</v>
      </c>
      <c r="C19" s="25" t="s">
        <v>50</v>
      </c>
      <c r="D19" s="5">
        <v>2.5000000000000001E-2</v>
      </c>
      <c r="E19" s="26">
        <v>0</v>
      </c>
      <c r="F19" s="26">
        <v>4</v>
      </c>
      <c r="G19" s="26"/>
      <c r="H19" s="26">
        <v>6</v>
      </c>
      <c r="I19" s="49">
        <v>5</v>
      </c>
      <c r="J19" s="23">
        <f>IF(I19&lt;=E19,0,IF(I19&lt;=F19,(I19-E19)/(F19-E19),IF(I19&lt;H19,1+(I19-F19)/(H19-F19),2)))</f>
        <v>1.5</v>
      </c>
      <c r="K19" s="54">
        <f>+J19*D19</f>
        <v>3.7500000000000006E-2</v>
      </c>
    </row>
    <row r="20" spans="1:15" x14ac:dyDescent="0.35">
      <c r="K20" s="27">
        <f>SUM(K2:K19)</f>
        <v>1.4827300110421446</v>
      </c>
      <c r="L20" s="25">
        <v>1.548</v>
      </c>
      <c r="M20" s="25">
        <v>0.93300000000000005</v>
      </c>
      <c r="N20" s="25">
        <f>ROUND(M20/L20,3)</f>
        <v>0.60299999999999998</v>
      </c>
      <c r="O20" s="25">
        <f>ROUND(K20*N20,3)</f>
        <v>0.89400000000000002</v>
      </c>
    </row>
    <row r="26" spans="1:15" x14ac:dyDescent="0.35">
      <c r="C26" s="25" t="s">
        <v>39</v>
      </c>
    </row>
  </sheetData>
  <pageMargins left="0.7" right="0.7" top="1.5" bottom="0.75" header="0.3" footer="0.3"/>
  <pageSetup scale="60" orientation="landscape" r:id="rId1"/>
  <headerFooter>
    <oddHeader>&amp;R&amp;"Times New Roman,Regular"&amp;12KPSC Case No. 2025-00257
AG/KIUC First Set of Data Requests
KPSC Case No. 2025-00257
AG/KIUC First Set of Data Requests
Dated September 24, 2025
 Item No. 30
Public Attachment 1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8DC5-6A8C-4C7D-AC69-63F4E5A583B4}">
  <dimension ref="A1:J22"/>
  <sheetViews>
    <sheetView workbookViewId="0">
      <selection activeCell="J16" sqref="J16"/>
    </sheetView>
  </sheetViews>
  <sheetFormatPr defaultColWidth="9.26953125" defaultRowHeight="20.149999999999999" customHeight="1" x14ac:dyDescent="0.25"/>
  <cols>
    <col min="1" max="1" width="61" style="73" customWidth="1"/>
    <col min="2" max="3" width="9.7265625" style="73" customWidth="1"/>
    <col min="4" max="4" width="1.7265625" style="103" customWidth="1"/>
    <col min="5" max="5" width="11.7265625" style="73" customWidth="1"/>
    <col min="6" max="6" width="9.7265625" style="73" customWidth="1"/>
    <col min="7" max="19" width="10.7265625" style="73" customWidth="1"/>
    <col min="20" max="16384" width="9.26953125" style="73"/>
  </cols>
  <sheetData>
    <row r="1" spans="1:10" ht="15.5" x14ac:dyDescent="0.25">
      <c r="A1" s="132" t="s">
        <v>97</v>
      </c>
      <c r="B1" s="132"/>
      <c r="C1" s="132"/>
      <c r="D1" s="132"/>
      <c r="E1" s="132"/>
      <c r="F1" s="132"/>
    </row>
    <row r="2" spans="1:10" ht="12.5" x14ac:dyDescent="0.25">
      <c r="A2" s="128"/>
      <c r="B2" s="128"/>
      <c r="C2" s="128"/>
      <c r="D2" s="128"/>
      <c r="E2" s="128"/>
      <c r="F2" s="128"/>
    </row>
    <row r="3" spans="1:10" ht="12.5" x14ac:dyDescent="0.25">
      <c r="A3" s="133" t="s">
        <v>59</v>
      </c>
      <c r="B3" s="135" t="s">
        <v>68</v>
      </c>
      <c r="C3" s="137" t="s">
        <v>91</v>
      </c>
      <c r="D3" s="104"/>
      <c r="E3" s="139" t="s">
        <v>92</v>
      </c>
      <c r="F3" s="139"/>
      <c r="G3" s="99"/>
    </row>
    <row r="4" spans="1:10" ht="31.5" x14ac:dyDescent="0.35">
      <c r="A4" s="134"/>
      <c r="B4" s="136"/>
      <c r="C4" s="138"/>
      <c r="D4" s="104"/>
      <c r="E4" s="115" t="s">
        <v>93</v>
      </c>
      <c r="F4" s="116" t="s">
        <v>94</v>
      </c>
      <c r="G4" s="52" t="s">
        <v>55</v>
      </c>
      <c r="H4" s="52" t="s">
        <v>56</v>
      </c>
      <c r="I4" s="52" t="s">
        <v>58</v>
      </c>
      <c r="J4" s="52" t="s">
        <v>57</v>
      </c>
    </row>
    <row r="5" spans="1:10" ht="14.5" x14ac:dyDescent="0.35">
      <c r="A5" s="105" t="s">
        <v>99</v>
      </c>
      <c r="B5" s="106">
        <f>'[1]BU ICP Scorecard'!C5</f>
        <v>6.0922694335303784E-2</v>
      </c>
      <c r="C5" s="107">
        <f>B5/SUM($B$5:$B$15)</f>
        <v>8.9925811201811243E-2</v>
      </c>
      <c r="D5" s="108"/>
      <c r="E5" s="109">
        <v>1.619286281085994</v>
      </c>
      <c r="F5" s="110">
        <f t="shared" ref="F5:F15" si="0">E5*C5</f>
        <v>0.14561563239462216</v>
      </c>
      <c r="G5" s="25"/>
      <c r="H5" s="25"/>
      <c r="I5" s="25"/>
      <c r="J5" s="25"/>
    </row>
    <row r="6" spans="1:10" ht="14.5" x14ac:dyDescent="0.35">
      <c r="A6" s="105" t="s">
        <v>100</v>
      </c>
      <c r="B6" s="106">
        <f>'[1]BU ICP Scorecard'!C6</f>
        <v>4.3316144817241053E-2</v>
      </c>
      <c r="C6" s="107">
        <f t="shared" ref="C6:C14" si="1">B6/SUM($B$5:$B$15)</f>
        <v>6.3937412869284421E-2</v>
      </c>
      <c r="D6" s="108"/>
      <c r="E6" s="109">
        <v>1.5640000000000001</v>
      </c>
      <c r="F6" s="110">
        <f t="shared" si="0"/>
        <v>9.9998113727560844E-2</v>
      </c>
      <c r="G6" s="25"/>
      <c r="H6" s="25"/>
      <c r="I6" s="25"/>
      <c r="J6" s="25"/>
    </row>
    <row r="7" spans="1:10" ht="14.5" x14ac:dyDescent="0.35">
      <c r="A7" s="105" t="s">
        <v>101</v>
      </c>
      <c r="B7" s="106">
        <f>'[1]BU ICP Scorecard'!C7</f>
        <v>2.8940841389400958E-2</v>
      </c>
      <c r="C7" s="107">
        <f t="shared" si="1"/>
        <v>4.2718541377719549E-2</v>
      </c>
      <c r="D7" s="108"/>
      <c r="E7" s="109">
        <v>1.8429593333333336</v>
      </c>
      <c r="F7" s="110">
        <f t="shared" si="0"/>
        <v>7.872853453845445E-2</v>
      </c>
      <c r="G7" s="25"/>
      <c r="H7" s="25"/>
      <c r="I7" s="25"/>
      <c r="J7" s="25"/>
    </row>
    <row r="8" spans="1:10" ht="14.5" x14ac:dyDescent="0.35">
      <c r="A8" s="105" t="s">
        <v>102</v>
      </c>
      <c r="B8" s="106">
        <f>'[1]BU ICP Scorecard'!C8</f>
        <v>1.0753222564960616E-2</v>
      </c>
      <c r="C8" s="107">
        <f t="shared" si="1"/>
        <v>1.5872447414515403E-2</v>
      </c>
      <c r="D8" s="108"/>
      <c r="E8" s="109">
        <v>1.3490435482846401</v>
      </c>
      <c r="F8" s="110">
        <f t="shared" si="0"/>
        <v>2.141262278003922E-2</v>
      </c>
      <c r="G8" s="25"/>
      <c r="H8" s="25"/>
      <c r="I8" s="25"/>
      <c r="J8" s="25"/>
    </row>
    <row r="9" spans="1:10" ht="14.5" x14ac:dyDescent="0.35">
      <c r="A9" s="105" t="s">
        <v>103</v>
      </c>
      <c r="B9" s="106">
        <f>'[1]BU ICP Scorecard'!C9</f>
        <v>2.6532110314848104E-2</v>
      </c>
      <c r="C9" s="107">
        <f t="shared" si="1"/>
        <v>3.9163099547553225E-2</v>
      </c>
      <c r="D9" s="108"/>
      <c r="E9" s="109">
        <v>1.259633670866865</v>
      </c>
      <c r="F9" s="110">
        <f t="shared" si="0"/>
        <v>4.9331158845608923E-2</v>
      </c>
      <c r="G9" s="25"/>
      <c r="H9" s="25"/>
      <c r="I9" s="25"/>
      <c r="J9" s="25"/>
    </row>
    <row r="10" spans="1:10" ht="14.5" x14ac:dyDescent="0.35">
      <c r="A10" s="105" t="s">
        <v>104</v>
      </c>
      <c r="B10" s="106">
        <f>'[1]BU ICP Scorecard'!C10</f>
        <v>3.0327238360126931E-2</v>
      </c>
      <c r="C10" s="107">
        <f t="shared" si="1"/>
        <v>4.476495238433225E-2</v>
      </c>
      <c r="D10" s="108"/>
      <c r="E10" s="109">
        <v>1.2365049054461226</v>
      </c>
      <c r="F10" s="110">
        <f t="shared" si="0"/>
        <v>5.5352083215288929E-2</v>
      </c>
      <c r="G10" s="25"/>
      <c r="H10" s="25"/>
      <c r="I10" s="25"/>
      <c r="J10" s="25"/>
    </row>
    <row r="11" spans="1:10" ht="14.5" x14ac:dyDescent="0.35">
      <c r="A11" s="105" t="s">
        <v>105</v>
      </c>
      <c r="B11" s="106">
        <f>'[1]BU ICP Scorecard'!C11</f>
        <v>5.0923846703392346E-2</v>
      </c>
      <c r="C11" s="107">
        <f t="shared" si="1"/>
        <v>7.51668696580539E-2</v>
      </c>
      <c r="D11" s="108"/>
      <c r="E11" s="109">
        <v>1.6479999999999999</v>
      </c>
      <c r="F11" s="110">
        <f t="shared" si="0"/>
        <v>0.12387500119647282</v>
      </c>
      <c r="G11" s="25"/>
      <c r="H11" s="25"/>
      <c r="I11" s="25"/>
      <c r="J11" s="25"/>
    </row>
    <row r="12" spans="1:10" ht="14.5" x14ac:dyDescent="0.35">
      <c r="A12" s="105" t="s">
        <v>106</v>
      </c>
      <c r="B12" s="106">
        <f>'[1]BU ICP Scorecard'!C12</f>
        <v>0.11710955427334349</v>
      </c>
      <c r="C12" s="107">
        <f t="shared" si="1"/>
        <v>0.17286122654969804</v>
      </c>
      <c r="D12" s="108"/>
      <c r="E12" s="109">
        <v>1.506</v>
      </c>
      <c r="F12" s="110">
        <f t="shared" si="0"/>
        <v>0.26032900718384527</v>
      </c>
      <c r="G12" s="25"/>
      <c r="H12" s="25"/>
      <c r="I12" s="25"/>
      <c r="J12" s="25"/>
    </row>
    <row r="13" spans="1:10" ht="14.5" x14ac:dyDescent="0.35">
      <c r="A13" s="105" t="s">
        <v>107</v>
      </c>
      <c r="B13" s="106">
        <f>'[1]BU ICP Scorecard'!C13</f>
        <v>7.3735325751214789E-2</v>
      </c>
      <c r="C13" s="107">
        <f t="shared" si="1"/>
        <v>0.10883807840004535</v>
      </c>
      <c r="D13" s="108"/>
      <c r="E13" s="109">
        <v>1.81</v>
      </c>
      <c r="F13" s="110">
        <f t="shared" si="0"/>
        <v>0.19699692190408208</v>
      </c>
      <c r="G13" s="25"/>
      <c r="H13" s="25"/>
      <c r="I13" s="25"/>
      <c r="J13" s="25"/>
    </row>
    <row r="14" spans="1:10" ht="14.5" x14ac:dyDescent="0.35">
      <c r="A14" s="105" t="s">
        <v>108</v>
      </c>
      <c r="B14" s="106">
        <f>'[1]BU ICP Scorecard'!C14</f>
        <v>0.23130478854564213</v>
      </c>
      <c r="C14" s="107">
        <f t="shared" si="1"/>
        <v>0.3414207295289769</v>
      </c>
      <c r="D14" s="108"/>
      <c r="E14" s="109">
        <v>1.4827300110421444</v>
      </c>
      <c r="F14" s="110">
        <f t="shared" si="0"/>
        <v>0.5062347620645169</v>
      </c>
      <c r="G14" s="25"/>
      <c r="H14" s="25"/>
      <c r="I14" s="25"/>
      <c r="J14" s="25"/>
    </row>
    <row r="15" spans="1:10" ht="14.5" x14ac:dyDescent="0.35">
      <c r="A15" s="105" t="s">
        <v>109</v>
      </c>
      <c r="B15" s="106">
        <f>'[1]BU ICP Scorecard'!C15</f>
        <v>3.6115169534657186E-3</v>
      </c>
      <c r="C15" s="107">
        <f>B15/SUM($B$5:$B$15)</f>
        <v>5.3308310680097448E-3</v>
      </c>
      <c r="D15" s="108"/>
      <c r="E15" s="109">
        <v>1.9824999999999999</v>
      </c>
      <c r="F15" s="110">
        <f t="shared" si="0"/>
        <v>1.0568372592329319E-2</v>
      </c>
      <c r="G15" s="25"/>
      <c r="H15" s="25"/>
      <c r="I15" s="25"/>
      <c r="J15" s="25"/>
    </row>
    <row r="16" spans="1:10" ht="14.5" x14ac:dyDescent="0.35">
      <c r="A16" s="113" t="s">
        <v>98</v>
      </c>
      <c r="B16" s="114">
        <f>SUM(B5:B15)</f>
        <v>0.67747728400893992</v>
      </c>
      <c r="C16" s="114">
        <f>SUM(C5:C15)</f>
        <v>1</v>
      </c>
      <c r="D16" s="111"/>
      <c r="E16" s="100"/>
      <c r="F16" s="112">
        <f>ROUND(SUM(F5:F15),3)</f>
        <v>1.548</v>
      </c>
      <c r="G16" s="25">
        <v>1.548</v>
      </c>
      <c r="H16" s="25">
        <v>0.93300000000000005</v>
      </c>
      <c r="I16" s="25">
        <f>ROUND(H16/G16,3)</f>
        <v>0.60299999999999998</v>
      </c>
      <c r="J16" s="25">
        <f>ROUND(F16*I16,3)</f>
        <v>0.93300000000000005</v>
      </c>
    </row>
    <row r="17" spans="1:10" ht="14.5" x14ac:dyDescent="0.35">
      <c r="A17" s="101" t="s">
        <v>95</v>
      </c>
      <c r="D17" s="102"/>
      <c r="G17" s="25"/>
      <c r="H17" s="25"/>
      <c r="I17" s="25"/>
      <c r="J17" s="25"/>
    </row>
    <row r="18" spans="1:10" ht="14.5" x14ac:dyDescent="0.35">
      <c r="A18" s="101" t="s">
        <v>96</v>
      </c>
      <c r="D18" s="102"/>
      <c r="G18" s="25"/>
      <c r="H18" s="25"/>
      <c r="I18" s="25"/>
      <c r="J18" s="25"/>
    </row>
    <row r="19" spans="1:10" ht="20.149999999999999" customHeight="1" x14ac:dyDescent="0.35">
      <c r="G19" s="25"/>
      <c r="H19" s="25"/>
      <c r="I19" s="25"/>
      <c r="J19" s="25"/>
    </row>
    <row r="20" spans="1:10" ht="20.149999999999999" customHeight="1" x14ac:dyDescent="0.35">
      <c r="G20" s="25"/>
      <c r="H20" s="25"/>
      <c r="I20" s="25"/>
      <c r="J20" s="25"/>
    </row>
    <row r="21" spans="1:10" ht="20.149999999999999" customHeight="1" x14ac:dyDescent="0.35">
      <c r="G21" s="25"/>
      <c r="H21" s="25"/>
      <c r="I21" s="25"/>
      <c r="J21" s="25"/>
    </row>
    <row r="22" spans="1:10" ht="20.149999999999999" customHeight="1" x14ac:dyDescent="0.35">
      <c r="G22" s="25"/>
      <c r="H22" s="25"/>
      <c r="I22" s="25"/>
      <c r="J22" s="25"/>
    </row>
  </sheetData>
  <mergeCells count="6">
    <mergeCell ref="A1:F1"/>
    <mergeCell ref="A2:F2"/>
    <mergeCell ref="A3:A4"/>
    <mergeCell ref="B3:B4"/>
    <mergeCell ref="C3:C4"/>
    <mergeCell ref="E3:F3"/>
  </mergeCells>
  <conditionalFormatting sqref="E5:E15">
    <cfRule type="cellIs" dxfId="5" priority="1" stopIfTrue="1" operator="lessThanOrEqual">
      <formula>0.9</formula>
    </cfRule>
    <cfRule type="cellIs" dxfId="4" priority="2" stopIfTrue="1" operator="between">
      <formula>0.9</formula>
      <formula>1.1</formula>
    </cfRule>
    <cfRule type="cellIs" dxfId="3" priority="3" stopIfTrue="1" operator="greaterThanOrEqual">
      <formula>1.1</formula>
    </cfRule>
  </conditionalFormatting>
  <conditionalFormatting sqref="F16">
    <cfRule type="cellIs" dxfId="2" priority="4" stopIfTrue="1" operator="lessThanOrEqual">
      <formula>0.9</formula>
    </cfRule>
    <cfRule type="cellIs" dxfId="1" priority="5" stopIfTrue="1" operator="between">
      <formula>0.9</formula>
      <formula>1.1</formula>
    </cfRule>
    <cfRule type="cellIs" dxfId="0" priority="6" stopIfTrue="1" operator="greaterThanOrEqual">
      <formula>1.1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AF37-18AA-4CA9-BD1D-AA1DBE471661}">
  <dimension ref="A1:E35"/>
  <sheetViews>
    <sheetView tabSelected="1" workbookViewId="0">
      <selection activeCell="B35" sqref="B35"/>
    </sheetView>
  </sheetViews>
  <sheetFormatPr defaultColWidth="9.26953125" defaultRowHeight="12.5" outlineLevelCol="1" x14ac:dyDescent="0.25"/>
  <cols>
    <col min="1" max="1" width="2.7265625" style="73" customWidth="1"/>
    <col min="2" max="2" width="94" style="73" bestFit="1" customWidth="1"/>
    <col min="3" max="3" width="9.7265625" style="73" customWidth="1"/>
    <col min="4" max="4" width="12.7265625" style="73" hidden="1" customWidth="1" outlineLevel="1"/>
    <col min="5" max="5" width="12.7265625" style="73" bestFit="1" customWidth="1" collapsed="1"/>
    <col min="6" max="16384" width="9.26953125" style="73"/>
  </cols>
  <sheetData>
    <row r="1" spans="1:5" ht="18" x14ac:dyDescent="0.25">
      <c r="B1" s="74"/>
    </row>
    <row r="2" spans="1:5" s="75" customFormat="1" ht="15.5" x14ac:dyDescent="0.35">
      <c r="B2" s="76"/>
    </row>
    <row r="3" spans="1:5" ht="21.5" x14ac:dyDescent="0.25">
      <c r="B3" s="92" t="s">
        <v>90</v>
      </c>
      <c r="C3" s="92" t="s">
        <v>68</v>
      </c>
      <c r="D3" s="93" t="s">
        <v>69</v>
      </c>
      <c r="E3" s="93" t="s">
        <v>70</v>
      </c>
    </row>
    <row r="4" spans="1:5" s="75" customFormat="1" ht="13" x14ac:dyDescent="0.35">
      <c r="A4" s="75">
        <v>1</v>
      </c>
      <c r="B4" s="117" t="str">
        <f>CONCATENATE("Operating Earnings Per Share - $",[1]EPS!H4)</f>
        <v>Operating Earnings Per Share - $5.6178</v>
      </c>
      <c r="C4" s="126">
        <v>0.6</v>
      </c>
      <c r="D4" s="119">
        <f>ROUND([1]EPS!H5,3)</f>
        <v>0.91500000000000004</v>
      </c>
      <c r="E4" s="119">
        <f>ROUND([1]EPS!H5,3)</f>
        <v>0.91500000000000004</v>
      </c>
    </row>
    <row r="5" spans="1:5" s="75" customFormat="1" x14ac:dyDescent="0.35">
      <c r="B5" s="77" t="s">
        <v>71</v>
      </c>
      <c r="C5" s="78"/>
      <c r="D5" s="79"/>
      <c r="E5" s="80"/>
    </row>
    <row r="6" spans="1:5" s="75" customFormat="1" x14ac:dyDescent="0.35">
      <c r="A6" s="81">
        <f>A4+1</f>
        <v>2</v>
      </c>
      <c r="B6" s="94" t="s">
        <v>82</v>
      </c>
      <c r="C6" s="95">
        <v>0.1</v>
      </c>
      <c r="D6" s="96">
        <f>[1]Safety!M7</f>
        <v>2</v>
      </c>
      <c r="E6" s="96">
        <f>[1]Safety!N7</f>
        <v>2</v>
      </c>
    </row>
    <row r="7" spans="1:5" s="75" customFormat="1" ht="13" x14ac:dyDescent="0.35">
      <c r="A7" s="81"/>
      <c r="B7" s="117" t="s">
        <v>85</v>
      </c>
      <c r="C7" s="118">
        <f>C6</f>
        <v>0.1</v>
      </c>
      <c r="D7" s="119">
        <f>IF(D$4&gt;=1,D6,IF(AND(D$4=1,D6=1),1,IF(AND(D$4&lt;=1,D6&lt;=1),D6,IF(AND(D$4&lt;=1,D6&gt;1),1))))</f>
        <v>1</v>
      </c>
      <c r="E7" s="119">
        <f>IF(E$4&gt;=1,E6,IF(AND(E$4=1,E6=1),1,IF(AND(E$4&lt;=1,E6&lt;=1),E6,IF(AND(E$4&lt;=1,E6&gt;1),1))))</f>
        <v>1</v>
      </c>
    </row>
    <row r="8" spans="1:5" s="75" customFormat="1" x14ac:dyDescent="0.35">
      <c r="A8" s="81">
        <f>A6+1</f>
        <v>3</v>
      </c>
      <c r="B8" s="94" t="s">
        <v>83</v>
      </c>
      <c r="C8" s="97">
        <v>0.04</v>
      </c>
      <c r="D8" s="96">
        <f>[1]Safety!M8</f>
        <v>2</v>
      </c>
      <c r="E8" s="96">
        <f>[1]Safety!N8</f>
        <v>2</v>
      </c>
    </row>
    <row r="9" spans="1:5" s="75" customFormat="1" ht="13" x14ac:dyDescent="0.35">
      <c r="A9" s="81"/>
      <c r="B9" s="117" t="s">
        <v>88</v>
      </c>
      <c r="C9" s="118">
        <f>C8</f>
        <v>0.04</v>
      </c>
      <c r="D9" s="119">
        <f>IF(D$4&gt;=1,D8,IF(AND(D$4=1,D8=1),1,IF(AND(D$4&lt;=1,D8&lt;=1),D8,IF(AND(D$4&lt;=1,D8&gt;1),1))))</f>
        <v>1</v>
      </c>
      <c r="E9" s="119">
        <f>IF(E$4&gt;=1,E8,IF(AND(E$4=1,E8=1),1,IF(AND(E$4&lt;=1,E8&lt;=1),E8,IF(AND(E$4&lt;=1,E8&gt;1),1))))</f>
        <v>1</v>
      </c>
    </row>
    <row r="10" spans="1:5" s="75" customFormat="1" x14ac:dyDescent="0.35">
      <c r="A10" s="81">
        <f>A8+1</f>
        <v>4</v>
      </c>
      <c r="B10" s="94" t="s">
        <v>72</v>
      </c>
      <c r="C10" s="97">
        <v>0.03</v>
      </c>
      <c r="D10" s="96">
        <f>[1]Safety!M9</f>
        <v>0.54</v>
      </c>
      <c r="E10" s="96">
        <f>[1]Safety!N9</f>
        <v>0.54</v>
      </c>
    </row>
    <row r="11" spans="1:5" s="75" customFormat="1" ht="13" x14ac:dyDescent="0.35">
      <c r="A11" s="81"/>
      <c r="B11" s="117" t="s">
        <v>87</v>
      </c>
      <c r="C11" s="118">
        <f>C10</f>
        <v>0.03</v>
      </c>
      <c r="D11" s="119">
        <f>IF(D$4&gt;=1,D10,IF(AND(D$4=1,D10=1),1,IF(AND(D$4&lt;=1,D10&lt;=1),D10,IF(AND(D$4&lt;=1,D10&gt;1),1))))</f>
        <v>0.54</v>
      </c>
      <c r="E11" s="119">
        <f>IF(E$4&gt;=1,E10,IF(AND(E$4=1,E10=1),1,IF(AND(E$4&lt;=1,E10&lt;=1),E10,IF(AND(E$4&lt;=1,E10&gt;1),1))))</f>
        <v>0.54</v>
      </c>
    </row>
    <row r="12" spans="1:5" s="75" customFormat="1" x14ac:dyDescent="0.35">
      <c r="A12" s="81">
        <f>A10+1</f>
        <v>5</v>
      </c>
      <c r="B12" s="94" t="s">
        <v>84</v>
      </c>
      <c r="C12" s="97">
        <v>0.03</v>
      </c>
      <c r="D12" s="96">
        <f>[1]Safety!M12</f>
        <v>2</v>
      </c>
      <c r="E12" s="96">
        <f>[1]Safety!N12</f>
        <v>2</v>
      </c>
    </row>
    <row r="13" spans="1:5" s="75" customFormat="1" ht="13" x14ac:dyDescent="0.35">
      <c r="A13" s="81"/>
      <c r="B13" s="117" t="s">
        <v>86</v>
      </c>
      <c r="C13" s="118">
        <f>C12</f>
        <v>0.03</v>
      </c>
      <c r="D13" s="119">
        <f>IF(D$4&gt;=1,D12,IF(AND(D$4=1,D12=1),1,IF(AND(D$4&lt;=1,D12&lt;=1),D12,IF(AND(D$4&lt;=1,D12&gt;1),1))))</f>
        <v>1</v>
      </c>
      <c r="E13" s="119">
        <f>IF(E$4&gt;=1,E12,IF(AND(E$4=1,E12=1),1,IF(AND(E$4&lt;=1,E12&lt;=1),E12,IF(AND(E$4&lt;=1,E12&gt;1),1))))</f>
        <v>1</v>
      </c>
    </row>
    <row r="14" spans="1:5" s="75" customFormat="1" x14ac:dyDescent="0.35">
      <c r="A14" s="81"/>
      <c r="B14" s="98" t="s">
        <v>12</v>
      </c>
      <c r="C14" s="97"/>
      <c r="D14" s="96">
        <f>IF($C14="Y",0.5,1)</f>
        <v>1</v>
      </c>
      <c r="E14" s="96">
        <f>IF($C14="Y",0.5,1)</f>
        <v>1</v>
      </c>
    </row>
    <row r="15" spans="1:5" s="75" customFormat="1" ht="13" x14ac:dyDescent="0.35">
      <c r="B15" s="117" t="s">
        <v>71</v>
      </c>
      <c r="C15" s="118">
        <f>C7+C9+C11+C13</f>
        <v>0.2</v>
      </c>
      <c r="D15" s="119">
        <f>ROUND(((($C7*D7)+($C9*D9)+($C11*D11)+($C13*D13))/$C15)*$D$14,3)</f>
        <v>0.93100000000000005</v>
      </c>
      <c r="E15" s="119">
        <f>ROUND(((($C7*E7)+($C9*E9)+($C11*E11)+($C13*E13))/$C15)*$E$14,3)</f>
        <v>0.93100000000000005</v>
      </c>
    </row>
    <row r="16" spans="1:5" s="75" customFormat="1" x14ac:dyDescent="0.35">
      <c r="B16" s="117" t="s">
        <v>73</v>
      </c>
      <c r="C16" s="120"/>
      <c r="D16" s="121"/>
      <c r="E16" s="122"/>
    </row>
    <row r="17" spans="1:5" s="75" customFormat="1" x14ac:dyDescent="0.35">
      <c r="A17" s="81">
        <f>A12+1</f>
        <v>6</v>
      </c>
      <c r="B17" s="140" t="s">
        <v>74</v>
      </c>
      <c r="C17" s="141">
        <v>0.05</v>
      </c>
      <c r="D17" s="125">
        <f>ROUND([1]NERC!M7,3)</f>
        <v>2</v>
      </c>
      <c r="E17" s="125">
        <f>ROUND([1]NERC!N7,3)</f>
        <v>2</v>
      </c>
    </row>
    <row r="18" spans="1:5" s="75" customFormat="1" ht="13" x14ac:dyDescent="0.35">
      <c r="B18" s="117" t="s">
        <v>73</v>
      </c>
      <c r="C18" s="118">
        <f>C17</f>
        <v>0.05</v>
      </c>
      <c r="D18" s="119">
        <f>IF(D$4&gt;=1,D17,IF(AND(D$4=1,D17=1),1,IF(AND(D$4&lt;=1,D17&lt;=1),D17,IF(AND(D$4&lt;=1,D17&gt;1),1))))</f>
        <v>1</v>
      </c>
      <c r="E18" s="119">
        <f>IF(E$4&gt;=1,E17,IF(AND(E$4=1,E17=1),1,IF(AND(E$4&lt;=1,E17&lt;=1),E17,IF(AND(E$4&lt;=1,E17&gt;1),1))))</f>
        <v>1</v>
      </c>
    </row>
    <row r="19" spans="1:5" s="75" customFormat="1" x14ac:dyDescent="0.35">
      <c r="B19" s="117" t="s">
        <v>15</v>
      </c>
      <c r="C19" s="120"/>
      <c r="D19" s="121"/>
      <c r="E19" s="122"/>
    </row>
    <row r="20" spans="1:5" s="75" customFormat="1" x14ac:dyDescent="0.35">
      <c r="A20" s="75">
        <f>A17+1</f>
        <v>7</v>
      </c>
      <c r="B20" s="123" t="s">
        <v>75</v>
      </c>
      <c r="C20" s="124">
        <v>0.05</v>
      </c>
      <c r="D20" s="125">
        <f>ROUND('[1]Fed Assistance'!M8,3)</f>
        <v>0.96099999999999997</v>
      </c>
      <c r="E20" s="125">
        <f>ROUND('[1]Fed Assistance'!N8,3)</f>
        <v>0.96099999999999997</v>
      </c>
    </row>
    <row r="21" spans="1:5" s="75" customFormat="1" ht="13" x14ac:dyDescent="0.35">
      <c r="B21" s="117" t="s">
        <v>15</v>
      </c>
      <c r="C21" s="118">
        <f>C20</f>
        <v>0.05</v>
      </c>
      <c r="D21" s="119">
        <f>IF(D$4&gt;=1,D20,IF(AND(D$4=1,D20=1),1,IF(AND(D$4&lt;=1,D20&lt;=1),D20,IF(AND(D$4&lt;=1,D20&gt;1),1))))</f>
        <v>0.96099999999999997</v>
      </c>
      <c r="E21" s="119">
        <f>IF(E$4&gt;=1,E20,IF(AND(E$4=1,E20=1),1,IF(AND(E$4&lt;=1,E20&lt;=1),E20,IF(AND(E$4&lt;=1,E20&gt;1),1))))</f>
        <v>0.96099999999999997</v>
      </c>
    </row>
    <row r="22" spans="1:5" s="75" customFormat="1" x14ac:dyDescent="0.35">
      <c r="B22" s="117" t="s">
        <v>76</v>
      </c>
      <c r="C22" s="120"/>
      <c r="D22" s="121"/>
      <c r="E22" s="122"/>
    </row>
    <row r="23" spans="1:5" s="75" customFormat="1" x14ac:dyDescent="0.35">
      <c r="A23" s="75">
        <f>A20+1</f>
        <v>8</v>
      </c>
      <c r="B23" s="123" t="s">
        <v>77</v>
      </c>
      <c r="C23" s="124">
        <v>0.05</v>
      </c>
      <c r="D23" s="125">
        <f>ROUND([1]SAIDI!M7,3)</f>
        <v>1.4390000000000001</v>
      </c>
      <c r="E23" s="125">
        <f>ROUND([1]SAIDI!N7,3)</f>
        <v>1.4390000000000001</v>
      </c>
    </row>
    <row r="24" spans="1:5" s="75" customFormat="1" ht="13" x14ac:dyDescent="0.35">
      <c r="B24" s="117" t="s">
        <v>76</v>
      </c>
      <c r="C24" s="118">
        <f>C23</f>
        <v>0.05</v>
      </c>
      <c r="D24" s="119">
        <f>IF(D$4&gt;=1,D23,IF(AND(D$4=1,D23=1),1,IF(AND(D$4&lt;=1,D23&lt;=1),D23,IF(AND(D$4&lt;=1,D23&gt;1),1))))</f>
        <v>1</v>
      </c>
      <c r="E24" s="119">
        <f>IF(E$4&gt;=1,E23,IF(AND(E$4=1,E23=1),1,IF(AND(E$4&lt;=1,E23&lt;=1),E23,IF(AND(E$4&lt;=1,E23&gt;1),1))))</f>
        <v>1</v>
      </c>
    </row>
    <row r="25" spans="1:5" s="75" customFormat="1" x14ac:dyDescent="0.35">
      <c r="B25" s="117" t="s">
        <v>78</v>
      </c>
      <c r="C25" s="120"/>
      <c r="D25" s="121"/>
      <c r="E25" s="122"/>
    </row>
    <row r="26" spans="1:5" s="75" customFormat="1" x14ac:dyDescent="0.35">
      <c r="A26" s="75">
        <f>A23+1</f>
        <v>9</v>
      </c>
      <c r="B26" s="123" t="s">
        <v>79</v>
      </c>
      <c r="C26" s="124">
        <v>0.05</v>
      </c>
      <c r="D26" s="125">
        <f>ROUND([1]Engagement!M7,3)</f>
        <v>1</v>
      </c>
      <c r="E26" s="125">
        <f>ROUND([1]Engagement!N7,3)</f>
        <v>1</v>
      </c>
    </row>
    <row r="27" spans="1:5" s="75" customFormat="1" ht="13" x14ac:dyDescent="0.35">
      <c r="B27" s="117" t="s">
        <v>78</v>
      </c>
      <c r="C27" s="118">
        <f>C26</f>
        <v>0.05</v>
      </c>
      <c r="D27" s="119">
        <f>IF(D$4&gt;=1,D26,IF(AND(D$4=1,D26=1),1,IF(AND(D$4&lt;=1,D26&lt;=1),D26,IF(AND(D$4&lt;=1,D26&gt;1),1))))</f>
        <v>1</v>
      </c>
      <c r="E27" s="119">
        <f>IF(E$4&gt;=1,E26,IF(AND(E$4=1,E26=1),1,IF(AND(E$4&lt;=1,E26&lt;=1),E26,IF(AND(E$4&lt;=1,E26&gt;1),1))))</f>
        <v>1</v>
      </c>
    </row>
    <row r="28" spans="1:5" s="75" customFormat="1" ht="13" x14ac:dyDescent="0.35">
      <c r="B28" s="117" t="s">
        <v>80</v>
      </c>
      <c r="C28" s="118"/>
      <c r="D28" s="119"/>
      <c r="E28" s="119"/>
    </row>
    <row r="29" spans="1:5" s="75" customFormat="1" ht="13" x14ac:dyDescent="0.35">
      <c r="B29" s="82" t="s">
        <v>89</v>
      </c>
      <c r="C29" s="83">
        <f>C4+C15+C18+C21+C24+C27</f>
        <v>1.0000000000000002</v>
      </c>
      <c r="D29" s="84">
        <f>IF(D4=0,0,ROUND(ROUND($C$4*D4,3)+ROUND($C$15*D15,3)+ROUND($C$18*D18,3)+ROUND($C$21*D21,3)+ROUND($C$24*D24,3)+ROUND($C$27*D27,3)+D28,3))</f>
        <v>0.93300000000000005</v>
      </c>
      <c r="E29" s="84">
        <f>IF(E4=0,0,ROUND(ROUND($C$4*E4,3)+ROUND($C$15*E15,3)+ROUND($C$18*E18,3)+ROUND($C$21*E21,3)+ROUND($C$24*E24,3)+ROUND($C$27*E27,3)+E28,3))</f>
        <v>0.93300000000000005</v>
      </c>
    </row>
    <row r="30" spans="1:5" s="75" customFormat="1" ht="13" hidden="1" x14ac:dyDescent="0.35">
      <c r="B30" s="85"/>
      <c r="D30" s="86" t="e">
        <f>ROUND(ROUND($C$4*D4,3)+ROUND(#REF!*#REF!,3)+ROUND(#REF!*#REF!,3)+ROUND(#REF!*#REF!,3)+ROUND(#REF!*#REF!,3),3)-$D$29</f>
        <v>#REF!</v>
      </c>
      <c r="E30" s="86" t="e">
        <f>ROUND(ROUND($C$4*E4,3)+ROUND(#REF!*#REF!,3)+ROUND(#REF!*#REF!,3)+ROUND(#REF!*#REF!,3)+ROUND(#REF!*#REF!,3),3)-$E$29</f>
        <v>#REF!</v>
      </c>
    </row>
    <row r="31" spans="1:5" s="75" customFormat="1" ht="13" hidden="1" x14ac:dyDescent="0.35">
      <c r="B31" s="87" t="s">
        <v>81</v>
      </c>
      <c r="C31" s="88"/>
      <c r="D31" s="89" t="e">
        <f>ROUND(ROUND(#REF!*#REF!,3)+ROUND(#REF!*#REF!,3)+ROUND(#REF!*#REF!,3)+ROUND(#REF!*#REF!,3),3)</f>
        <v>#REF!</v>
      </c>
      <c r="E31" s="89" t="e">
        <f>ROUND(ROUND(#REF!*#REF!,3)+ROUND(#REF!*#REF!,3)+ROUND(#REF!*#REF!,3)+ROUND(#REF!*#REF!,3),3)</f>
        <v>#REF!</v>
      </c>
    </row>
    <row r="32" spans="1:5" x14ac:dyDescent="0.25">
      <c r="C32" s="90"/>
      <c r="D32" s="91"/>
      <c r="E32" s="91"/>
    </row>
    <row r="34" s="73" customFormat="1" x14ac:dyDescent="0.25"/>
    <row r="35" s="73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E2Nzk8L1VzZXJOYW1lPjxEYXRlVGltZT4xMC8xLzIwMjUgNDoxNTo0NyBQTTwvRGF0ZVRpbWU+PExhYmVsU3RyaW5nPlVuY2F0ZWdvcml6ZWQ8L0xhYmVsU3RyaW5nPjwvaXRlbT48L2xhYmVsSGlzdG9yeT4=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8775C759-6B88-41BD-82D3-0EFCC09C3545}">
  <ds:schemaRefs>
    <ds:schemaRef ds:uri="http://purl.org/dc/dcmitype/"/>
    <ds:schemaRef ds:uri="http://schemas.microsoft.com/office/infopath/2007/PartnerControls"/>
    <ds:schemaRef ds:uri="f88ffb1c-9230-4705-a789-27bae69f582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b6888f76-1100-40b0-929b-1efe9044426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67C2B6-8022-42AE-965A-4BF3A5F03F95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332FBC4D-8701-46D6-8B4A-9643A1D9C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C4EFA8-A568-4C19-B281-FAF9F1061A9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E0B4EC5-3773-4F1D-A1E9-87AF8F1B86B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2024 Summary</vt:lpstr>
      <vt:lpstr>2024 Kentucky Power</vt:lpstr>
      <vt:lpstr>2024 Generation</vt:lpstr>
      <vt:lpstr>2024 Energy Delivery</vt:lpstr>
      <vt:lpstr>2024 Corp_Staff</vt:lpstr>
      <vt:lpstr>2024 Executive and Funding</vt:lpstr>
      <vt:lpstr>'2024 Energy Delivery'!Print_Area</vt:lpstr>
      <vt:lpstr>'2024 Generation'!Print_Area</vt:lpstr>
      <vt:lpstr>'2024 Kentucky Power'!Print_Area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Oren</dc:creator>
  <cp:lastModifiedBy>Michelle Caldwell</cp:lastModifiedBy>
  <cp:lastPrinted>2025-10-01T16:15:34Z</cp:lastPrinted>
  <dcterms:created xsi:type="dcterms:W3CDTF">2025-10-01T16:01:49Z</dcterms:created>
  <dcterms:modified xsi:type="dcterms:W3CDTF">2025-10-09T14:22:46Z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2e2f0084-fb4e-4ef0-996e-d134fce8ed05</vt:lpwstr>
  </property>
  <property fmtid="{D5CDD505-2E9C-101B-9397-08002B2CF9AE}" pid="3" name="bjClsUserRVM">
    <vt:lpwstr>[]</vt:lpwstr>
  </property>
  <property fmtid="{D5CDD505-2E9C-101B-9397-08002B2CF9AE}" pid="4" name="bjSaver">
    <vt:lpwstr>0CazRpy0TSXB0v/4mIH/nZEHp4LFhTB5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{FC67C2B6-8022-42AE-965A-4BF3A5F03F95}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