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2/Attachments/"/>
    </mc:Choice>
  </mc:AlternateContent>
  <xr:revisionPtr revIDLastSave="35" documentId="8_{C4291955-6498-401E-9EA8-27E0CBFA4974}" xr6:coauthVersionLast="47" xr6:coauthVersionMax="47" xr10:uidLastSave="{8E98B0C8-8918-4CBF-A3D2-13E5EADEC1F5}"/>
  <bookViews>
    <workbookView xWindow="-120" yWindow="-120" windowWidth="24240" windowHeight="13020" xr2:uid="{EDAE2AF7-DF33-4D15-8468-9F437BEF691D}"/>
  </bookViews>
  <sheets>
    <sheet name="Cover Page" sheetId="2" r:id="rId1"/>
    <sheet name="Support" sheetId="1" r:id="rId2"/>
  </sheets>
  <externalReferences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E34" i="2"/>
  <c r="E27" i="2"/>
  <c r="E38" i="2"/>
  <c r="E37" i="2"/>
  <c r="E31" i="2"/>
  <c r="J461" i="1"/>
  <c r="J460" i="1"/>
  <c r="J459" i="1"/>
  <c r="J458" i="1"/>
  <c r="J457" i="1"/>
  <c r="I462" i="1"/>
  <c r="I461" i="1"/>
  <c r="I460" i="1"/>
  <c r="I459" i="1"/>
  <c r="I458" i="1"/>
  <c r="I457" i="1"/>
  <c r="H462" i="1"/>
  <c r="G462" i="1"/>
  <c r="F461" i="1"/>
  <c r="F460" i="1"/>
  <c r="F459" i="1"/>
  <c r="F458" i="1"/>
  <c r="F457" i="1"/>
  <c r="F462" i="1" s="1"/>
  <c r="E462" i="1"/>
  <c r="E451" i="1" l="1"/>
  <c r="H199" i="1" l="1"/>
  <c r="D44" i="2" l="1"/>
  <c r="C44" i="2"/>
  <c r="J302" i="1"/>
  <c r="D55" i="2" l="1"/>
  <c r="C55" i="2"/>
  <c r="D41" i="2"/>
  <c r="F53" i="2" l="1"/>
  <c r="F37" i="2"/>
  <c r="F31" i="2"/>
  <c r="F26" i="2"/>
  <c r="H436" i="1"/>
  <c r="I452" i="1" l="1"/>
  <c r="J452" i="1" s="1"/>
  <c r="F449" i="1"/>
  <c r="I449" i="1"/>
  <c r="J449" i="1" s="1"/>
  <c r="J451" i="1"/>
  <c r="H442" i="1"/>
  <c r="F421" i="1"/>
  <c r="F420" i="1"/>
  <c r="F419" i="1"/>
  <c r="E56" i="2" l="1"/>
  <c r="F56" i="2" s="1"/>
  <c r="F199" i="1"/>
  <c r="D51" i="2"/>
  <c r="C51" i="2"/>
  <c r="E32" i="2"/>
  <c r="D32" i="2"/>
  <c r="C32" i="2"/>
  <c r="E13" i="2"/>
  <c r="E12" i="2"/>
  <c r="D13" i="2"/>
  <c r="D12" i="2"/>
  <c r="D11" i="2"/>
  <c r="C12" i="2"/>
  <c r="C13" i="2"/>
  <c r="C11" i="2"/>
  <c r="F32" i="2" l="1"/>
  <c r="F12" i="2"/>
  <c r="F13" i="2"/>
  <c r="C53" i="2" l="1"/>
  <c r="E40" i="2"/>
  <c r="F40" i="2" s="1"/>
  <c r="C40" i="2"/>
  <c r="E39" i="2"/>
  <c r="F39" i="2" s="1"/>
  <c r="C39" i="2"/>
  <c r="F38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F41" i="2" l="1"/>
  <c r="C41" i="2"/>
  <c r="E41" i="2"/>
  <c r="F381" i="1" l="1"/>
  <c r="F385" i="1" s="1"/>
  <c r="F389" i="1" s="1"/>
  <c r="G285" i="1"/>
  <c r="F453" i="1"/>
  <c r="G453" i="1"/>
  <c r="D33" i="2" s="1"/>
  <c r="E453" i="1"/>
  <c r="C33" i="2" s="1"/>
  <c r="F422" i="1"/>
  <c r="F434" i="1" s="1"/>
  <c r="G422" i="1"/>
  <c r="G434" i="1" s="1"/>
  <c r="D30" i="2" s="1"/>
  <c r="E422" i="1"/>
  <c r="E434" i="1" s="1"/>
  <c r="F413" i="1"/>
  <c r="G413" i="1"/>
  <c r="E413" i="1"/>
  <c r="F409" i="1"/>
  <c r="G409" i="1"/>
  <c r="E409" i="1"/>
  <c r="F401" i="1"/>
  <c r="G401" i="1"/>
  <c r="E401" i="1"/>
  <c r="G385" i="1"/>
  <c r="G389" i="1" s="1"/>
  <c r="D25" i="2" s="1"/>
  <c r="E385" i="1"/>
  <c r="E389" i="1" s="1"/>
  <c r="C25" i="2" s="1"/>
  <c r="F368" i="1"/>
  <c r="G368" i="1"/>
  <c r="D23" i="2" s="1"/>
  <c r="E368" i="1"/>
  <c r="F361" i="1"/>
  <c r="G361" i="1"/>
  <c r="D24" i="2" s="1"/>
  <c r="E361" i="1"/>
  <c r="C24" i="2" s="1"/>
  <c r="F354" i="1"/>
  <c r="G354" i="1"/>
  <c r="D22" i="2" s="1"/>
  <c r="E354" i="1"/>
  <c r="F343" i="1"/>
  <c r="G343" i="1"/>
  <c r="E343" i="1"/>
  <c r="F330" i="1"/>
  <c r="G330" i="1"/>
  <c r="E330" i="1"/>
  <c r="F315" i="1"/>
  <c r="G315" i="1"/>
  <c r="E315" i="1"/>
  <c r="F305" i="1"/>
  <c r="G305" i="1"/>
  <c r="E305" i="1"/>
  <c r="F288" i="1"/>
  <c r="G288" i="1"/>
  <c r="E288" i="1"/>
  <c r="F285" i="1"/>
  <c r="E285" i="1"/>
  <c r="F275" i="1"/>
  <c r="G275" i="1"/>
  <c r="E275" i="1"/>
  <c r="F268" i="1"/>
  <c r="G268" i="1"/>
  <c r="E268" i="1"/>
  <c r="F247" i="1"/>
  <c r="G247" i="1"/>
  <c r="E247" i="1"/>
  <c r="F235" i="1"/>
  <c r="G235" i="1"/>
  <c r="E235" i="1"/>
  <c r="F220" i="1"/>
  <c r="G220" i="1"/>
  <c r="D15" i="2" s="1"/>
  <c r="E220" i="1"/>
  <c r="H215" i="1"/>
  <c r="I215" i="1" s="1"/>
  <c r="H216" i="1"/>
  <c r="I216" i="1" s="1"/>
  <c r="H217" i="1"/>
  <c r="H218" i="1"/>
  <c r="I218" i="1" s="1"/>
  <c r="H219" i="1"/>
  <c r="I219" i="1" s="1"/>
  <c r="H221" i="1"/>
  <c r="I221" i="1" s="1"/>
  <c r="H222" i="1"/>
  <c r="I222" i="1" s="1"/>
  <c r="H223" i="1"/>
  <c r="H224" i="1"/>
  <c r="I224" i="1" s="1"/>
  <c r="H225" i="1"/>
  <c r="I225" i="1" s="1"/>
  <c r="H226" i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6" i="1"/>
  <c r="I236" i="1" s="1"/>
  <c r="H237" i="1"/>
  <c r="I237" i="1" s="1"/>
  <c r="H238" i="1"/>
  <c r="I238" i="1" s="1"/>
  <c r="H239" i="1"/>
  <c r="I239" i="1" s="1"/>
  <c r="H241" i="1"/>
  <c r="H242" i="1"/>
  <c r="I242" i="1" s="1"/>
  <c r="H243" i="1"/>
  <c r="I243" i="1" s="1"/>
  <c r="H245" i="1"/>
  <c r="I245" i="1" s="1"/>
  <c r="H246" i="1"/>
  <c r="I246" i="1" s="1"/>
  <c r="H248" i="1"/>
  <c r="I248" i="1" s="1"/>
  <c r="H250" i="1"/>
  <c r="I250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9" i="1"/>
  <c r="I269" i="1" s="1"/>
  <c r="H270" i="1"/>
  <c r="H271" i="1"/>
  <c r="I271" i="1" s="1"/>
  <c r="H272" i="1"/>
  <c r="I272" i="1" s="1"/>
  <c r="H273" i="1"/>
  <c r="I273" i="1" s="1"/>
  <c r="H274" i="1"/>
  <c r="I274" i="1" s="1"/>
  <c r="H276" i="1"/>
  <c r="I276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6" i="1"/>
  <c r="I286" i="1" s="1"/>
  <c r="H287" i="1"/>
  <c r="H288" i="1" s="1"/>
  <c r="H289" i="1"/>
  <c r="I289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H300" i="1"/>
  <c r="I300" i="1" s="1"/>
  <c r="H301" i="1"/>
  <c r="I301" i="1" s="1"/>
  <c r="H303" i="1"/>
  <c r="I303" i="1" s="1"/>
  <c r="J303" i="1" s="1"/>
  <c r="H304" i="1"/>
  <c r="I304" i="1" s="1"/>
  <c r="H306" i="1"/>
  <c r="I306" i="1" s="1"/>
  <c r="H307" i="1"/>
  <c r="I307" i="1" s="1"/>
  <c r="H308" i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6" i="1"/>
  <c r="I316" i="1" s="1"/>
  <c r="H318" i="1"/>
  <c r="I318" i="1" s="1"/>
  <c r="H319" i="1"/>
  <c r="I319" i="1" s="1"/>
  <c r="H320" i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1" i="1"/>
  <c r="I331" i="1" s="1"/>
  <c r="H332" i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4" i="1"/>
  <c r="I344" i="1" s="1"/>
  <c r="H347" i="1"/>
  <c r="I347" i="1" s="1"/>
  <c r="H348" i="1"/>
  <c r="H349" i="1"/>
  <c r="I349" i="1" s="1"/>
  <c r="H350" i="1"/>
  <c r="I350" i="1" s="1"/>
  <c r="H351" i="1"/>
  <c r="I351" i="1" s="1"/>
  <c r="H352" i="1"/>
  <c r="I352" i="1" s="1"/>
  <c r="H353" i="1"/>
  <c r="I353" i="1" s="1"/>
  <c r="H355" i="1"/>
  <c r="I355" i="1" s="1"/>
  <c r="H356" i="1"/>
  <c r="I356" i="1" s="1"/>
  <c r="H357" i="1"/>
  <c r="H358" i="1"/>
  <c r="I358" i="1" s="1"/>
  <c r="H359" i="1"/>
  <c r="I359" i="1" s="1"/>
  <c r="H360" i="1"/>
  <c r="I360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9" i="1"/>
  <c r="I369" i="1" s="1"/>
  <c r="H370" i="1"/>
  <c r="I370" i="1" s="1"/>
  <c r="H371" i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I381" i="1"/>
  <c r="H382" i="1"/>
  <c r="I382" i="1" s="1"/>
  <c r="H383" i="1"/>
  <c r="I383" i="1" s="1"/>
  <c r="H384" i="1"/>
  <c r="I384" i="1" s="1"/>
  <c r="H386" i="1"/>
  <c r="I386" i="1" s="1"/>
  <c r="H387" i="1"/>
  <c r="I387" i="1" s="1"/>
  <c r="J387" i="1" s="1"/>
  <c r="H388" i="1"/>
  <c r="I388" i="1" s="1"/>
  <c r="H390" i="1"/>
  <c r="I390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10" i="1"/>
  <c r="I410" i="1" s="1"/>
  <c r="H411" i="1"/>
  <c r="I411" i="1" s="1"/>
  <c r="H412" i="1"/>
  <c r="I412" i="1" s="1"/>
  <c r="I413" i="1" s="1"/>
  <c r="H414" i="1"/>
  <c r="I414" i="1" s="1"/>
  <c r="H416" i="1"/>
  <c r="I416" i="1" s="1"/>
  <c r="H417" i="1"/>
  <c r="I417" i="1" s="1"/>
  <c r="H418" i="1"/>
  <c r="I418" i="1" s="1"/>
  <c r="H419" i="1"/>
  <c r="H420" i="1"/>
  <c r="I420" i="1" s="1"/>
  <c r="H421" i="1"/>
  <c r="I421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5" i="1"/>
  <c r="I435" i="1" s="1"/>
  <c r="I436" i="1"/>
  <c r="J436" i="1" s="1"/>
  <c r="H437" i="1"/>
  <c r="H438" i="1"/>
  <c r="I438" i="1" s="1"/>
  <c r="J438" i="1" s="1"/>
  <c r="H439" i="1"/>
  <c r="I439" i="1" s="1"/>
  <c r="J439" i="1" s="1"/>
  <c r="H440" i="1"/>
  <c r="I440" i="1" s="1"/>
  <c r="J440" i="1" s="1"/>
  <c r="H441" i="1"/>
  <c r="I441" i="1" s="1"/>
  <c r="J441" i="1" s="1"/>
  <c r="I442" i="1"/>
  <c r="J442" i="1" s="1"/>
  <c r="H443" i="1"/>
  <c r="I443" i="1" s="1"/>
  <c r="J443" i="1" s="1"/>
  <c r="H444" i="1"/>
  <c r="I444" i="1" s="1"/>
  <c r="J444" i="1" s="1"/>
  <c r="H445" i="1"/>
  <c r="I445" i="1" s="1"/>
  <c r="J445" i="1" s="1"/>
  <c r="H446" i="1"/>
  <c r="I446" i="1" s="1"/>
  <c r="J446" i="1" s="1"/>
  <c r="H447" i="1"/>
  <c r="I447" i="1" s="1"/>
  <c r="J447" i="1" s="1"/>
  <c r="H448" i="1"/>
  <c r="I448" i="1" s="1"/>
  <c r="J448" i="1" s="1"/>
  <c r="H450" i="1"/>
  <c r="I450" i="1" s="1"/>
  <c r="J450" i="1" s="1"/>
  <c r="H212" i="1"/>
  <c r="E277" i="1" l="1"/>
  <c r="E290" i="1" s="1"/>
  <c r="C19" i="2" s="1"/>
  <c r="F249" i="1"/>
  <c r="F251" i="1" s="1"/>
  <c r="I401" i="1"/>
  <c r="J401" i="1" s="1"/>
  <c r="E415" i="1"/>
  <c r="C29" i="2" s="1"/>
  <c r="H235" i="1"/>
  <c r="H220" i="1"/>
  <c r="E15" i="2" s="1"/>
  <c r="F15" i="2" s="1"/>
  <c r="I409" i="1"/>
  <c r="J409" i="1" s="1"/>
  <c r="G277" i="1"/>
  <c r="G290" i="1" s="1"/>
  <c r="D19" i="2" s="1"/>
  <c r="F277" i="1"/>
  <c r="F290" i="1" s="1"/>
  <c r="E345" i="1"/>
  <c r="C21" i="2" s="1"/>
  <c r="H354" i="1"/>
  <c r="E22" i="2" s="1"/>
  <c r="F22" i="2" s="1"/>
  <c r="H330" i="1"/>
  <c r="C23" i="2"/>
  <c r="H401" i="1"/>
  <c r="C15" i="2"/>
  <c r="I212" i="1"/>
  <c r="E11" i="2"/>
  <c r="H275" i="1"/>
  <c r="H268" i="1"/>
  <c r="H247" i="1"/>
  <c r="F345" i="1"/>
  <c r="G415" i="1"/>
  <c r="D29" i="2" s="1"/>
  <c r="I368" i="1"/>
  <c r="J368" i="1" s="1"/>
  <c r="H315" i="1"/>
  <c r="E249" i="1"/>
  <c r="C22" i="2"/>
  <c r="F415" i="1"/>
  <c r="I217" i="1"/>
  <c r="I220" i="1" s="1"/>
  <c r="J220" i="1" s="1"/>
  <c r="C30" i="2"/>
  <c r="G249" i="1"/>
  <c r="E317" i="1"/>
  <c r="C20" i="2" s="1"/>
  <c r="H385" i="1"/>
  <c r="H389" i="1" s="1"/>
  <c r="E25" i="2" s="1"/>
  <c r="F25" i="2" s="1"/>
  <c r="I437" i="1"/>
  <c r="J437" i="1" s="1"/>
  <c r="E44" i="2"/>
  <c r="F44" i="2" s="1"/>
  <c r="H343" i="1"/>
  <c r="I226" i="1"/>
  <c r="I235" i="1" s="1"/>
  <c r="J235" i="1" s="1"/>
  <c r="G345" i="1"/>
  <c r="D21" i="2" s="1"/>
  <c r="H409" i="1"/>
  <c r="J413" i="1"/>
  <c r="H422" i="1"/>
  <c r="H434" i="1" s="1"/>
  <c r="E30" i="2" s="1"/>
  <c r="F30" i="2" s="1"/>
  <c r="I419" i="1"/>
  <c r="I422" i="1" s="1"/>
  <c r="I434" i="1" s="1"/>
  <c r="J434" i="1" s="1"/>
  <c r="I453" i="1"/>
  <c r="J453" i="1" s="1"/>
  <c r="H453" i="1"/>
  <c r="E33" i="2" s="1"/>
  <c r="F33" i="2" s="1"/>
  <c r="H413" i="1"/>
  <c r="H361" i="1"/>
  <c r="E24" i="2" s="1"/>
  <c r="F24" i="2" s="1"/>
  <c r="H305" i="1"/>
  <c r="G317" i="1"/>
  <c r="D20" i="2" s="1"/>
  <c r="F317" i="1"/>
  <c r="I285" i="1"/>
  <c r="J285" i="1" s="1"/>
  <c r="H368" i="1"/>
  <c r="E23" i="2" s="1"/>
  <c r="F23" i="2" s="1"/>
  <c r="I308" i="1"/>
  <c r="I315" i="1" s="1"/>
  <c r="J315" i="1" s="1"/>
  <c r="I261" i="1"/>
  <c r="I268" i="1" s="1"/>
  <c r="J268" i="1" s="1"/>
  <c r="I357" i="1"/>
  <c r="I361" i="1" s="1"/>
  <c r="J361" i="1" s="1"/>
  <c r="I348" i="1"/>
  <c r="I354" i="1" s="1"/>
  <c r="J354" i="1" s="1"/>
  <c r="I320" i="1"/>
  <c r="I330" i="1" s="1"/>
  <c r="J330" i="1" s="1"/>
  <c r="H285" i="1"/>
  <c r="I241" i="1"/>
  <c r="I247" i="1" s="1"/>
  <c r="J247" i="1" s="1"/>
  <c r="I299" i="1"/>
  <c r="I305" i="1" s="1"/>
  <c r="J305" i="1" s="1"/>
  <c r="I371" i="1"/>
  <c r="I385" i="1" s="1"/>
  <c r="I389" i="1" s="1"/>
  <c r="I287" i="1"/>
  <c r="I288" i="1" s="1"/>
  <c r="J288" i="1" s="1"/>
  <c r="I223" i="1"/>
  <c r="I270" i="1"/>
  <c r="I275" i="1" s="1"/>
  <c r="J275" i="1" s="1"/>
  <c r="I332" i="1"/>
  <c r="I343" i="1" s="1"/>
  <c r="F173" i="1"/>
  <c r="G173" i="1"/>
  <c r="D54" i="2" s="1"/>
  <c r="E173" i="1"/>
  <c r="C54" i="2" s="1"/>
  <c r="F172" i="1"/>
  <c r="G172" i="1"/>
  <c r="E172" i="1"/>
  <c r="F207" i="1"/>
  <c r="G207" i="1"/>
  <c r="E207" i="1"/>
  <c r="H200" i="1"/>
  <c r="I200" i="1" s="1"/>
  <c r="H201" i="1"/>
  <c r="I201" i="1" s="1"/>
  <c r="H202" i="1"/>
  <c r="H203" i="1"/>
  <c r="I203" i="1" s="1"/>
  <c r="I204" i="1"/>
  <c r="H205" i="1"/>
  <c r="I205" i="1" s="1"/>
  <c r="H206" i="1"/>
  <c r="I206" i="1" s="1"/>
  <c r="H194" i="1"/>
  <c r="F195" i="1"/>
  <c r="G195" i="1"/>
  <c r="E195" i="1"/>
  <c r="F190" i="1"/>
  <c r="G190" i="1"/>
  <c r="D52" i="2" s="1"/>
  <c r="E190" i="1"/>
  <c r="H186" i="1"/>
  <c r="I186" i="1" s="1"/>
  <c r="H187" i="1"/>
  <c r="I187" i="1" s="1"/>
  <c r="H188" i="1"/>
  <c r="I188" i="1" s="1"/>
  <c r="H189" i="1"/>
  <c r="I189" i="1" s="1"/>
  <c r="H185" i="1"/>
  <c r="I185" i="1" s="1"/>
  <c r="F182" i="1"/>
  <c r="G182" i="1"/>
  <c r="D50" i="2" s="1"/>
  <c r="E182" i="1"/>
  <c r="H179" i="1"/>
  <c r="I179" i="1" s="1"/>
  <c r="H180" i="1"/>
  <c r="I180" i="1" s="1"/>
  <c r="H181" i="1"/>
  <c r="I181" i="1" s="1"/>
  <c r="H178" i="1"/>
  <c r="I178" i="1" s="1"/>
  <c r="F168" i="1"/>
  <c r="G168" i="1"/>
  <c r="F164" i="1"/>
  <c r="G164" i="1"/>
  <c r="F160" i="1"/>
  <c r="G160" i="1"/>
  <c r="F156" i="1"/>
  <c r="G156" i="1"/>
  <c r="F152" i="1"/>
  <c r="G152" i="1"/>
  <c r="E168" i="1"/>
  <c r="E164" i="1"/>
  <c r="E160" i="1"/>
  <c r="E156" i="1"/>
  <c r="E152" i="1"/>
  <c r="H153" i="1"/>
  <c r="I153" i="1" s="1"/>
  <c r="H154" i="1"/>
  <c r="I154" i="1" s="1"/>
  <c r="H155" i="1"/>
  <c r="I155" i="1" s="1"/>
  <c r="H157" i="1"/>
  <c r="I157" i="1" s="1"/>
  <c r="H158" i="1"/>
  <c r="H159" i="1"/>
  <c r="I159" i="1" s="1"/>
  <c r="H161" i="1"/>
  <c r="I161" i="1" s="1"/>
  <c r="H162" i="1"/>
  <c r="I162" i="1" s="1"/>
  <c r="H163" i="1"/>
  <c r="I163" i="1" s="1"/>
  <c r="H165" i="1"/>
  <c r="I165" i="1" s="1"/>
  <c r="H166" i="1"/>
  <c r="H167" i="1"/>
  <c r="I167" i="1" s="1"/>
  <c r="H169" i="1"/>
  <c r="I169" i="1" s="1"/>
  <c r="F143" i="1"/>
  <c r="G143" i="1"/>
  <c r="I143" i="1"/>
  <c r="E143" i="1"/>
  <c r="F140" i="1"/>
  <c r="G140" i="1"/>
  <c r="E140" i="1"/>
  <c r="H136" i="1"/>
  <c r="I136" i="1" s="1"/>
  <c r="H137" i="1"/>
  <c r="I137" i="1" s="1"/>
  <c r="H138" i="1"/>
  <c r="I138" i="1" s="1"/>
  <c r="H139" i="1"/>
  <c r="I139" i="1" s="1"/>
  <c r="H135" i="1"/>
  <c r="I135" i="1" s="1"/>
  <c r="F132" i="1"/>
  <c r="G132" i="1"/>
  <c r="E132" i="1"/>
  <c r="H129" i="1"/>
  <c r="I129" i="1" s="1"/>
  <c r="H130" i="1"/>
  <c r="I130" i="1" s="1"/>
  <c r="H131" i="1"/>
  <c r="I131" i="1" s="1"/>
  <c r="H128" i="1"/>
  <c r="I128" i="1" s="1"/>
  <c r="F122" i="1"/>
  <c r="G122" i="1"/>
  <c r="E122" i="1"/>
  <c r="F118" i="1"/>
  <c r="G118" i="1"/>
  <c r="E118" i="1"/>
  <c r="H114" i="1"/>
  <c r="I114" i="1" s="1"/>
  <c r="H115" i="1"/>
  <c r="I115" i="1" s="1"/>
  <c r="H116" i="1"/>
  <c r="I116" i="1" s="1"/>
  <c r="H117" i="1"/>
  <c r="I117" i="1" s="1"/>
  <c r="H113" i="1"/>
  <c r="I113" i="1" s="1"/>
  <c r="F110" i="1"/>
  <c r="G110" i="1"/>
  <c r="E110" i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98" i="1"/>
  <c r="I98" i="1" s="1"/>
  <c r="F95" i="1"/>
  <c r="G95" i="1"/>
  <c r="E95" i="1"/>
  <c r="I81" i="1"/>
  <c r="I82" i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I90" i="1"/>
  <c r="H91" i="1"/>
  <c r="I91" i="1" s="1"/>
  <c r="H92" i="1"/>
  <c r="I92" i="1" s="1"/>
  <c r="H93" i="1"/>
  <c r="I93" i="1" s="1"/>
  <c r="H94" i="1"/>
  <c r="I94" i="1" s="1"/>
  <c r="I80" i="1"/>
  <c r="J143" i="1" l="1"/>
  <c r="H249" i="1"/>
  <c r="H251" i="1" s="1"/>
  <c r="I345" i="1"/>
  <c r="H345" i="1"/>
  <c r="E21" i="2" s="1"/>
  <c r="F21" i="2" s="1"/>
  <c r="H415" i="1"/>
  <c r="E29" i="2" s="1"/>
  <c r="F29" i="2" s="1"/>
  <c r="H277" i="1"/>
  <c r="H290" i="1" s="1"/>
  <c r="E391" i="1"/>
  <c r="E393" i="1" s="1"/>
  <c r="I415" i="1"/>
  <c r="J415" i="1" s="1"/>
  <c r="I277" i="1"/>
  <c r="I290" i="1" s="1"/>
  <c r="C48" i="2"/>
  <c r="F391" i="1"/>
  <c r="F393" i="1" s="1"/>
  <c r="C27" i="2"/>
  <c r="C50" i="2"/>
  <c r="C52" i="2"/>
  <c r="H317" i="1"/>
  <c r="E20" i="2" s="1"/>
  <c r="F20" i="2" s="1"/>
  <c r="F11" i="2"/>
  <c r="G170" i="1"/>
  <c r="I194" i="1"/>
  <c r="I195" i="1" s="1"/>
  <c r="J195" i="1" s="1"/>
  <c r="E51" i="2"/>
  <c r="F51" i="2" s="1"/>
  <c r="D48" i="2"/>
  <c r="H173" i="1"/>
  <c r="E54" i="2" s="1"/>
  <c r="F54" i="2" s="1"/>
  <c r="F170" i="1"/>
  <c r="I202" i="1"/>
  <c r="E55" i="2"/>
  <c r="F55" i="2" s="1"/>
  <c r="G251" i="1"/>
  <c r="D14" i="2"/>
  <c r="J343" i="1"/>
  <c r="I182" i="1"/>
  <c r="J182" i="1" s="1"/>
  <c r="J422" i="1"/>
  <c r="E251" i="1"/>
  <c r="C14" i="2"/>
  <c r="C16" i="2" s="1"/>
  <c r="D27" i="2"/>
  <c r="J385" i="1"/>
  <c r="I172" i="1"/>
  <c r="G391" i="1"/>
  <c r="G393" i="1" s="1"/>
  <c r="I317" i="1"/>
  <c r="H172" i="1"/>
  <c r="I249" i="1"/>
  <c r="I251" i="1" s="1"/>
  <c r="I190" i="1"/>
  <c r="J190" i="1" s="1"/>
  <c r="I152" i="1"/>
  <c r="J152" i="1" s="1"/>
  <c r="H207" i="1"/>
  <c r="E145" i="1"/>
  <c r="H182" i="1"/>
  <c r="E50" i="2" s="1"/>
  <c r="F50" i="2" s="1"/>
  <c r="I199" i="1"/>
  <c r="H164" i="1"/>
  <c r="H190" i="1"/>
  <c r="E52" i="2" s="1"/>
  <c r="F52" i="2" s="1"/>
  <c r="H152" i="1"/>
  <c r="H160" i="1"/>
  <c r="H195" i="1"/>
  <c r="H143" i="1"/>
  <c r="H168" i="1"/>
  <c r="F145" i="1"/>
  <c r="G145" i="1"/>
  <c r="E170" i="1"/>
  <c r="H156" i="1"/>
  <c r="I164" i="1"/>
  <c r="I140" i="1"/>
  <c r="J140" i="1" s="1"/>
  <c r="I156" i="1"/>
  <c r="I132" i="1"/>
  <c r="J132" i="1" s="1"/>
  <c r="H140" i="1"/>
  <c r="I166" i="1"/>
  <c r="I158" i="1"/>
  <c r="I160" i="1" s="1"/>
  <c r="H132" i="1"/>
  <c r="H122" i="1"/>
  <c r="I122" i="1"/>
  <c r="J122" i="1" s="1"/>
  <c r="I118" i="1"/>
  <c r="J118" i="1" s="1"/>
  <c r="H118" i="1"/>
  <c r="I110" i="1"/>
  <c r="J110" i="1" s="1"/>
  <c r="H110" i="1"/>
  <c r="I95" i="1"/>
  <c r="J95" i="1" s="1"/>
  <c r="H95" i="1"/>
  <c r="E14" i="2" l="1"/>
  <c r="E16" i="2" s="1"/>
  <c r="C34" i="2"/>
  <c r="C43" i="2" s="1"/>
  <c r="C45" i="2" s="1"/>
  <c r="E19" i="2"/>
  <c r="H391" i="1"/>
  <c r="H393" i="1" s="1"/>
  <c r="I207" i="1"/>
  <c r="J207" i="1" s="1"/>
  <c r="E48" i="2"/>
  <c r="F48" i="2" s="1"/>
  <c r="H170" i="1"/>
  <c r="I170" i="1" s="1"/>
  <c r="J170" i="1" s="1"/>
  <c r="D16" i="2"/>
  <c r="D34" i="2" s="1"/>
  <c r="D43" i="2" s="1"/>
  <c r="I391" i="1"/>
  <c r="I393" i="1" s="1"/>
  <c r="I168" i="1"/>
  <c r="I173" i="1"/>
  <c r="H145" i="1"/>
  <c r="I145" i="1"/>
  <c r="F77" i="1"/>
  <c r="G77" i="1"/>
  <c r="E77" i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65" i="1"/>
  <c r="I65" i="1" s="1"/>
  <c r="F62" i="1"/>
  <c r="G62" i="1"/>
  <c r="E62" i="1"/>
  <c r="H60" i="1"/>
  <c r="H62" i="1" s="1"/>
  <c r="F26" i="1"/>
  <c r="F58" i="1" s="1"/>
  <c r="G26" i="1"/>
  <c r="G58" i="1" s="1"/>
  <c r="E26" i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18" i="1"/>
  <c r="I18" i="1" s="1"/>
  <c r="H12" i="1"/>
  <c r="F19" i="2" l="1"/>
  <c r="F27" i="2" s="1"/>
  <c r="E28" i="2"/>
  <c r="E35" i="2" s="1"/>
  <c r="F14" i="2"/>
  <c r="F16" i="2" s="1"/>
  <c r="F34" i="2" s="1"/>
  <c r="D45" i="2"/>
  <c r="H14" i="1"/>
  <c r="I12" i="1"/>
  <c r="I14" i="1" s="1"/>
  <c r="J14" i="1" s="1"/>
  <c r="E58" i="1"/>
  <c r="G124" i="1"/>
  <c r="F124" i="1"/>
  <c r="I77" i="1"/>
  <c r="J77" i="1" s="1"/>
  <c r="H77" i="1"/>
  <c r="I60" i="1"/>
  <c r="I62" i="1" s="1"/>
  <c r="J62" i="1" s="1"/>
  <c r="I26" i="1"/>
  <c r="I58" i="1" s="1"/>
  <c r="H26" i="1"/>
  <c r="H58" i="1" s="1"/>
  <c r="E45" i="2" l="1"/>
  <c r="J26" i="1"/>
  <c r="J58" i="1"/>
  <c r="E124" i="1"/>
  <c r="C47" i="2" s="1"/>
  <c r="C49" i="2" s="1"/>
  <c r="C57" i="2" s="1"/>
  <c r="D47" i="2"/>
  <c r="D49" i="2" s="1"/>
  <c r="D57" i="2" s="1"/>
  <c r="G147" i="1"/>
  <c r="G209" i="1" s="1"/>
  <c r="F147" i="1"/>
  <c r="F209" i="1" s="1"/>
  <c r="H124" i="1"/>
  <c r="I124" i="1"/>
  <c r="I147" i="1" s="1"/>
  <c r="I209" i="1" s="1"/>
  <c r="F43" i="2" l="1"/>
  <c r="F45" i="2" s="1"/>
  <c r="E147" i="1"/>
  <c r="E209" i="1" s="1"/>
  <c r="H147" i="1"/>
  <c r="H209" i="1" s="1"/>
  <c r="E47" i="2"/>
  <c r="F47" i="2" l="1"/>
  <c r="F49" i="2" s="1"/>
  <c r="F57" i="2" s="1"/>
  <c r="E49" i="2"/>
  <c r="E57" i="2" s="1"/>
</calcChain>
</file>

<file path=xl/sharedStrings.xml><?xml version="1.0" encoding="utf-8"?>
<sst xmlns="http://schemas.openxmlformats.org/spreadsheetml/2006/main" count="485" uniqueCount="443">
  <si>
    <t>Kentucky Power Company</t>
  </si>
  <si>
    <t>Line No.</t>
  </si>
  <si>
    <t>Description</t>
  </si>
  <si>
    <t>Removal of Wholesale Customer</t>
  </si>
  <si>
    <t>Test Year Ended 05/31/2025</t>
  </si>
  <si>
    <t>Test Year Wholesale Customer Removal</t>
  </si>
  <si>
    <t>KPCo Total Company Per Books</t>
  </si>
  <si>
    <t>Non-KY PSC Juris</t>
  </si>
  <si>
    <t>Kentucky PSC Juris Only</t>
  </si>
  <si>
    <t>Development of Rate Base</t>
  </si>
  <si>
    <t>Electric Plant in Service</t>
  </si>
  <si>
    <t>Intangible Plant</t>
  </si>
  <si>
    <t>Capitalized Software</t>
  </si>
  <si>
    <t xml:space="preserve">    Total Intangible Plant</t>
  </si>
  <si>
    <t>Production Plant</t>
  </si>
  <si>
    <t>Steam Production</t>
  </si>
  <si>
    <t>A310 Land &amp; Land Rights</t>
  </si>
  <si>
    <t>A311 Structures and Improvements</t>
  </si>
  <si>
    <t xml:space="preserve">A312 Boiler Plant Equipment </t>
  </si>
  <si>
    <t>A313 Engines/Engine Driven Gen.</t>
  </si>
  <si>
    <t>A314 Turbogenerator Units</t>
  </si>
  <si>
    <t>A315 Accessory Electric Equip.</t>
  </si>
  <si>
    <t>A316 Misc. Power Plant Equip.</t>
  </si>
  <si>
    <t>A317 ARO Steam Production Plant</t>
  </si>
  <si>
    <t xml:space="preserve">    Total Steam Production</t>
  </si>
  <si>
    <t>Nuclear Production</t>
  </si>
  <si>
    <t>A320 Land &amp; Land Rights</t>
  </si>
  <si>
    <t>A321 Structures and Improvements</t>
  </si>
  <si>
    <t xml:space="preserve">A322 Reactor Plant Equipment </t>
  </si>
  <si>
    <t>A323 Turbogenerator Units</t>
  </si>
  <si>
    <t>A324 Accessory Electric Equip.</t>
  </si>
  <si>
    <t>A325 Misc. Power Plant Equipment</t>
  </si>
  <si>
    <t xml:space="preserve">    Total Nuclear Production</t>
  </si>
  <si>
    <t>Hydraulic Production</t>
  </si>
  <si>
    <t>A330 Land &amp; Land Rights(MACSS Cap)</t>
  </si>
  <si>
    <t>A331 Structures and Improvements</t>
  </si>
  <si>
    <t>A332 Reserviors, Dams, and Waterways</t>
  </si>
  <si>
    <t>A333 Water Wheels, Turbines, and Generators</t>
  </si>
  <si>
    <t>A334 Accessory Electric Equipment</t>
  </si>
  <si>
    <t>A335 Miscellaneous Power Plant Equip.</t>
  </si>
  <si>
    <t>A336 Roads, Railroads, and Bridges</t>
  </si>
  <si>
    <t>A337 ARO Hydraulic Production</t>
  </si>
  <si>
    <t xml:space="preserve">    Total  Hydraulic Production</t>
  </si>
  <si>
    <t>Other Production</t>
  </si>
  <si>
    <t>A340 Land &amp; Land Rights</t>
  </si>
  <si>
    <t>A341 Structures and Improvements</t>
  </si>
  <si>
    <t>A342 Fuel Holder, Producer &amp; Acc</t>
  </si>
  <si>
    <t>A343 Prime Movers</t>
  </si>
  <si>
    <t>A344 Generators</t>
  </si>
  <si>
    <t>A345 Accessory Plant Equipment</t>
  </si>
  <si>
    <t>A346 Misc. Power Plant Equipment</t>
  </si>
  <si>
    <t xml:space="preserve">    Total Other Production</t>
  </si>
  <si>
    <t xml:space="preserve">    Total Production Plant</t>
  </si>
  <si>
    <t>FERC AFUDC Adjustment</t>
  </si>
  <si>
    <t>Contra AFUDC Adjustment</t>
  </si>
  <si>
    <t xml:space="preserve">    Total AFUDC Adjustment</t>
  </si>
  <si>
    <t>Transmission Plant</t>
  </si>
  <si>
    <t>A350 Land and Land Rights</t>
  </si>
  <si>
    <t>A351 Computer Software and Equipment</t>
  </si>
  <si>
    <t>A352 Structures and Improvements TRAN</t>
  </si>
  <si>
    <t>A353 Station Equipment TRAN</t>
  </si>
  <si>
    <t>A352 Structures and Improvements GEN</t>
  </si>
  <si>
    <t>A353 Station Equipment GEN</t>
  </si>
  <si>
    <t>A354 Towers and Fixtures</t>
  </si>
  <si>
    <t>A355 Poles and Fixtures</t>
  </si>
  <si>
    <t>A356 O.H. Conductors &amp; Devices</t>
  </si>
  <si>
    <t>A357 Undergound Conduit</t>
  </si>
  <si>
    <t>A358 Underground Conductors</t>
  </si>
  <si>
    <t>A359 Roads and Trails</t>
  </si>
  <si>
    <t xml:space="preserve">    Total Transmission Plant</t>
  </si>
  <si>
    <t>Distribution Plant</t>
  </si>
  <si>
    <t>A360Land and Land Rights</t>
  </si>
  <si>
    <t>A361Structures and Improvements</t>
  </si>
  <si>
    <t>A362Station Equipment</t>
  </si>
  <si>
    <t>A363Storage Battery Equipment</t>
  </si>
  <si>
    <t>A364Poles,Towers &amp; Fixtures Primary</t>
  </si>
  <si>
    <t>A365O.H. Conductors &amp; Devices Primary</t>
  </si>
  <si>
    <t>A366Underground Conduits Primary</t>
  </si>
  <si>
    <t>A367U.G. Conductors &amp; Devices Primary</t>
  </si>
  <si>
    <t>A368Line Transformers Primary</t>
  </si>
  <si>
    <t>A369Services</t>
  </si>
  <si>
    <t>A370Meters</t>
  </si>
  <si>
    <t>A371Install. on Customer Prem.</t>
  </si>
  <si>
    <t>A372Leased Prop. on Cust. Premises</t>
  </si>
  <si>
    <t>A373Street Lights</t>
  </si>
  <si>
    <t>A374ARO</t>
  </si>
  <si>
    <t xml:space="preserve">    Total Distribution Plant</t>
  </si>
  <si>
    <t>General Plant</t>
  </si>
  <si>
    <t>A389Land and Land Rights</t>
  </si>
  <si>
    <t>A390Structures and Improvements</t>
  </si>
  <si>
    <t>A391Office Furniture &amp; Equip.</t>
  </si>
  <si>
    <t>A392Transportation Equipment</t>
  </si>
  <si>
    <t xml:space="preserve">A393Stores Equipment </t>
  </si>
  <si>
    <t>A394Tools, Shop &amp; Garage Equip.</t>
  </si>
  <si>
    <t>A395Laboratory Equipment</t>
  </si>
  <si>
    <t>A396Power Operated Equipment</t>
  </si>
  <si>
    <t>A397Communication Equipment</t>
  </si>
  <si>
    <t>A398Misc. Equipment</t>
  </si>
  <si>
    <t>A399Other Tang. Property</t>
  </si>
  <si>
    <t>39919ARO General Plant</t>
  </si>
  <si>
    <t xml:space="preserve">    Total General Plant</t>
  </si>
  <si>
    <t>Completed Construction Not Classified -Acct 106</t>
  </si>
  <si>
    <t xml:space="preserve">    Intangible Plant</t>
  </si>
  <si>
    <t xml:space="preserve">     Production Plant</t>
  </si>
  <si>
    <t xml:space="preserve">     Transmission Plant</t>
  </si>
  <si>
    <t xml:space="preserve">     Distribution Plant</t>
  </si>
  <si>
    <t xml:space="preserve">     General Plant</t>
  </si>
  <si>
    <t xml:space="preserve">     Total Completed Construction Not Classified</t>
  </si>
  <si>
    <t>Capital Leases Acct 1011001, 1011004</t>
  </si>
  <si>
    <t>Accrued Capital and Operating Leases Acct 1011012, 1011031, 1011032, 1011036</t>
  </si>
  <si>
    <t xml:space="preserve">    Total Capital Leases</t>
  </si>
  <si>
    <t>Total Plant in Service</t>
  </si>
  <si>
    <t>Less: Reserve for Depreciation/RWIP - Accts 1080001,1080011,1080005</t>
  </si>
  <si>
    <t xml:space="preserve">     Production</t>
  </si>
  <si>
    <t xml:space="preserve">     Transmission</t>
  </si>
  <si>
    <t xml:space="preserve">     Distribution</t>
  </si>
  <si>
    <t xml:space="preserve">     General</t>
  </si>
  <si>
    <t xml:space="preserve">     Total Reserve for Depreciaton / RWIP</t>
  </si>
  <si>
    <t>Less Reserve for Amortization</t>
  </si>
  <si>
    <t xml:space="preserve">     Intangible</t>
  </si>
  <si>
    <t xml:space="preserve">     Total Reserve for Amortization</t>
  </si>
  <si>
    <t>Prov-Leased Assets - Capital Leases 1011006</t>
  </si>
  <si>
    <t xml:space="preserve">     Total Prov-Leased Assets</t>
  </si>
  <si>
    <t xml:space="preserve">     Total Acc Prov Depreciation and Amortization</t>
  </si>
  <si>
    <t>Net Electric Plant in Service</t>
  </si>
  <si>
    <t>Construction Work in Progress - Account 107</t>
  </si>
  <si>
    <t xml:space="preserve">     AFUDC</t>
  </si>
  <si>
    <t xml:space="preserve">     Total Intangible Plant</t>
  </si>
  <si>
    <t xml:space="preserve">    AFUDC</t>
  </si>
  <si>
    <t xml:space="preserve">     Total Production Plant</t>
  </si>
  <si>
    <t xml:space="preserve">     Total Transmission Plant</t>
  </si>
  <si>
    <t xml:space="preserve">     Total Distribution Plant</t>
  </si>
  <si>
    <t xml:space="preserve">     Total General Plant</t>
  </si>
  <si>
    <t>Total Construction Work in Progress</t>
  </si>
  <si>
    <t>Total  AFUDC</t>
  </si>
  <si>
    <t>Total Construction Work in Progress Less AFUDC</t>
  </si>
  <si>
    <t>Plant Held for Future Use - Acct 105</t>
  </si>
  <si>
    <t xml:space="preserve">     Total Plant Held for Future Use</t>
  </si>
  <si>
    <t>Materials &amp; Supplies</t>
  </si>
  <si>
    <t xml:space="preserve">     Fuel / Allowance Inventory</t>
  </si>
  <si>
    <t xml:space="preserve">     Production M&amp;S Inventory</t>
  </si>
  <si>
    <t xml:space="preserve">     Transmission M&amp;S Inventory</t>
  </si>
  <si>
    <t xml:space="preserve">     Distribution M&amp;S Inventory</t>
  </si>
  <si>
    <t xml:space="preserve">     Total Materials &amp; Supplies</t>
  </si>
  <si>
    <t>Prepayments</t>
  </si>
  <si>
    <t xml:space="preserve">     Prepaid Pension Benefit -1650010, 1650035</t>
  </si>
  <si>
    <t xml:space="preserve">     Prepaid Other</t>
  </si>
  <si>
    <t xml:space="preserve">     Total Prepayments</t>
  </si>
  <si>
    <t>Rate Base Additions (Deductions)</t>
  </si>
  <si>
    <t xml:space="preserve">     Accumulated Deferred Income Taxes</t>
  </si>
  <si>
    <t xml:space="preserve">     Unallocated Deferred FIT</t>
  </si>
  <si>
    <t xml:space="preserve">     Deferred Investment Tax Credit</t>
  </si>
  <si>
    <t xml:space="preserve">     Special Deposits</t>
  </si>
  <si>
    <t xml:space="preserve">     Customer Advances/Credits</t>
  </si>
  <si>
    <t xml:space="preserve">     Customer Deposits</t>
  </si>
  <si>
    <t xml:space="preserve">     Other Rate Base</t>
  </si>
  <si>
    <t xml:space="preserve">     After Tax Effect of ARO </t>
  </si>
  <si>
    <t xml:space="preserve">     Total Rate Base Deductions</t>
  </si>
  <si>
    <t xml:space="preserve">     Total Rate Base (excludng Cash Working Capital)</t>
  </si>
  <si>
    <t>Operating Revenues - Sale of Electricity</t>
  </si>
  <si>
    <t>Operating Revenues - Wholesale Sales of Electricity</t>
  </si>
  <si>
    <t>Provision for Rate Refund</t>
  </si>
  <si>
    <t>Non-Firm Sales:</t>
  </si>
  <si>
    <t xml:space="preserve">     Demand Related </t>
  </si>
  <si>
    <t xml:space="preserve">     Energy Related</t>
  </si>
  <si>
    <t xml:space="preserve">     Unallocated</t>
  </si>
  <si>
    <t xml:space="preserve">     Total Non-Firm Sales</t>
  </si>
  <si>
    <t>Other Operating Revenues</t>
  </si>
  <si>
    <t xml:space="preserve">     450-Forfeited Discounts</t>
  </si>
  <si>
    <t xml:space="preserve">     451-Miscellaneous Service Revenues</t>
  </si>
  <si>
    <t>Rent from Electric Property</t>
  </si>
  <si>
    <t xml:space="preserve">     4541-Rent-Assoc Cos- Production</t>
  </si>
  <si>
    <t xml:space="preserve">     4541-Rent-Assoc Cos- Transmission</t>
  </si>
  <si>
    <t xml:space="preserve">     4541-Rent-Assoc Cos- Distribution </t>
  </si>
  <si>
    <t xml:space="preserve">     4542-Rent-Non-Assoc Cos- Production</t>
  </si>
  <si>
    <t xml:space="preserve">     4542-Rent-Non-Assoc Cos- Transmission</t>
  </si>
  <si>
    <t xml:space="preserve">     4542-Rent-Non-Assoc Cos- Distribution </t>
  </si>
  <si>
    <t xml:space="preserve">     4540005 Rent from Elec Prop-Pole Attch</t>
  </si>
  <si>
    <t xml:space="preserve">     4540004-Rent-Non-Assoc Cos-ABD Distribution</t>
  </si>
  <si>
    <t xml:space="preserve">     4540004-Rent-Non-Assoc Cos-ABD Transmission</t>
  </si>
  <si>
    <t xml:space="preserve">     Total Rent from Electric Property</t>
  </si>
  <si>
    <t>Other Electric Revenues</t>
  </si>
  <si>
    <t xml:space="preserve">     456-Other Electric Production</t>
  </si>
  <si>
    <t xml:space="preserve">     456-Other Electric Revenues DSM</t>
  </si>
  <si>
    <t xml:space="preserve">     456-Other Electric Transmission EKPC</t>
  </si>
  <si>
    <t xml:space="preserve">     456-Other Electric LSE Charge - Retail Demand</t>
  </si>
  <si>
    <t xml:space="preserve">     456-Other Electric LSE Charge - Retail Energy</t>
  </si>
  <si>
    <t xml:space="preserve">     456-Other Electric TO Revenues</t>
  </si>
  <si>
    <t xml:space="preserve">     456-Other Electric Non-Juris</t>
  </si>
  <si>
    <t xml:space="preserve">     456-Other ElectricTransmission ABD</t>
  </si>
  <si>
    <t xml:space="preserve">     456-Other Electric Distribution ABD</t>
  </si>
  <si>
    <t xml:space="preserve">     Total Other Electric Revenues</t>
  </si>
  <si>
    <t xml:space="preserve">     Total Other Operating Revenues</t>
  </si>
  <si>
    <t xml:space="preserve">     Total Operating Revenues</t>
  </si>
  <si>
    <t>Power Production Expenses</t>
  </si>
  <si>
    <t xml:space="preserve"> Steam Generation Expenses</t>
  </si>
  <si>
    <t xml:space="preserve">     500-Supervision  &amp; Engineering</t>
  </si>
  <si>
    <t xml:space="preserve">     501-Fuel Delivered and Consumed</t>
  </si>
  <si>
    <t xml:space="preserve">     501-Gas Reservation Fee</t>
  </si>
  <si>
    <t xml:space="preserve">     501-Fuel Other</t>
  </si>
  <si>
    <t xml:space="preserve">     5010005-Def Fuel</t>
  </si>
  <si>
    <t xml:space="preserve">     502-Steam / Consumables</t>
  </si>
  <si>
    <t xml:space="preserve">     503-Steam other Sources</t>
  </si>
  <si>
    <t xml:space="preserve">     504-Steam Transferred Credit</t>
  </si>
  <si>
    <t xml:space="preserve">     505-Electric</t>
  </si>
  <si>
    <t xml:space="preserve">     506-Misc. Steam Power Expenses</t>
  </si>
  <si>
    <t xml:space="preserve">     507-Rents</t>
  </si>
  <si>
    <t xml:space="preserve">     508-IPP Operations</t>
  </si>
  <si>
    <t xml:space="preserve">     509-Allowances</t>
  </si>
  <si>
    <t xml:space="preserve">     Total Steam Operation</t>
  </si>
  <si>
    <t xml:space="preserve">     510-Supervision &amp; Engineering</t>
  </si>
  <si>
    <t xml:space="preserve">     511-Structures</t>
  </si>
  <si>
    <t xml:space="preserve">     512-Boiler Plant</t>
  </si>
  <si>
    <t xml:space="preserve">     513-Electric Plant</t>
  </si>
  <si>
    <t xml:space="preserve">     514-Misc Steam Plant</t>
  </si>
  <si>
    <t xml:space="preserve">     Total Steam Maintenance</t>
  </si>
  <si>
    <t xml:space="preserve">     Total Steam Generation Expense</t>
  </si>
  <si>
    <t>Other Power Supply Expense</t>
  </si>
  <si>
    <t xml:space="preserve">     549&amp;550-Misc Other Power Generation Expense</t>
  </si>
  <si>
    <t xml:space="preserve">     555-Purchased Power Expense Demand</t>
  </si>
  <si>
    <t xml:space="preserve">     555-Purchased Power Expense Energy</t>
  </si>
  <si>
    <t xml:space="preserve">     556-Sys Control &amp; Load Dispatching</t>
  </si>
  <si>
    <t xml:space="preserve">     557- Other Expenses</t>
  </si>
  <si>
    <t xml:space="preserve">     Total Other Power Supply Expense</t>
  </si>
  <si>
    <t xml:space="preserve">     558-Solar and Wind Expense</t>
  </si>
  <si>
    <t xml:space="preserve">     Total Solar and Wind Expense</t>
  </si>
  <si>
    <t xml:space="preserve">     Total Production O&amp;M Expense</t>
  </si>
  <si>
    <t>Transmission Expense</t>
  </si>
  <si>
    <t xml:space="preserve">     560-Supervision &amp; Engineering</t>
  </si>
  <si>
    <t xml:space="preserve">     561-Load Dispatching - Company</t>
  </si>
  <si>
    <t xml:space="preserve">     561-Load Dispatching - PJM</t>
  </si>
  <si>
    <t xml:space="preserve">     562-Station Equipment</t>
  </si>
  <si>
    <t xml:space="preserve">     563-Overhead Lines</t>
  </si>
  <si>
    <t xml:space="preserve">     564-Underground Lines</t>
  </si>
  <si>
    <t xml:space="preserve">     565  LSE Transmission Purchases </t>
  </si>
  <si>
    <t xml:space="preserve">     565  LSE Transmission Purchases - Retail Energy</t>
  </si>
  <si>
    <t xml:space="preserve">     565  Transmission by Others</t>
  </si>
  <si>
    <t xml:space="preserve">     566-Misc Transmission</t>
  </si>
  <si>
    <t xml:space="preserve">     567-Rents</t>
  </si>
  <si>
    <t xml:space="preserve">     Total Transmission Operation Expense</t>
  </si>
  <si>
    <t>Transmission Maintenance</t>
  </si>
  <si>
    <t xml:space="preserve">     568-Supervision &amp; Engineering</t>
  </si>
  <si>
    <t xml:space="preserve">     569-Structures</t>
  </si>
  <si>
    <t xml:space="preserve">     570-Station Equipment</t>
  </si>
  <si>
    <t xml:space="preserve">     571-Overhead Lines</t>
  </si>
  <si>
    <t xml:space="preserve">     572-Underground Lines</t>
  </si>
  <si>
    <t xml:space="preserve">     573-Misc Transmission Expenses</t>
  </si>
  <si>
    <t xml:space="preserve">     575- PJM Admin</t>
  </si>
  <si>
    <t xml:space="preserve">     Total Transmission Maintenance Expense</t>
  </si>
  <si>
    <t xml:space="preserve">     Total Transmission O&amp;M Expense</t>
  </si>
  <si>
    <t>Distribution Expense</t>
  </si>
  <si>
    <t xml:space="preserve">     580-Supervision &amp; Engineering</t>
  </si>
  <si>
    <t xml:space="preserve">     581-Load Dispatching</t>
  </si>
  <si>
    <t xml:space="preserve">     582-Station Equipment</t>
  </si>
  <si>
    <t xml:space="preserve">     583-Overhead Lines</t>
  </si>
  <si>
    <t xml:space="preserve">     584-Underground Lines</t>
  </si>
  <si>
    <t xml:space="preserve">     585-Street &amp; Area Lighting</t>
  </si>
  <si>
    <t xml:space="preserve">     586-Meters</t>
  </si>
  <si>
    <t xml:space="preserve">     587-Customer Installations</t>
  </si>
  <si>
    <t xml:space="preserve">     588-Misc Distribution </t>
  </si>
  <si>
    <t xml:space="preserve">     589-Rents</t>
  </si>
  <si>
    <t xml:space="preserve">     Total Distribution Operation</t>
  </si>
  <si>
    <t xml:space="preserve">     590-Supervision &amp; Engineering</t>
  </si>
  <si>
    <t xml:space="preserve">     591-Structures</t>
  </si>
  <si>
    <t xml:space="preserve">     592-Station Equipment</t>
  </si>
  <si>
    <t xml:space="preserve">     593-Overhead Lines</t>
  </si>
  <si>
    <t xml:space="preserve">     5930010 Storm Expense Amortization</t>
  </si>
  <si>
    <t xml:space="preserve">     5930001 Forestry - Tree &amp; Brush Control</t>
  </si>
  <si>
    <t xml:space="preserve">     594-Underground Lines</t>
  </si>
  <si>
    <t xml:space="preserve">     595-Line Transformers</t>
  </si>
  <si>
    <t xml:space="preserve">     596-Street &amp; Area Lighting</t>
  </si>
  <si>
    <t xml:space="preserve">     597-Meters</t>
  </si>
  <si>
    <t xml:space="preserve">     598-Misc Distribution Plant</t>
  </si>
  <si>
    <t xml:space="preserve">     Total Distribution Maintenance</t>
  </si>
  <si>
    <t xml:space="preserve">     Total Distribution Expense</t>
  </si>
  <si>
    <t>Customer Accounts Expense</t>
  </si>
  <si>
    <t xml:space="preserve">     901-Supervision &amp; Engineering</t>
  </si>
  <si>
    <t xml:space="preserve">     902-Meter Reading</t>
  </si>
  <si>
    <t xml:space="preserve">     903-Customer Records &amp; Collection Expense</t>
  </si>
  <si>
    <t xml:space="preserve">     9040000-Uncollectable Accounts</t>
  </si>
  <si>
    <t xml:space="preserve">     9040007-Uncollectible Misc Receivables</t>
  </si>
  <si>
    <t xml:space="preserve">     905-Misc Customer Accounts</t>
  </si>
  <si>
    <t xml:space="preserve">     Total Customer Accounts</t>
  </si>
  <si>
    <t>Customer Information Expense</t>
  </si>
  <si>
    <t xml:space="preserve">     907-Supervision</t>
  </si>
  <si>
    <t xml:space="preserve">     908-Customer Assistance</t>
  </si>
  <si>
    <t xml:space="preserve">     909-Information &amp; Instruction</t>
  </si>
  <si>
    <t xml:space="preserve">     910-Misc Customer Service</t>
  </si>
  <si>
    <t xml:space="preserve">     Total Customer Information</t>
  </si>
  <si>
    <t>Customer Service</t>
  </si>
  <si>
    <t xml:space="preserve">     911-Supervision</t>
  </si>
  <si>
    <t xml:space="preserve">     912-Demo &amp; Selling</t>
  </si>
  <si>
    <t xml:space="preserve">     913-Advertising</t>
  </si>
  <si>
    <t xml:space="preserve">     916-Misc SALES Expense</t>
  </si>
  <si>
    <t xml:space="preserve">     Total Customer Service</t>
  </si>
  <si>
    <t>Administrative &amp; General Expense</t>
  </si>
  <si>
    <t xml:space="preserve">     920-Salaries</t>
  </si>
  <si>
    <t xml:space="preserve">     921-Office Supplies</t>
  </si>
  <si>
    <t xml:space="preserve">     922-Administrative Expense Transferred</t>
  </si>
  <si>
    <t xml:space="preserve">     923-Outside Services</t>
  </si>
  <si>
    <t xml:space="preserve">     924-Property Insurance</t>
  </si>
  <si>
    <t xml:space="preserve">     925-Injuries &amp; Damages</t>
  </si>
  <si>
    <t xml:space="preserve">     926-Employee Pension &amp; Benefits</t>
  </si>
  <si>
    <t xml:space="preserve">     9260057 Post Ret Medicare Subsidy Direct</t>
  </si>
  <si>
    <t xml:space="preserve">     927-Franchise Requirements</t>
  </si>
  <si>
    <t xml:space="preserve">     Regulatory Commission Expense (incl 9280006)</t>
  </si>
  <si>
    <t xml:space="preserve">     928- Rate Case Expense</t>
  </si>
  <si>
    <t xml:space="preserve">     930.1-General Advertising Expense</t>
  </si>
  <si>
    <t xml:space="preserve">     930.2-Misc General Expense</t>
  </si>
  <si>
    <t xml:space="preserve">     931-Rent</t>
  </si>
  <si>
    <t xml:space="preserve">     Total Admin &amp; General Operation</t>
  </si>
  <si>
    <t xml:space="preserve">     935-Admin &amp; General Maintenance</t>
  </si>
  <si>
    <t xml:space="preserve">     935 - Software Deferral</t>
  </si>
  <si>
    <t xml:space="preserve">     Total Admin &amp; General Expense</t>
  </si>
  <si>
    <t xml:space="preserve">     Total Operation &amp; Maint Exp</t>
  </si>
  <si>
    <t xml:space="preserve">     Subtotal O&amp;M Labor - OML</t>
  </si>
  <si>
    <t>Depreciation Expense</t>
  </si>
  <si>
    <t xml:space="preserve">     Transmission Excl. GSU's</t>
  </si>
  <si>
    <t xml:space="preserve">     Transmission - GSU's</t>
  </si>
  <si>
    <t xml:space="preserve">     Total Depreciation Expense</t>
  </si>
  <si>
    <t>Amortization Expense</t>
  </si>
  <si>
    <t xml:space="preserve">     Intangible Plant</t>
  </si>
  <si>
    <t xml:space="preserve">     Total Amortization Expense</t>
  </si>
  <si>
    <t>Regulatory Debits/Credits</t>
  </si>
  <si>
    <t xml:space="preserve">    Reg Debits/Credits - 407.3, 407.4</t>
  </si>
  <si>
    <t xml:space="preserve">     Total Regulatory Debits</t>
  </si>
  <si>
    <t xml:space="preserve">     Total Depreciation &amp; Amortization Expense</t>
  </si>
  <si>
    <t>Taxes Other than F.I.T.</t>
  </si>
  <si>
    <t>Current Payroll Taxes</t>
  </si>
  <si>
    <t xml:space="preserve">     FICA</t>
  </si>
  <si>
    <t xml:space="preserve">     Fed Unemployment</t>
  </si>
  <si>
    <t xml:space="preserve">     State Unemployment</t>
  </si>
  <si>
    <t xml:space="preserve">     Total Payroll Related Tax</t>
  </si>
  <si>
    <t xml:space="preserve"> Real and Personal Property Tax</t>
  </si>
  <si>
    <t>Municipal License</t>
  </si>
  <si>
    <t>P.S.C.</t>
  </si>
  <si>
    <t>Sales &amp; Use</t>
  </si>
  <si>
    <t>Regis Fee</t>
  </si>
  <si>
    <t>State Business Occup Taxes</t>
  </si>
  <si>
    <t>Gross Reciepts Tax</t>
  </si>
  <si>
    <t>Business Franchise Taxes</t>
  </si>
  <si>
    <t>Federal Excise</t>
  </si>
  <si>
    <t>Taxes on Capital Leases</t>
  </si>
  <si>
    <t xml:space="preserve">     Total Taxes Other than F.I.T.</t>
  </si>
  <si>
    <t>AFUDC Offset - Production</t>
  </si>
  <si>
    <t>AFUDC Offset - Transmission</t>
  </si>
  <si>
    <t>AFUDC Offset - Distribution</t>
  </si>
  <si>
    <t>AFUDC Offset - General</t>
  </si>
  <si>
    <t>AFUDC Offset - Intangible</t>
  </si>
  <si>
    <t>Interest On Customer Deposits</t>
  </si>
  <si>
    <t>Other Expense Items</t>
  </si>
  <si>
    <t>G/L Disp. Of Util Plant Gain Disp. Of Util Plant 4116000</t>
  </si>
  <si>
    <t>Loss Disp. Of Util Plant 4117000</t>
  </si>
  <si>
    <t>G/L Disp. Of Allowances 411.8</t>
  </si>
  <si>
    <t>Accretion 4111005</t>
  </si>
  <si>
    <t>A/R Factoring</t>
  </si>
  <si>
    <t>Acct 4190005</t>
  </si>
  <si>
    <t>4310007-Other Interest Expense</t>
  </si>
  <si>
    <t xml:space="preserve">     Total Other</t>
  </si>
  <si>
    <t>Adjustment</t>
  </si>
  <si>
    <t>KPCo TOTAL</t>
  </si>
  <si>
    <t>Line</t>
  </si>
  <si>
    <t>COMPANY</t>
  </si>
  <si>
    <t>No.</t>
  </si>
  <si>
    <t>PER BOOKS</t>
  </si>
  <si>
    <t>(1)</t>
  </si>
  <si>
    <t>(2)</t>
  </si>
  <si>
    <t>(3)</t>
  </si>
  <si>
    <t>Operating Revenues - Sales of Electricity</t>
  </si>
  <si>
    <t>Operating Revenues - Firm Wholesale Sales of Electricity</t>
  </si>
  <si>
    <t>Other Electric Operating Revenues</t>
  </si>
  <si>
    <t>Non-Firm Sales Revenues</t>
  </si>
  <si>
    <t xml:space="preserve">    Total Operating Revenues</t>
  </si>
  <si>
    <t>Operation and Maintenance Expenses</t>
  </si>
  <si>
    <t>Power Production</t>
  </si>
  <si>
    <t>Transmission</t>
  </si>
  <si>
    <t>Distribution</t>
  </si>
  <si>
    <t>Customer Accounts</t>
  </si>
  <si>
    <t>Sales Expense</t>
  </si>
  <si>
    <t>Customer Service &amp; Information</t>
  </si>
  <si>
    <t>Administrative and General</t>
  </si>
  <si>
    <t>Undistributed Adjustments</t>
  </si>
  <si>
    <t xml:space="preserve">    Total Operation and Maintenance Expense</t>
  </si>
  <si>
    <t>Depreciation and Amortization Expense</t>
  </si>
  <si>
    <t>Taxes Other than Federal Income Taxes</t>
  </si>
  <si>
    <t>State Income Tax</t>
  </si>
  <si>
    <t>Interest on Customer Deposits</t>
  </si>
  <si>
    <t>Other</t>
  </si>
  <si>
    <t>Net Operating Income Before F.I.T.</t>
  </si>
  <si>
    <t>Federal Income Tax</t>
  </si>
  <si>
    <t xml:space="preserve">  Current Federal Income Tax</t>
  </si>
  <si>
    <t xml:space="preserve">  Deferred Federal Income Tax</t>
  </si>
  <si>
    <t xml:space="preserve">  Deferred Investment Tax Credit</t>
  </si>
  <si>
    <t xml:space="preserve">  ITC Adjustment</t>
  </si>
  <si>
    <t xml:space="preserve">    Total Federal Income Taxes</t>
  </si>
  <si>
    <t>Operating Income</t>
  </si>
  <si>
    <t>AFUDC Offset</t>
  </si>
  <si>
    <t>Net Operating Income</t>
  </si>
  <si>
    <t>Electric Plant in Service - Original Cost</t>
  </si>
  <si>
    <t>Accumulated Provision for Depreciation &amp; Amortization</t>
  </si>
  <si>
    <t xml:space="preserve">    Electric Plant In Service - Net</t>
  </si>
  <si>
    <t>Electric Plant Held for Future Use</t>
  </si>
  <si>
    <t>Cash Working Capital</t>
  </si>
  <si>
    <t>Construction Work in Progress (excludes AFUDC in CWIP)</t>
  </si>
  <si>
    <t>Customer Advances &amp; Deposits &amp; Other</t>
  </si>
  <si>
    <t>Accumulated Deferred Income Taxes</t>
  </si>
  <si>
    <t>Rate Base</t>
  </si>
  <si>
    <t>KPCo Retail</t>
  </si>
  <si>
    <t xml:space="preserve">     565  Transmission Purchases - Non-Juris &amp; Provisions</t>
  </si>
  <si>
    <t>Adjusted Total Per Books</t>
  </si>
  <si>
    <t>*Olive Hill Substation &amp; Meters Direct Assigned to Non-Retail</t>
  </si>
  <si>
    <t>Direct assigned to Non-Retail</t>
  </si>
  <si>
    <t>Direct Assign Cap Leases</t>
  </si>
  <si>
    <t>Intangible Direct Assigned Non-Retail</t>
  </si>
  <si>
    <t>Prepaid Pension Direct Assign to Non-Retail</t>
  </si>
  <si>
    <t>Direct Non-Retail cust. Deposits</t>
  </si>
  <si>
    <t>Direct Assigned to Non-Retail</t>
  </si>
  <si>
    <t>Non-Retail Share of Accum Dep on ARO assets and HR-J AFUDC</t>
  </si>
  <si>
    <t>FERC Trans. Rate Case expense</t>
  </si>
  <si>
    <t>Direct Assign Non-Retail</t>
  </si>
  <si>
    <t>Non-Retail Share of Lines of Credit</t>
  </si>
  <si>
    <t>ADJUSTED PER BOOKS</t>
  </si>
  <si>
    <t>(4)</t>
  </si>
  <si>
    <t>(5)</t>
  </si>
  <si>
    <t xml:space="preserve">Transmission Purchases  Non-Juris &amp; Provisions </t>
  </si>
  <si>
    <t>Non-Retail Share of PPA Rider</t>
  </si>
  <si>
    <t>Non-Retail piece of PPA Rider</t>
  </si>
  <si>
    <t>Transmission Purchases - Non-Juris &amp; Provisions</t>
  </si>
  <si>
    <t xml:space="preserve">Non-Retail share of DSM, Econ Dev &amp; HEAP Rider Expenses </t>
  </si>
  <si>
    <t xml:space="preserve">Non-Retail Share of BSDR </t>
  </si>
  <si>
    <t>Removal of Wholesale Customer Load</t>
  </si>
  <si>
    <t>Acct 4300001 &amp; 4300003</t>
  </si>
  <si>
    <t>W18</t>
  </si>
  <si>
    <t>Income Taxes</t>
  </si>
  <si>
    <t>Current/Deferred State Income Tax</t>
  </si>
  <si>
    <t>Current Federal Income Taxes</t>
  </si>
  <si>
    <t>Deferred Federal Income Taxes</t>
  </si>
  <si>
    <t>Deferred Investment Tax Credit</t>
  </si>
  <si>
    <t>ITC Adjustment</t>
  </si>
  <si>
    <t xml:space="preserve">     Total Income Taxes</t>
  </si>
  <si>
    <t>State income tax rate</t>
  </si>
  <si>
    <t>federal income tax rate</t>
  </si>
  <si>
    <t>pre-tax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</si>
</sst>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 MT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164" fontId="1" fillId="0" borderId="0" xfId="4" quotePrefix="1" applyNumberFormat="1" applyFont="1" applyFill="1" applyAlignment="1">
      <alignment horizontal="center"/>
    </xf>
    <xf numFmtId="0" fontId="0" fillId="0" borderId="0" xfId="0" applyFill="1"/>
    <xf numFmtId="164" fontId="0" fillId="0" borderId="0" xfId="4" applyNumberFormat="1" applyFont="1" applyFill="1" applyBorder="1"/>
    <xf numFmtId="164" fontId="0" fillId="0" borderId="0" xfId="0" applyNumberFormat="1" applyFill="1"/>
    <xf numFmtId="49" fontId="1" fillId="0" borderId="0" xfId="5" applyNumberForma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37" fontId="1" fillId="0" borderId="0" xfId="0" applyNumberFormat="1" applyFont="1" applyFill="1"/>
    <xf numFmtId="37" fontId="1" fillId="0" borderId="0" xfId="0" applyNumberFormat="1" applyFont="1" applyFill="1" applyAlignment="1">
      <alignment horizontal="right"/>
    </xf>
    <xf numFmtId="37" fontId="0" fillId="0" borderId="0" xfId="0" applyNumberForma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/>
    <xf numFmtId="37" fontId="1" fillId="0" borderId="1" xfId="0" applyNumberFormat="1" applyFont="1" applyFill="1" applyBorder="1" applyAlignment="1">
      <alignment horizontal="right"/>
    </xf>
    <xf numFmtId="37" fontId="0" fillId="0" borderId="1" xfId="0" applyNumberFormat="1" applyFill="1" applyBorder="1"/>
    <xf numFmtId="0" fontId="9" fillId="0" borderId="0" xfId="0" applyFont="1" applyFill="1" applyAlignment="1">
      <alignment horizontal="left" vertical="center"/>
    </xf>
    <xf numFmtId="37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9" fillId="0" borderId="0" xfId="0" applyFont="1" applyFill="1"/>
    <xf numFmtId="0" fontId="1" fillId="0" borderId="1" xfId="0" applyFont="1" applyFill="1" applyBorder="1" applyAlignment="1">
      <alignment vertical="center"/>
    </xf>
    <xf numFmtId="37" fontId="1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37" fontId="1" fillId="0" borderId="3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left" vertical="center"/>
    </xf>
    <xf numFmtId="37" fontId="1" fillId="0" borderId="4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2" fillId="0" borderId="0" xfId="0" applyNumberFormat="1" applyFont="1" applyFill="1" applyBorder="1"/>
    <xf numFmtId="164" fontId="2" fillId="0" borderId="0" xfId="0" applyNumberFormat="1" applyFont="1" applyFill="1"/>
    <xf numFmtId="49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37" fontId="1" fillId="0" borderId="0" xfId="1" applyNumberFormat="1" applyFill="1" applyAlignment="1">
      <alignment horizontal="center" vertical="center"/>
    </xf>
    <xf numFmtId="0" fontId="1" fillId="0" borderId="0" xfId="1" applyFill="1" applyAlignment="1">
      <alignment vertical="center"/>
    </xf>
    <xf numFmtId="0" fontId="1" fillId="0" borderId="0" xfId="1" applyFill="1" applyAlignment="1">
      <alignment horizontal="center"/>
    </xf>
    <xf numFmtId="0" fontId="1" fillId="0" borderId="0" xfId="1" applyFill="1"/>
    <xf numFmtId="164" fontId="1" fillId="0" borderId="0" xfId="1" applyNumberFormat="1" applyFill="1" applyBorder="1"/>
    <xf numFmtId="49" fontId="1" fillId="0" borderId="0" xfId="1" applyNumberFormat="1" applyFill="1" applyAlignment="1">
      <alignment horizontal="left" wrapText="1"/>
    </xf>
    <xf numFmtId="164" fontId="1" fillId="0" borderId="0" xfId="1" applyNumberFormat="1" applyFill="1" applyBorder="1" applyAlignment="1">
      <alignment wrapText="1"/>
    </xf>
    <xf numFmtId="49" fontId="9" fillId="0" borderId="0" xfId="1" applyNumberFormat="1" applyFont="1" applyFill="1" applyAlignment="1">
      <alignment horizontal="left" wrapText="1"/>
    </xf>
    <xf numFmtId="164" fontId="6" fillId="0" borderId="0" xfId="4" applyNumberFormat="1" applyFont="1" applyFill="1" applyBorder="1" applyAlignment="1">
      <alignment wrapText="1"/>
    </xf>
    <xf numFmtId="164" fontId="7" fillId="0" borderId="0" xfId="4" applyNumberFormat="1" applyFont="1" applyFill="1" applyBorder="1"/>
    <xf numFmtId="164" fontId="0" fillId="0" borderId="1" xfId="4" applyNumberFormat="1" applyFont="1" applyFill="1" applyBorder="1"/>
    <xf numFmtId="164" fontId="6" fillId="0" borderId="1" xfId="4" applyNumberFormat="1" applyFont="1" applyFill="1" applyBorder="1" applyAlignment="1">
      <alignment wrapText="1"/>
    </xf>
    <xf numFmtId="164" fontId="7" fillId="0" borderId="1" xfId="4" applyNumberFormat="1" applyFont="1" applyFill="1" applyBorder="1"/>
    <xf numFmtId="164" fontId="7" fillId="0" borderId="0" xfId="4" applyNumberFormat="1" applyFont="1" applyFill="1" applyBorder="1" applyAlignment="1">
      <alignment horizontal="right"/>
    </xf>
    <xf numFmtId="164" fontId="6" fillId="0" borderId="0" xfId="4" applyNumberFormat="1" applyFont="1" applyFill="1" applyBorder="1"/>
    <xf numFmtId="164" fontId="1" fillId="0" borderId="0" xfId="4" applyNumberFormat="1" applyFont="1" applyFill="1" applyBorder="1" applyAlignment="1">
      <alignment horizontal="right"/>
    </xf>
    <xf numFmtId="164" fontId="2" fillId="0" borderId="0" xfId="4" applyNumberFormat="1" applyFont="1" applyFill="1" applyBorder="1"/>
    <xf numFmtId="164" fontId="2" fillId="0" borderId="1" xfId="0" applyNumberFormat="1" applyFont="1" applyFill="1" applyBorder="1"/>
    <xf numFmtId="164" fontId="0" fillId="0" borderId="1" xfId="0" applyNumberFormat="1" applyFill="1" applyBorder="1"/>
    <xf numFmtId="164" fontId="0" fillId="0" borderId="2" xfId="4" applyNumberFormat="1" applyFont="1" applyFill="1" applyBorder="1"/>
    <xf numFmtId="164" fontId="0" fillId="0" borderId="3" xfId="4" applyNumberFormat="1" applyFont="1" applyFill="1" applyBorder="1"/>
    <xf numFmtId="0" fontId="0" fillId="0" borderId="0" xfId="0" applyFill="1" applyAlignment="1"/>
    <xf numFmtId="164" fontId="0" fillId="0" borderId="2" xfId="0" applyNumberFormat="1" applyFill="1" applyBorder="1"/>
    <xf numFmtId="164" fontId="0" fillId="0" borderId="0" xfId="0" applyNumberFormat="1" applyFill="1" applyBorder="1"/>
    <xf numFmtId="49" fontId="1" fillId="0" borderId="0" xfId="5" applyNumberFormat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0" xfId="3" applyFont="1" applyFill="1" applyAlignment="1">
      <alignment horizont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37" fontId="1" fillId="0" borderId="0" xfId="0" applyNumberFormat="1" applyFont="1" applyAlignment="1">
      <alignment horizontal="right"/>
    </xf>
    <xf numFmtId="37" fontId="1" fillId="0" borderId="2" xfId="0" applyNumberFormat="1" applyFont="1" applyBorder="1" applyAlignment="1">
      <alignment horizontal="right"/>
    </xf>
    <xf numFmtId="37" fontId="1" fillId="0" borderId="0" xfId="7" applyNumberFormat="1"/>
    <xf numFmtId="37" fontId="1" fillId="0" borderId="0" xfId="4" applyNumberFormat="1" applyFont="1" applyFill="1" applyAlignment="1">
      <alignment vertical="center"/>
    </xf>
    <xf numFmtId="10" fontId="0" fillId="0" borderId="0" xfId="6" applyNumberFormat="1" applyFont="1" applyFill="1"/>
  </cellXfs>
  <cellStyles count="8">
    <cellStyle name="Comma" xfId="4" builtinId="3"/>
    <cellStyle name="Normal" xfId="0" builtinId="0"/>
    <cellStyle name="Normal 10 2 2 2" xfId="2" xr:uid="{4A187CE3-034A-4F9A-8333-A3F3A493C30E}"/>
    <cellStyle name="Normal 132" xfId="1" xr:uid="{32D7105E-36E4-4254-90BF-FBE5B1A5DA57}"/>
    <cellStyle name="Normal 132 2" xfId="5" xr:uid="{7B96AD1D-5A6E-4A1A-B7E7-ADDE456501FF}"/>
    <cellStyle name="Normal 2 3" xfId="7" xr:uid="{A2157C76-E3DA-450D-A037-AD65AA539256}"/>
    <cellStyle name="Normal 2 3 5" xfId="3" xr:uid="{5B704A67-F3CA-43C0-8394-3D4D3CB8AA51}"/>
    <cellStyle name="Percent" xfId="6" builtinId="5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cing\Rate%20Cases\KPCo\2025%20Base%20Case%20-%20TME%205-31-25%20TY\JCOS\Acct-Tax-Iteration\ADFIT%20Schedule-%20KY%202025.xlsx" TargetMode="External"/><Relationship Id="rId1" Type="http://schemas.openxmlformats.org/officeDocument/2006/relationships/externalLinkPath" Target="/pricing/Rate%20Cases/KPCo/2025%20Base%20Case%20-%20TME%205-31-25%20TY/JCOS/Acct-Tax-Iteration/ADFIT%20Schedule-%20K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ew Notes"/>
      <sheetName val="ADFIT1"/>
      <sheetName val="Source Data---&gt;"/>
      <sheetName val="Rec"/>
      <sheetName val="Mapping Key"/>
      <sheetName val="51040H May 2025"/>
      <sheetName val="Trial Balance"/>
      <sheetName val="51013C May 2025"/>
      <sheetName val="Excess"/>
      <sheetName val="Adjustments--&gt;"/>
      <sheetName val="Tariff Inclusion"/>
      <sheetName val="W03"/>
      <sheetName val="W43"/>
      <sheetName val="Exhibits--&gt;"/>
      <sheetName val="NOLC Exhibit "/>
      <sheetName val="KYPCO NOL Vintage Year"/>
      <sheetName val="KYPCO Allocators"/>
      <sheetName val="ADFIT NOLC Adj"/>
      <sheetName val="NOLC Summary 25"/>
    </sheetNames>
    <sheetDataSet>
      <sheetData sheetId="0"/>
      <sheetData sheetId="1">
        <row r="186">
          <cell r="D186">
            <v>-453392109.80999994</v>
          </cell>
        </row>
        <row r="188">
          <cell r="S188">
            <v>5514295.8700000355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H16">
            <v>44877672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3D42-0DD9-4445-9F9D-06A154F1D180}">
  <dimension ref="A1:F58"/>
  <sheetViews>
    <sheetView tabSelected="1" workbookViewId="0">
      <selection activeCell="E57" sqref="E57"/>
    </sheetView>
  </sheetViews>
  <sheetFormatPr defaultRowHeight="15"/>
  <cols>
    <col min="1" max="1" width="12.7109375" style="2" customWidth="1"/>
    <col min="2" max="2" width="51.28515625" style="2" bestFit="1" customWidth="1"/>
    <col min="3" max="4" width="19.85546875" style="2" customWidth="1"/>
    <col min="5" max="5" width="18.5703125" style="2" customWidth="1"/>
    <col min="6" max="6" width="23.42578125" style="2" customWidth="1"/>
    <col min="7" max="16384" width="9.140625" style="2"/>
  </cols>
  <sheetData>
    <row r="1" spans="1:6" ht="15" customHeight="1">
      <c r="A1" s="62" t="s">
        <v>0</v>
      </c>
      <c r="B1" s="62"/>
      <c r="C1" s="62"/>
      <c r="D1" s="62"/>
      <c r="E1" s="62"/>
      <c r="F1" s="62"/>
    </row>
    <row r="2" spans="1:6" ht="15" customHeight="1">
      <c r="A2" s="62" t="s">
        <v>430</v>
      </c>
      <c r="B2" s="62"/>
      <c r="C2" s="62"/>
      <c r="D2" s="62"/>
      <c r="E2" s="62"/>
      <c r="F2" s="62"/>
    </row>
    <row r="3" spans="1:6" ht="15" customHeight="1">
      <c r="A3" s="62" t="s">
        <v>4</v>
      </c>
      <c r="B3" s="62"/>
      <c r="C3" s="62"/>
      <c r="D3" s="62"/>
      <c r="E3" s="62"/>
      <c r="F3" s="62"/>
    </row>
    <row r="4" spans="1:6">
      <c r="A4" s="62" t="s">
        <v>432</v>
      </c>
      <c r="B4" s="62"/>
      <c r="C4" s="62"/>
      <c r="D4" s="62"/>
      <c r="E4" s="62"/>
      <c r="F4" s="62"/>
    </row>
    <row r="5" spans="1:6">
      <c r="A5" s="5"/>
      <c r="B5" s="5"/>
      <c r="C5" s="5"/>
      <c r="D5" s="5"/>
      <c r="E5" s="5"/>
      <c r="F5" s="5"/>
    </row>
    <row r="6" spans="1:6">
      <c r="A6" s="6"/>
      <c r="B6" s="7"/>
      <c r="C6" s="6" t="s">
        <v>360</v>
      </c>
    </row>
    <row r="7" spans="1:6">
      <c r="A7" s="6" t="s">
        <v>361</v>
      </c>
      <c r="B7" s="6"/>
      <c r="C7" s="6" t="s">
        <v>362</v>
      </c>
      <c r="D7" s="6" t="s">
        <v>407</v>
      </c>
      <c r="F7" s="8" t="s">
        <v>407</v>
      </c>
    </row>
    <row r="8" spans="1:6">
      <c r="A8" s="9" t="s">
        <v>363</v>
      </c>
      <c r="B8" s="9" t="s">
        <v>2</v>
      </c>
      <c r="C8" s="10" t="s">
        <v>364</v>
      </c>
      <c r="D8" s="10" t="s">
        <v>364</v>
      </c>
      <c r="E8" s="10" t="s">
        <v>359</v>
      </c>
      <c r="F8" s="11" t="s">
        <v>421</v>
      </c>
    </row>
    <row r="9" spans="1:6">
      <c r="A9" s="6"/>
      <c r="B9" s="1" t="s">
        <v>365</v>
      </c>
      <c r="C9" s="1" t="s">
        <v>366</v>
      </c>
      <c r="D9" s="1" t="s">
        <v>367</v>
      </c>
      <c r="E9" s="1" t="s">
        <v>422</v>
      </c>
      <c r="F9" s="1" t="s">
        <v>423</v>
      </c>
    </row>
    <row r="10" spans="1:6">
      <c r="A10" s="6"/>
      <c r="B10" s="7"/>
      <c r="C10" s="12"/>
      <c r="D10" s="12"/>
      <c r="E10" s="7"/>
    </row>
    <row r="11" spans="1:6">
      <c r="A11" s="6">
        <v>1</v>
      </c>
      <c r="B11" s="7" t="s">
        <v>368</v>
      </c>
      <c r="C11" s="13">
        <f>+Support!E212</f>
        <v>650666343.95999992</v>
      </c>
      <c r="D11" s="13">
        <f>+Support!G212</f>
        <v>650666343.95999992</v>
      </c>
      <c r="E11" s="13">
        <f>+Support!H212</f>
        <v>0</v>
      </c>
      <c r="F11" s="14">
        <f>+D11+E11</f>
        <v>650666343.95999992</v>
      </c>
    </row>
    <row r="12" spans="1:6">
      <c r="A12" s="6">
        <f>A11+1</f>
        <v>2</v>
      </c>
      <c r="B12" s="15" t="s">
        <v>369</v>
      </c>
      <c r="C12" s="13">
        <f>+Support!E213</f>
        <v>5664875.54</v>
      </c>
      <c r="D12" s="13">
        <f>+Support!G213</f>
        <v>0</v>
      </c>
      <c r="E12" s="13">
        <f>+Support!H213</f>
        <v>0</v>
      </c>
      <c r="F12" s="14">
        <f t="shared" ref="F12:F15" si="0">+D12+E12</f>
        <v>0</v>
      </c>
    </row>
    <row r="13" spans="1:6">
      <c r="A13" s="6">
        <f>A12+1</f>
        <v>3</v>
      </c>
      <c r="B13" s="7" t="s">
        <v>161</v>
      </c>
      <c r="C13" s="13">
        <f>+Support!E214</f>
        <v>-6574896</v>
      </c>
      <c r="D13" s="13">
        <f>+Support!G214</f>
        <v>0</v>
      </c>
      <c r="E13" s="13">
        <f>+Support!H214</f>
        <v>0</v>
      </c>
      <c r="F13" s="14">
        <f t="shared" si="0"/>
        <v>0</v>
      </c>
    </row>
    <row r="14" spans="1:6">
      <c r="A14" s="6">
        <f>+A13+1</f>
        <v>4</v>
      </c>
      <c r="B14" s="7" t="s">
        <v>370</v>
      </c>
      <c r="C14" s="13">
        <f>+Support!E249</f>
        <v>55081909.05999998</v>
      </c>
      <c r="D14" s="13">
        <f>+Support!G249</f>
        <v>49032635.710000008</v>
      </c>
      <c r="E14" s="13">
        <f>+Support!H249</f>
        <v>1518931.4599999713</v>
      </c>
      <c r="F14" s="14">
        <f t="shared" si="0"/>
        <v>50551567.169999979</v>
      </c>
    </row>
    <row r="15" spans="1:6">
      <c r="A15" s="6">
        <f t="shared" ref="A15:A57" si="1">+A14+1</f>
        <v>5</v>
      </c>
      <c r="B15" s="16" t="s">
        <v>371</v>
      </c>
      <c r="C15" s="17">
        <f>+Support!E220</f>
        <v>22603522.400000002</v>
      </c>
      <c r="D15" s="17">
        <f>+Support!G220</f>
        <v>22287073.086400002</v>
      </c>
      <c r="E15" s="17">
        <f>+Support!H220</f>
        <v>316449.31359999999</v>
      </c>
      <c r="F15" s="18">
        <f t="shared" si="0"/>
        <v>22603522.400000002</v>
      </c>
    </row>
    <row r="16" spans="1:6">
      <c r="A16" s="6">
        <f t="shared" si="1"/>
        <v>6</v>
      </c>
      <c r="B16" s="19" t="s">
        <v>372</v>
      </c>
      <c r="C16" s="20">
        <f>SUM(C11:C15)</f>
        <v>727441754.9599998</v>
      </c>
      <c r="D16" s="20">
        <f>SUM(D11:D15)</f>
        <v>721986052.75639999</v>
      </c>
      <c r="E16" s="20">
        <f>SUM(E11:E15)</f>
        <v>1835380.7735999713</v>
      </c>
      <c r="F16" s="20">
        <f>SUM(F11:F15)</f>
        <v>723821433.52999985</v>
      </c>
    </row>
    <row r="17" spans="1:6">
      <c r="A17" s="6">
        <f t="shared" si="1"/>
        <v>7</v>
      </c>
      <c r="B17" s="21"/>
      <c r="C17" s="20"/>
      <c r="D17" s="20"/>
      <c r="E17" s="20"/>
    </row>
    <row r="18" spans="1:6">
      <c r="A18" s="6">
        <f t="shared" si="1"/>
        <v>8</v>
      </c>
      <c r="B18" s="22" t="s">
        <v>373</v>
      </c>
      <c r="C18" s="13"/>
      <c r="D18" s="13"/>
      <c r="E18" s="13"/>
    </row>
    <row r="19" spans="1:6">
      <c r="A19" s="6">
        <f t="shared" si="1"/>
        <v>9</v>
      </c>
      <c r="B19" s="7" t="s">
        <v>374</v>
      </c>
      <c r="C19" s="13">
        <f>+Support!E290</f>
        <v>303748627.52999997</v>
      </c>
      <c r="D19" s="13">
        <f>+Support!G290</f>
        <v>299430551</v>
      </c>
      <c r="E19" s="13">
        <f>+Support!H290</f>
        <v>4309513.5300000077</v>
      </c>
      <c r="F19" s="14">
        <f>+D19+E19</f>
        <v>303740064.53000003</v>
      </c>
    </row>
    <row r="20" spans="1:6">
      <c r="A20" s="6">
        <f t="shared" si="1"/>
        <v>10</v>
      </c>
      <c r="B20" s="7" t="s">
        <v>375</v>
      </c>
      <c r="C20" s="13">
        <f>+Support!E317</f>
        <v>96971566.600000024</v>
      </c>
      <c r="D20" s="13">
        <f>+Support!G317</f>
        <v>97513881</v>
      </c>
      <c r="E20" s="13">
        <f>+Support!H317</f>
        <v>209103.03000002285</v>
      </c>
      <c r="F20" s="14">
        <f t="shared" ref="F20:F26" si="2">+D20+E20</f>
        <v>97722984.030000016</v>
      </c>
    </row>
    <row r="21" spans="1:6">
      <c r="A21" s="6">
        <f t="shared" si="1"/>
        <v>11</v>
      </c>
      <c r="B21" s="7" t="s">
        <v>376</v>
      </c>
      <c r="C21" s="13">
        <f>+Support!E345</f>
        <v>42022818.206999995</v>
      </c>
      <c r="D21" s="13">
        <f>+Support!G345</f>
        <v>41980795</v>
      </c>
      <c r="E21" s="13">
        <f>+Support!H345</f>
        <v>42023.206999998336</v>
      </c>
      <c r="F21" s="14">
        <f t="shared" si="2"/>
        <v>42022818.206999995</v>
      </c>
    </row>
    <row r="22" spans="1:6">
      <c r="A22" s="6">
        <f t="shared" si="1"/>
        <v>12</v>
      </c>
      <c r="B22" s="7" t="s">
        <v>377</v>
      </c>
      <c r="C22" s="13">
        <f>+Support!E354</f>
        <v>5010286.08</v>
      </c>
      <c r="D22" s="13">
        <f>+Support!G354</f>
        <v>5010225</v>
      </c>
      <c r="E22" s="13">
        <f>+Support!H354</f>
        <v>61.080000000136351</v>
      </c>
      <c r="F22" s="14">
        <f t="shared" si="2"/>
        <v>5010286.08</v>
      </c>
    </row>
    <row r="23" spans="1:6">
      <c r="A23" s="6">
        <f t="shared" si="1"/>
        <v>13</v>
      </c>
      <c r="B23" s="7" t="s">
        <v>378</v>
      </c>
      <c r="C23" s="13">
        <f>+Support!E368</f>
        <v>9329.2200000000012</v>
      </c>
      <c r="D23" s="13">
        <f>+Support!G368</f>
        <v>9329.1057867964391</v>
      </c>
      <c r="E23" s="13">
        <f>+Support!H368</f>
        <v>0.11421320356203069</v>
      </c>
      <c r="F23" s="14">
        <f t="shared" si="2"/>
        <v>9329.2200000000012</v>
      </c>
    </row>
    <row r="24" spans="1:6">
      <c r="A24" s="6">
        <f t="shared" si="1"/>
        <v>14</v>
      </c>
      <c r="B24" s="7" t="s">
        <v>379</v>
      </c>
      <c r="C24" s="13">
        <f>+Support!E361</f>
        <v>1776406.0100000002</v>
      </c>
      <c r="D24" s="13">
        <f>+Support!G361</f>
        <v>1776402</v>
      </c>
      <c r="E24" s="13">
        <f>+Support!H361</f>
        <v>22.010000000038417</v>
      </c>
      <c r="F24" s="14">
        <f t="shared" si="2"/>
        <v>1776424.01</v>
      </c>
    </row>
    <row r="25" spans="1:6">
      <c r="A25" s="6">
        <f t="shared" si="1"/>
        <v>15</v>
      </c>
      <c r="B25" s="7" t="s">
        <v>380</v>
      </c>
      <c r="C25" s="13">
        <f>+Support!E389</f>
        <v>27641391.560000002</v>
      </c>
      <c r="D25" s="13">
        <f>+Support!G389</f>
        <v>27283826.417599998</v>
      </c>
      <c r="E25" s="13">
        <f>+Support!H389</f>
        <v>340970.47239999985</v>
      </c>
      <c r="F25" s="14">
        <f t="shared" si="2"/>
        <v>27624796.889999997</v>
      </c>
    </row>
    <row r="26" spans="1:6">
      <c r="A26" s="6">
        <f t="shared" si="1"/>
        <v>16</v>
      </c>
      <c r="B26" s="16" t="s">
        <v>381</v>
      </c>
      <c r="C26" s="17">
        <v>0</v>
      </c>
      <c r="D26" s="17">
        <v>0</v>
      </c>
      <c r="E26" s="17">
        <v>0</v>
      </c>
      <c r="F26" s="18">
        <f t="shared" si="2"/>
        <v>0</v>
      </c>
    </row>
    <row r="27" spans="1:6">
      <c r="A27" s="6">
        <f t="shared" si="1"/>
        <v>17</v>
      </c>
      <c r="B27" s="19" t="s">
        <v>382</v>
      </c>
      <c r="C27" s="20">
        <f>SUM(C19:C26)</f>
        <v>477180425.20700002</v>
      </c>
      <c r="D27" s="20">
        <f>SUM(D19:D26)</f>
        <v>473005009.52338678</v>
      </c>
      <c r="E27" s="14">
        <f>+SUM(E19:E26)</f>
        <v>4901693.443613233</v>
      </c>
      <c r="F27" s="20">
        <f>SUM(F19:F26)</f>
        <v>477906702.96700007</v>
      </c>
    </row>
    <row r="28" spans="1:6">
      <c r="A28" s="6">
        <f t="shared" si="1"/>
        <v>18</v>
      </c>
      <c r="B28" s="21"/>
      <c r="C28" s="20"/>
      <c r="D28" s="20" t="s">
        <v>442</v>
      </c>
      <c r="E28" s="20">
        <f>SUM(E19:E26)-E31</f>
        <v>5144954.443613233</v>
      </c>
    </row>
    <row r="29" spans="1:6">
      <c r="A29" s="6">
        <f t="shared" si="1"/>
        <v>19</v>
      </c>
      <c r="B29" s="7" t="s">
        <v>383</v>
      </c>
      <c r="C29" s="13">
        <f>+Support!E415</f>
        <v>125983659.73999999</v>
      </c>
      <c r="D29" s="13">
        <f>+Support!G415</f>
        <v>124602382</v>
      </c>
      <c r="E29" s="13">
        <f>+Support!H415</f>
        <v>1384417.7399999979</v>
      </c>
      <c r="F29" s="14">
        <f>+D29+E29</f>
        <v>125986799.73999999</v>
      </c>
    </row>
    <row r="30" spans="1:6">
      <c r="A30" s="6">
        <f t="shared" si="1"/>
        <v>20</v>
      </c>
      <c r="B30" s="7" t="s">
        <v>384</v>
      </c>
      <c r="C30" s="13">
        <f>+Support!E434</f>
        <v>21435609.890000001</v>
      </c>
      <c r="D30" s="13">
        <f>+Support!G434</f>
        <v>21059050</v>
      </c>
      <c r="E30" s="13">
        <f>+Support!H434</f>
        <v>376559.890000001</v>
      </c>
      <c r="F30" s="14">
        <f t="shared" ref="F30:F33" si="3">+D30+E30</f>
        <v>21435609.890000001</v>
      </c>
    </row>
    <row r="31" spans="1:6">
      <c r="A31" s="6">
        <f t="shared" si="1"/>
        <v>21</v>
      </c>
      <c r="B31" s="7" t="s">
        <v>385</v>
      </c>
      <c r="C31" s="13">
        <v>-2143873</v>
      </c>
      <c r="D31" s="13">
        <v>2326166</v>
      </c>
      <c r="E31" s="13">
        <f>+Support!H457</f>
        <v>-243261</v>
      </c>
      <c r="F31" s="14">
        <f t="shared" si="3"/>
        <v>2082905</v>
      </c>
    </row>
    <row r="32" spans="1:6">
      <c r="A32" s="6">
        <f t="shared" si="1"/>
        <v>22</v>
      </c>
      <c r="B32" s="7" t="s">
        <v>386</v>
      </c>
      <c r="C32" s="13">
        <f>+Support!E442</f>
        <v>1839861.6099999999</v>
      </c>
      <c r="D32" s="13">
        <f>+Support!G442</f>
        <v>1839862</v>
      </c>
      <c r="E32" s="13">
        <f>+Support!H442</f>
        <v>-0.39000000013038516</v>
      </c>
      <c r="F32" s="14">
        <f t="shared" si="3"/>
        <v>1839861.6099999999</v>
      </c>
    </row>
    <row r="33" spans="1:6">
      <c r="A33" s="6">
        <f t="shared" si="1"/>
        <v>23</v>
      </c>
      <c r="B33" s="16" t="s">
        <v>387</v>
      </c>
      <c r="C33" s="17">
        <f>+Support!E453</f>
        <v>12288351.789999999</v>
      </c>
      <c r="D33" s="17">
        <f>+Support!G453</f>
        <v>7021797.6200000001</v>
      </c>
      <c r="E33" s="17">
        <f>+Support!H453</f>
        <v>28502.250000000091</v>
      </c>
      <c r="F33" s="18">
        <f t="shared" si="3"/>
        <v>7050299.8700000001</v>
      </c>
    </row>
    <row r="34" spans="1:6">
      <c r="A34" s="6">
        <f t="shared" si="1"/>
        <v>24</v>
      </c>
      <c r="B34" s="19" t="s">
        <v>388</v>
      </c>
      <c r="C34" s="20">
        <f>SUM(C16)-SUM(C27:C33)</f>
        <v>90857719.722999811</v>
      </c>
      <c r="D34" s="20">
        <f t="shared" ref="D34:F34" si="4">SUM(D16)-SUM(D27:D33)</f>
        <v>92131785.613013268</v>
      </c>
      <c r="E34" s="20">
        <f>SUM(E16)-(SUM(E29:E33)+E27)</f>
        <v>-4612531.1600132603</v>
      </c>
      <c r="F34" s="20">
        <f t="shared" si="4"/>
        <v>87519254.45299983</v>
      </c>
    </row>
    <row r="35" spans="1:6">
      <c r="A35" s="6">
        <f t="shared" si="1"/>
        <v>25</v>
      </c>
      <c r="B35" s="21"/>
      <c r="C35" s="20"/>
      <c r="D35" s="20" t="s">
        <v>442</v>
      </c>
      <c r="E35" s="20">
        <f>SUM(E16)-SUM(E28:E33)</f>
        <v>-4855792.1600132603</v>
      </c>
    </row>
    <row r="36" spans="1:6">
      <c r="A36" s="6">
        <f t="shared" si="1"/>
        <v>26</v>
      </c>
      <c r="B36" s="22" t="s">
        <v>389</v>
      </c>
      <c r="C36" s="13"/>
      <c r="D36" s="13"/>
      <c r="E36" s="13"/>
    </row>
    <row r="37" spans="1:6">
      <c r="A37" s="6">
        <f t="shared" si="1"/>
        <v>27</v>
      </c>
      <c r="B37" s="7" t="s">
        <v>390</v>
      </c>
      <c r="C37" s="13">
        <v>-4143717</v>
      </c>
      <c r="D37" s="13">
        <v>10661422</v>
      </c>
      <c r="E37" s="13">
        <f>+Support!H458</f>
        <v>-968632</v>
      </c>
      <c r="F37" s="14">
        <f>+D37+E37</f>
        <v>9692790</v>
      </c>
    </row>
    <row r="38" spans="1:6">
      <c r="A38" s="6">
        <f t="shared" si="1"/>
        <v>28</v>
      </c>
      <c r="B38" s="7" t="s">
        <v>391</v>
      </c>
      <c r="C38" s="13">
        <v>8216489</v>
      </c>
      <c r="D38" s="13">
        <v>-39785483</v>
      </c>
      <c r="E38" s="13">
        <f>+Support!H459</f>
        <v>195366</v>
      </c>
      <c r="F38" s="14">
        <f t="shared" ref="F38:F40" si="5">+D38+E38</f>
        <v>-39590117</v>
      </c>
    </row>
    <row r="39" spans="1:6">
      <c r="A39" s="6">
        <f t="shared" si="1"/>
        <v>29</v>
      </c>
      <c r="B39" s="7" t="s">
        <v>392</v>
      </c>
      <c r="C39" s="13">
        <f t="shared" ref="C39:E40" si="6">C528</f>
        <v>0</v>
      </c>
      <c r="D39" s="13"/>
      <c r="E39" s="13">
        <f t="shared" si="6"/>
        <v>0</v>
      </c>
      <c r="F39" s="14">
        <f t="shared" si="5"/>
        <v>0</v>
      </c>
    </row>
    <row r="40" spans="1:6">
      <c r="A40" s="6">
        <f t="shared" si="1"/>
        <v>30</v>
      </c>
      <c r="B40" s="23" t="s">
        <v>393</v>
      </c>
      <c r="C40" s="13">
        <f t="shared" si="6"/>
        <v>0</v>
      </c>
      <c r="D40" s="13"/>
      <c r="E40" s="13">
        <f t="shared" si="6"/>
        <v>0</v>
      </c>
      <c r="F40" s="14">
        <f t="shared" si="5"/>
        <v>0</v>
      </c>
    </row>
    <row r="41" spans="1:6">
      <c r="A41" s="6">
        <f t="shared" si="1"/>
        <v>31</v>
      </c>
      <c r="B41" s="19" t="s">
        <v>394</v>
      </c>
      <c r="C41" s="24">
        <f>SUM(C36:C40)</f>
        <v>4072772</v>
      </c>
      <c r="D41" s="24">
        <f>SUM(D36:D40)</f>
        <v>-29124061</v>
      </c>
      <c r="E41" s="24">
        <f>SUM(E36:E40)</f>
        <v>-773266</v>
      </c>
      <c r="F41" s="24">
        <f>SUM(F36:F40)</f>
        <v>-29897327</v>
      </c>
    </row>
    <row r="42" spans="1:6">
      <c r="A42" s="6">
        <f t="shared" si="1"/>
        <v>32</v>
      </c>
      <c r="B42" s="21"/>
      <c r="C42" s="20"/>
      <c r="D42" s="20"/>
      <c r="E42" s="20"/>
    </row>
    <row r="43" spans="1:6">
      <c r="A43" s="6">
        <f t="shared" si="1"/>
        <v>33</v>
      </c>
      <c r="B43" s="25" t="s">
        <v>395</v>
      </c>
      <c r="C43" s="13">
        <f>C34-C41</f>
        <v>86784947.722999811</v>
      </c>
      <c r="D43" s="13">
        <f>D34-D41</f>
        <v>121255846.61301327</v>
      </c>
      <c r="E43" s="13">
        <f>E34-E41</f>
        <v>-3839265.1600132603</v>
      </c>
      <c r="F43" s="14">
        <f>+E43+D43</f>
        <v>117416581.45300001</v>
      </c>
    </row>
    <row r="44" spans="1:6">
      <c r="A44" s="6">
        <f t="shared" si="1"/>
        <v>34</v>
      </c>
      <c r="B44" s="26" t="s">
        <v>396</v>
      </c>
      <c r="C44" s="17">
        <f>-SUM(Support!E436:E440)</f>
        <v>6039049.0599999996</v>
      </c>
      <c r="D44" s="17">
        <f>-SUM(Support!G436:G440)</f>
        <v>5966186</v>
      </c>
      <c r="E44" s="17">
        <f>-SUM(Support!H436:H440)</f>
        <v>72863.060000000027</v>
      </c>
      <c r="F44" s="14">
        <f>+E44+D44</f>
        <v>6039049.0599999996</v>
      </c>
    </row>
    <row r="45" spans="1:6" ht="15.75" thickBot="1">
      <c r="A45" s="6">
        <f t="shared" si="1"/>
        <v>35</v>
      </c>
      <c r="B45" s="27" t="s">
        <v>397</v>
      </c>
      <c r="C45" s="28">
        <f>C44+C43</f>
        <v>92823996.782999814</v>
      </c>
      <c r="D45" s="28">
        <f>D44+D43</f>
        <v>127222032.61301327</v>
      </c>
      <c r="E45" s="28">
        <f>E44+E43</f>
        <v>-3766402.1000132603</v>
      </c>
      <c r="F45" s="28">
        <f>F44+F43</f>
        <v>123455630.51300001</v>
      </c>
    </row>
    <row r="46" spans="1:6" ht="15.75" thickTop="1">
      <c r="A46" s="6">
        <f t="shared" si="1"/>
        <v>36</v>
      </c>
      <c r="B46" s="25"/>
      <c r="C46" s="13"/>
      <c r="D46" s="13"/>
      <c r="E46" s="13"/>
    </row>
    <row r="47" spans="1:6">
      <c r="A47" s="6">
        <f t="shared" si="1"/>
        <v>37</v>
      </c>
      <c r="B47" s="7" t="s">
        <v>398</v>
      </c>
      <c r="C47" s="13">
        <f>+Support!E124</f>
        <v>3657961431.1199999</v>
      </c>
      <c r="D47" s="13">
        <f>+Support!G124</f>
        <v>3580397232.6700001</v>
      </c>
      <c r="E47" s="13">
        <f>+Support!H124</f>
        <v>36802837.620000087</v>
      </c>
      <c r="F47" s="14">
        <f>+D47+E47</f>
        <v>3617200070.29</v>
      </c>
    </row>
    <row r="48" spans="1:6">
      <c r="A48" s="6">
        <f t="shared" si="1"/>
        <v>38</v>
      </c>
      <c r="B48" s="16" t="s">
        <v>399</v>
      </c>
      <c r="C48" s="17">
        <f>-Support!E132-Support!E140-Support!E143</f>
        <v>-1402526541.25</v>
      </c>
      <c r="D48" s="17">
        <f>-Support!G132-Support!G140-Support!G143</f>
        <v>-1378470789</v>
      </c>
      <c r="E48" s="17">
        <f>-Support!H132-Support!H140-Support!H143</f>
        <v>-15976575.080000035</v>
      </c>
      <c r="F48" s="18">
        <f>+D48+E48</f>
        <v>-1394447364.0799999</v>
      </c>
    </row>
    <row r="49" spans="1:6">
      <c r="A49" s="6">
        <f t="shared" si="1"/>
        <v>39</v>
      </c>
      <c r="B49" s="22" t="s">
        <v>400</v>
      </c>
      <c r="C49" s="13">
        <f>SUM(C47:C48)</f>
        <v>2255434889.8699999</v>
      </c>
      <c r="D49" s="13">
        <f t="shared" ref="D49:F49" si="7">SUM(D47:D48)</f>
        <v>2201926443.6700001</v>
      </c>
      <c r="E49" s="13">
        <f t="shared" si="7"/>
        <v>20826262.540000051</v>
      </c>
      <c r="F49" s="13">
        <f t="shared" si="7"/>
        <v>2222752706.21</v>
      </c>
    </row>
    <row r="50" spans="1:6">
      <c r="A50" s="6">
        <f t="shared" si="1"/>
        <v>40</v>
      </c>
      <c r="B50" s="7" t="s">
        <v>401</v>
      </c>
      <c r="C50" s="13">
        <f>+Support!E182</f>
        <v>801671.21</v>
      </c>
      <c r="D50" s="13">
        <f>+Support!G182</f>
        <v>800870</v>
      </c>
      <c r="E50" s="13">
        <f>+Support!H182</f>
        <v>801.20999999996275</v>
      </c>
      <c r="F50" s="14">
        <f>+D50+E50</f>
        <v>801671.21</v>
      </c>
    </row>
    <row r="51" spans="1:6">
      <c r="A51" s="6">
        <f t="shared" si="1"/>
        <v>41</v>
      </c>
      <c r="B51" s="7" t="s">
        <v>144</v>
      </c>
      <c r="C51" s="13">
        <f>+Support!E193+Support!E194</f>
        <v>49892012.340000004</v>
      </c>
      <c r="D51" s="13">
        <f>+Support!G193+Support!G194</f>
        <v>1403444</v>
      </c>
      <c r="E51" s="13">
        <f>+Support!H193+Support!H194</f>
        <v>28641.75</v>
      </c>
      <c r="F51" s="14">
        <f t="shared" ref="F51:F56" si="8">+D51+E51</f>
        <v>1432085.75</v>
      </c>
    </row>
    <row r="52" spans="1:6">
      <c r="A52" s="6">
        <f t="shared" si="1"/>
        <v>42</v>
      </c>
      <c r="B52" s="7" t="s">
        <v>138</v>
      </c>
      <c r="C52" s="13">
        <f>+Support!E190</f>
        <v>90981940.441999987</v>
      </c>
      <c r="D52" s="13">
        <f>+Support!G190</f>
        <v>89772073</v>
      </c>
      <c r="E52" s="13">
        <f>+Support!H190</f>
        <v>1209867.4419999928</v>
      </c>
      <c r="F52" s="14">
        <f t="shared" si="8"/>
        <v>90981940.441999987</v>
      </c>
    </row>
    <row r="53" spans="1:6">
      <c r="A53" s="6">
        <f t="shared" si="1"/>
        <v>43</v>
      </c>
      <c r="B53" s="7" t="s">
        <v>402</v>
      </c>
      <c r="C53" s="13">
        <f>C461</f>
        <v>0</v>
      </c>
      <c r="D53" s="13">
        <v>0</v>
      </c>
      <c r="E53" s="13">
        <v>0</v>
      </c>
      <c r="F53" s="14">
        <f t="shared" si="8"/>
        <v>0</v>
      </c>
    </row>
    <row r="54" spans="1:6">
      <c r="A54" s="6">
        <f t="shared" si="1"/>
        <v>44</v>
      </c>
      <c r="B54" s="7" t="s">
        <v>403</v>
      </c>
      <c r="C54" s="13">
        <f>+Support!E173</f>
        <v>158950249.46000001</v>
      </c>
      <c r="D54" s="13">
        <f>+Support!G173</f>
        <v>157135384</v>
      </c>
      <c r="E54" s="13">
        <f>+Support!H173</f>
        <v>1649477.659999996</v>
      </c>
      <c r="F54" s="14">
        <f t="shared" si="8"/>
        <v>158784861.66</v>
      </c>
    </row>
    <row r="55" spans="1:6">
      <c r="A55" s="6">
        <f t="shared" si="1"/>
        <v>45</v>
      </c>
      <c r="B55" s="7" t="s">
        <v>404</v>
      </c>
      <c r="C55" s="13">
        <f>+Support!E202+Support!E203+Support!E204+Support!E205</f>
        <v>-37460316.32</v>
      </c>
      <c r="D55" s="13">
        <f>+Support!G202+Support!G203+Support!G204+Support!G205</f>
        <v>-37092403.140000001</v>
      </c>
      <c r="E55" s="13">
        <f>+Support!H202+Support!H203+Support!H204+Support!H205</f>
        <v>0.41000000014901161</v>
      </c>
      <c r="F55" s="14">
        <f t="shared" si="8"/>
        <v>-37092402.730000004</v>
      </c>
    </row>
    <row r="56" spans="1:6">
      <c r="A56" s="6">
        <f t="shared" si="1"/>
        <v>46</v>
      </c>
      <c r="B56" s="16" t="s">
        <v>405</v>
      </c>
      <c r="C56" s="17">
        <v>-453392109.80999994</v>
      </c>
      <c r="D56" s="17">
        <v>-330026966</v>
      </c>
      <c r="E56" s="17">
        <f>+Support!H199</f>
        <v>-5514295.8700000355</v>
      </c>
      <c r="F56" s="18">
        <f t="shared" si="8"/>
        <v>-335541261.87000006</v>
      </c>
    </row>
    <row r="57" spans="1:6" ht="15.75" thickBot="1">
      <c r="A57" s="6">
        <f t="shared" si="1"/>
        <v>47</v>
      </c>
      <c r="B57" s="29" t="s">
        <v>406</v>
      </c>
      <c r="C57" s="30">
        <f>SUM(C49:C56)</f>
        <v>2065208337.1919999</v>
      </c>
      <c r="D57" s="30">
        <f>SUM(D49:D56)</f>
        <v>2083918845.5300002</v>
      </c>
      <c r="E57" s="30">
        <f>SUM(E49:E56)</f>
        <v>18200755.142000008</v>
      </c>
      <c r="F57" s="30">
        <f>SUM(F49:F56)</f>
        <v>2102119600.6719997</v>
      </c>
    </row>
    <row r="58" spans="1:6" ht="15.75" thickTop="1"/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6245-85CB-41AE-B8A3-A5482829C7D9}">
  <dimension ref="A1:Q466"/>
  <sheetViews>
    <sheetView workbookViewId="0">
      <pane ySplit="6" topLeftCell="A397" activePane="bottomLeft" state="frozen"/>
      <selection pane="bottomLeft" activeCell="H399" sqref="H399"/>
    </sheetView>
  </sheetViews>
  <sheetFormatPr defaultRowHeight="15"/>
  <cols>
    <col min="1" max="1" width="9.140625" style="2"/>
    <col min="2" max="2" width="1" style="2" customWidth="1"/>
    <col min="3" max="3" width="52.28515625" style="2" customWidth="1"/>
    <col min="4" max="4" width="3.85546875" style="2" customWidth="1"/>
    <col min="5" max="5" width="16.85546875" style="61" bestFit="1" customWidth="1"/>
    <col min="6" max="6" width="18.42578125" style="61" customWidth="1"/>
    <col min="7" max="7" width="16.85546875" style="61" bestFit="1" customWidth="1"/>
    <col min="8" max="8" width="15.5703125" style="4" customWidth="1"/>
    <col min="9" max="9" width="16.85546875" style="4" bestFit="1" customWidth="1"/>
    <col min="10" max="10" width="13.42578125" style="2" customWidth="1"/>
    <col min="11" max="11" width="12.85546875" style="2" customWidth="1"/>
    <col min="12" max="15" width="9.140625" style="2"/>
    <col min="16" max="16" width="10.5703125" style="2" bestFit="1" customWidth="1"/>
    <col min="17" max="17" width="11.28515625" style="2" bestFit="1" customWidth="1"/>
    <col min="18" max="16384" width="9.140625" style="2"/>
  </cols>
  <sheetData>
    <row r="1" spans="1:10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0">
      <c r="A2" s="63" t="s">
        <v>3</v>
      </c>
      <c r="B2" s="63"/>
      <c r="C2" s="63"/>
      <c r="D2" s="63"/>
      <c r="E2" s="63"/>
      <c r="F2" s="63"/>
      <c r="G2" s="63"/>
      <c r="H2" s="63"/>
      <c r="I2" s="63"/>
    </row>
    <row r="3" spans="1:10">
      <c r="A3" s="63" t="s">
        <v>4</v>
      </c>
      <c r="B3" s="63"/>
      <c r="C3" s="63"/>
      <c r="D3" s="63"/>
      <c r="E3" s="63"/>
      <c r="F3" s="63"/>
      <c r="G3" s="63"/>
      <c r="H3" s="63"/>
      <c r="I3" s="63"/>
    </row>
    <row r="4" spans="1:10">
      <c r="A4" s="64" t="s">
        <v>432</v>
      </c>
      <c r="B4" s="64"/>
      <c r="C4" s="64"/>
      <c r="D4" s="64"/>
      <c r="E4" s="64"/>
      <c r="F4" s="64"/>
      <c r="G4" s="64"/>
      <c r="H4" s="64"/>
      <c r="I4" s="64"/>
    </row>
    <row r="5" spans="1:10">
      <c r="A5" s="31"/>
      <c r="B5" s="31"/>
      <c r="C5" s="31"/>
      <c r="D5" s="31"/>
      <c r="E5" s="32"/>
      <c r="F5" s="32"/>
      <c r="G5" s="32"/>
      <c r="H5" s="33"/>
    </row>
    <row r="6" spans="1:10" ht="38.25">
      <c r="A6" s="34" t="s">
        <v>1</v>
      </c>
      <c r="B6" s="34"/>
      <c r="C6" s="34" t="s">
        <v>2</v>
      </c>
      <c r="D6" s="35"/>
      <c r="E6" s="36" t="s">
        <v>6</v>
      </c>
      <c r="F6" s="36" t="s">
        <v>7</v>
      </c>
      <c r="G6" s="37" t="s">
        <v>8</v>
      </c>
      <c r="H6" s="37" t="s">
        <v>359</v>
      </c>
      <c r="I6" s="37" t="s">
        <v>409</v>
      </c>
    </row>
    <row r="7" spans="1:10">
      <c r="A7" s="38">
        <v>-1</v>
      </c>
      <c r="B7" s="38"/>
      <c r="C7" s="38">
        <v>-2</v>
      </c>
      <c r="D7" s="39"/>
      <c r="E7" s="38">
        <v>-3</v>
      </c>
      <c r="F7" s="38">
        <v>-4</v>
      </c>
      <c r="G7" s="38">
        <v>-5</v>
      </c>
      <c r="H7" s="38">
        <v>-6</v>
      </c>
      <c r="I7" s="38">
        <v>-7</v>
      </c>
    </row>
    <row r="8" spans="1:10">
      <c r="A8" s="40"/>
      <c r="B8" s="40"/>
      <c r="C8" s="41"/>
      <c r="D8" s="41"/>
      <c r="E8" s="42"/>
      <c r="F8" s="42"/>
      <c r="G8" s="32"/>
      <c r="H8" s="33"/>
    </row>
    <row r="9" spans="1:10">
      <c r="A9" s="40">
        <v>1</v>
      </c>
      <c r="B9" s="40"/>
      <c r="C9" s="43" t="s">
        <v>5</v>
      </c>
      <c r="D9" s="41"/>
      <c r="E9" s="44"/>
      <c r="F9" s="44"/>
      <c r="G9" s="32"/>
      <c r="H9" s="33"/>
    </row>
    <row r="10" spans="1:10">
      <c r="A10" s="40"/>
      <c r="B10" s="40"/>
      <c r="C10" s="45" t="s">
        <v>9</v>
      </c>
      <c r="D10" s="41"/>
      <c r="E10" s="44"/>
      <c r="F10" s="44"/>
      <c r="G10" s="32"/>
      <c r="H10" s="33"/>
    </row>
    <row r="11" spans="1:10">
      <c r="C11" s="2" t="s">
        <v>10</v>
      </c>
      <c r="E11" s="3"/>
      <c r="F11" s="46"/>
      <c r="G11" s="47"/>
      <c r="H11" s="33"/>
    </row>
    <row r="12" spans="1:10">
      <c r="C12" s="2" t="s">
        <v>11</v>
      </c>
      <c r="E12" s="3">
        <v>52919.18</v>
      </c>
      <c r="F12" s="46">
        <v>1058.1800000000003</v>
      </c>
      <c r="G12" s="47">
        <v>51861</v>
      </c>
      <c r="H12" s="33">
        <f>+F12</f>
        <v>1058.1800000000003</v>
      </c>
      <c r="I12" s="4">
        <f>+G12+H12</f>
        <v>52919.18</v>
      </c>
    </row>
    <row r="13" spans="1:10">
      <c r="C13" s="2" t="s">
        <v>12</v>
      </c>
      <c r="E13" s="48">
        <v>0</v>
      </c>
      <c r="F13" s="49">
        <v>0</v>
      </c>
      <c r="G13" s="50">
        <v>0</v>
      </c>
      <c r="H13" s="50"/>
      <c r="I13" s="50"/>
    </row>
    <row r="14" spans="1:10">
      <c r="C14" s="2" t="s">
        <v>13</v>
      </c>
      <c r="E14" s="3">
        <v>52919.18</v>
      </c>
      <c r="F14" s="46">
        <v>1058.1800000000003</v>
      </c>
      <c r="G14" s="47">
        <v>51861</v>
      </c>
      <c r="H14" s="33">
        <f>+H12</f>
        <v>1058.1800000000003</v>
      </c>
      <c r="I14" s="33">
        <f t="shared" ref="I14" si="0">+I12</f>
        <v>52919.18</v>
      </c>
      <c r="J14" s="4">
        <f>+E14-I14</f>
        <v>0</v>
      </c>
    </row>
    <row r="15" spans="1:10">
      <c r="E15" s="3"/>
      <c r="F15" s="46"/>
      <c r="G15" s="51"/>
      <c r="H15" s="33"/>
    </row>
    <row r="16" spans="1:10">
      <c r="C16" s="2" t="s">
        <v>14</v>
      </c>
      <c r="E16" s="3"/>
      <c r="F16" s="46"/>
      <c r="G16" s="47"/>
      <c r="H16" s="33"/>
    </row>
    <row r="17" spans="3:11">
      <c r="C17" s="2" t="s">
        <v>15</v>
      </c>
      <c r="E17" s="3"/>
      <c r="F17" s="52"/>
      <c r="G17" s="47"/>
      <c r="H17" s="33"/>
    </row>
    <row r="18" spans="3:11">
      <c r="C18" s="2" t="s">
        <v>16</v>
      </c>
      <c r="E18" s="3">
        <v>4986110.3</v>
      </c>
      <c r="F18" s="46">
        <v>74791.299999999814</v>
      </c>
      <c r="G18" s="47">
        <v>4911319</v>
      </c>
      <c r="H18" s="33">
        <f>+F18</f>
        <v>74791.299999999814</v>
      </c>
      <c r="I18" s="4">
        <f>+G18+H18</f>
        <v>4986110.3</v>
      </c>
    </row>
    <row r="19" spans="3:11">
      <c r="C19" s="2" t="s">
        <v>17</v>
      </c>
      <c r="E19" s="3">
        <v>80522248.659999996</v>
      </c>
      <c r="F19" s="46">
        <v>1207833.6599999964</v>
      </c>
      <c r="G19" s="47">
        <v>79314415</v>
      </c>
      <c r="H19" s="33">
        <f t="shared" ref="H19:H24" si="1">+F19</f>
        <v>1207833.6599999964</v>
      </c>
      <c r="I19" s="4">
        <f t="shared" ref="I19:I24" si="2">+G19+H19</f>
        <v>80522248.659999996</v>
      </c>
    </row>
    <row r="20" spans="3:11">
      <c r="C20" s="2" t="s">
        <v>18</v>
      </c>
      <c r="E20" s="3">
        <v>965925688.18000007</v>
      </c>
      <c r="F20" s="3">
        <v>14488885.180000067</v>
      </c>
      <c r="G20" s="3">
        <v>951436803</v>
      </c>
      <c r="H20" s="33">
        <f t="shared" si="1"/>
        <v>14488885.180000067</v>
      </c>
      <c r="I20" s="4">
        <f t="shared" si="2"/>
        <v>965925688.18000007</v>
      </c>
    </row>
    <row r="21" spans="3:11">
      <c r="C21" s="2" t="s">
        <v>19</v>
      </c>
      <c r="E21" s="3">
        <v>0</v>
      </c>
      <c r="F21" s="53">
        <v>0</v>
      </c>
      <c r="G21" s="54">
        <v>0</v>
      </c>
      <c r="H21" s="33">
        <f t="shared" si="1"/>
        <v>0</v>
      </c>
      <c r="I21" s="4">
        <f t="shared" si="2"/>
        <v>0</v>
      </c>
    </row>
    <row r="22" spans="3:11">
      <c r="C22" s="2" t="s">
        <v>20</v>
      </c>
      <c r="E22" s="3">
        <v>120155019.09999999</v>
      </c>
      <c r="F22" s="3">
        <v>1802325.099999994</v>
      </c>
      <c r="G22" s="3">
        <v>118352694</v>
      </c>
      <c r="H22" s="33">
        <f t="shared" si="1"/>
        <v>1802325.099999994</v>
      </c>
      <c r="I22" s="4">
        <f t="shared" si="2"/>
        <v>120155019.09999999</v>
      </c>
    </row>
    <row r="23" spans="3:11">
      <c r="C23" s="2" t="s">
        <v>21</v>
      </c>
      <c r="E23" s="3">
        <v>34660790.640000001</v>
      </c>
      <c r="F23" s="3">
        <v>519911.6400000006</v>
      </c>
      <c r="G23" s="3">
        <v>34140879</v>
      </c>
      <c r="H23" s="33">
        <f t="shared" si="1"/>
        <v>519911.6400000006</v>
      </c>
      <c r="I23" s="4">
        <f t="shared" si="2"/>
        <v>34660790.640000001</v>
      </c>
    </row>
    <row r="24" spans="3:11">
      <c r="C24" s="2" t="s">
        <v>22</v>
      </c>
      <c r="E24" s="3">
        <v>14096575.02</v>
      </c>
      <c r="F24" s="3">
        <v>211449.01999999955</v>
      </c>
      <c r="G24" s="3">
        <v>13885126</v>
      </c>
      <c r="H24" s="33">
        <f t="shared" si="1"/>
        <v>211449.01999999955</v>
      </c>
      <c r="I24" s="4">
        <f t="shared" si="2"/>
        <v>14096575.02</v>
      </c>
    </row>
    <row r="25" spans="3:11">
      <c r="C25" s="2" t="s">
        <v>23</v>
      </c>
      <c r="E25" s="48">
        <v>34041525.869999997</v>
      </c>
      <c r="F25" s="48">
        <v>34041525.869999997</v>
      </c>
      <c r="G25" s="48">
        <v>0</v>
      </c>
      <c r="H25" s="55">
        <v>0</v>
      </c>
      <c r="I25" s="56">
        <v>0</v>
      </c>
    </row>
    <row r="26" spans="3:11">
      <c r="C26" s="2" t="s">
        <v>24</v>
      </c>
      <c r="E26" s="3">
        <f>+SUM(E18:E25)</f>
        <v>1254387957.77</v>
      </c>
      <c r="F26" s="3">
        <f t="shared" ref="F26:I26" si="3">+SUM(F18:F25)</f>
        <v>52346721.770000055</v>
      </c>
      <c r="G26" s="3">
        <f t="shared" si="3"/>
        <v>1202041236</v>
      </c>
      <c r="H26" s="3">
        <f t="shared" si="3"/>
        <v>18305195.900000058</v>
      </c>
      <c r="I26" s="3">
        <f t="shared" si="3"/>
        <v>1220346431.9000001</v>
      </c>
      <c r="J26" s="4">
        <f>+E26-I26</f>
        <v>34041525.869999886</v>
      </c>
      <c r="K26" s="2" t="s">
        <v>411</v>
      </c>
    </row>
    <row r="27" spans="3:11">
      <c r="E27" s="3"/>
      <c r="F27" s="3"/>
      <c r="G27" s="3"/>
    </row>
    <row r="28" spans="3:11">
      <c r="C28" s="2" t="s">
        <v>25</v>
      </c>
      <c r="E28" s="3"/>
      <c r="F28" s="3"/>
      <c r="G28" s="3"/>
    </row>
    <row r="29" spans="3:11">
      <c r="C29" s="2" t="s">
        <v>26</v>
      </c>
      <c r="E29" s="3">
        <v>0</v>
      </c>
      <c r="F29" s="3">
        <v>0</v>
      </c>
      <c r="G29" s="3">
        <v>0</v>
      </c>
    </row>
    <row r="30" spans="3:11">
      <c r="C30" s="2" t="s">
        <v>27</v>
      </c>
      <c r="E30" s="3">
        <v>0</v>
      </c>
      <c r="F30" s="3">
        <v>0</v>
      </c>
      <c r="G30" s="3">
        <v>0</v>
      </c>
    </row>
    <row r="31" spans="3:11">
      <c r="C31" s="2" t="s">
        <v>28</v>
      </c>
      <c r="E31" s="3">
        <v>0</v>
      </c>
      <c r="F31" s="3">
        <v>0</v>
      </c>
      <c r="G31" s="3">
        <v>0</v>
      </c>
    </row>
    <row r="32" spans="3:11">
      <c r="C32" s="2" t="s">
        <v>29</v>
      </c>
      <c r="E32" s="3">
        <v>0</v>
      </c>
      <c r="F32" s="3">
        <v>0</v>
      </c>
      <c r="G32" s="3">
        <v>0</v>
      </c>
    </row>
    <row r="33" spans="3:7">
      <c r="C33" s="2" t="s">
        <v>30</v>
      </c>
      <c r="E33" s="3">
        <v>0</v>
      </c>
      <c r="F33" s="3">
        <v>0</v>
      </c>
      <c r="G33" s="3">
        <v>0</v>
      </c>
    </row>
    <row r="34" spans="3:7">
      <c r="C34" s="2" t="s">
        <v>31</v>
      </c>
      <c r="E34" s="3">
        <v>0</v>
      </c>
      <c r="F34" s="3">
        <v>0</v>
      </c>
      <c r="G34" s="3">
        <v>0</v>
      </c>
    </row>
    <row r="35" spans="3:7">
      <c r="C35" s="2" t="s">
        <v>32</v>
      </c>
      <c r="E35" s="3">
        <v>0</v>
      </c>
      <c r="F35" s="3">
        <v>0</v>
      </c>
      <c r="G35" s="3">
        <v>0</v>
      </c>
    </row>
    <row r="36" spans="3:7">
      <c r="E36" s="3"/>
      <c r="F36" s="3"/>
      <c r="G36" s="3"/>
    </row>
    <row r="37" spans="3:7">
      <c r="C37" s="2" t="s">
        <v>33</v>
      </c>
      <c r="E37" s="3"/>
      <c r="F37" s="3"/>
      <c r="G37" s="3"/>
    </row>
    <row r="38" spans="3:7">
      <c r="C38" s="2" t="s">
        <v>34</v>
      </c>
      <c r="E38" s="3">
        <v>0</v>
      </c>
      <c r="F38" s="3">
        <v>0</v>
      </c>
      <c r="G38" s="3">
        <v>0</v>
      </c>
    </row>
    <row r="39" spans="3:7">
      <c r="C39" s="2" t="s">
        <v>35</v>
      </c>
      <c r="E39" s="3">
        <v>0</v>
      </c>
      <c r="F39" s="3">
        <v>0</v>
      </c>
      <c r="G39" s="3">
        <v>0</v>
      </c>
    </row>
    <row r="40" spans="3:7">
      <c r="C40" s="2" t="s">
        <v>36</v>
      </c>
      <c r="E40" s="3">
        <v>0</v>
      </c>
      <c r="F40" s="3">
        <v>0</v>
      </c>
      <c r="G40" s="3">
        <v>0</v>
      </c>
    </row>
    <row r="41" spans="3:7">
      <c r="C41" s="2" t="s">
        <v>37</v>
      </c>
      <c r="E41" s="3">
        <v>0</v>
      </c>
      <c r="F41" s="3">
        <v>0</v>
      </c>
      <c r="G41" s="3">
        <v>0</v>
      </c>
    </row>
    <row r="42" spans="3:7">
      <c r="C42" s="2" t="s">
        <v>38</v>
      </c>
      <c r="E42" s="3">
        <v>0</v>
      </c>
      <c r="F42" s="3">
        <v>0</v>
      </c>
      <c r="G42" s="3">
        <v>0</v>
      </c>
    </row>
    <row r="43" spans="3:7">
      <c r="C43" s="2" t="s">
        <v>39</v>
      </c>
      <c r="E43" s="3">
        <v>0</v>
      </c>
      <c r="F43" s="3">
        <v>0</v>
      </c>
      <c r="G43" s="3">
        <v>0</v>
      </c>
    </row>
    <row r="44" spans="3:7">
      <c r="C44" s="2" t="s">
        <v>40</v>
      </c>
      <c r="E44" s="3">
        <v>0</v>
      </c>
      <c r="F44" s="3">
        <v>0</v>
      </c>
      <c r="G44" s="3">
        <v>0</v>
      </c>
    </row>
    <row r="45" spans="3:7">
      <c r="C45" s="2" t="s">
        <v>41</v>
      </c>
      <c r="E45" s="3">
        <v>0</v>
      </c>
      <c r="F45" s="3">
        <v>0</v>
      </c>
      <c r="G45" s="3">
        <v>0</v>
      </c>
    </row>
    <row r="46" spans="3:7">
      <c r="C46" s="2" t="s">
        <v>42</v>
      </c>
      <c r="E46" s="3">
        <v>0</v>
      </c>
      <c r="F46" s="3">
        <v>0</v>
      </c>
      <c r="G46" s="3">
        <v>0</v>
      </c>
    </row>
    <row r="47" spans="3:7">
      <c r="E47" s="3"/>
      <c r="F47" s="3"/>
      <c r="G47" s="3"/>
    </row>
    <row r="48" spans="3:7">
      <c r="C48" s="2" t="s">
        <v>43</v>
      </c>
      <c r="E48" s="3"/>
      <c r="F48" s="3"/>
      <c r="G48" s="3"/>
    </row>
    <row r="49" spans="3:11">
      <c r="C49" s="2" t="s">
        <v>44</v>
      </c>
      <c r="E49" s="3">
        <v>0</v>
      </c>
      <c r="F49" s="3">
        <v>0</v>
      </c>
      <c r="G49" s="3">
        <v>0</v>
      </c>
    </row>
    <row r="50" spans="3:11">
      <c r="C50" s="2" t="s">
        <v>45</v>
      </c>
      <c r="E50" s="3">
        <v>0</v>
      </c>
      <c r="F50" s="3">
        <v>0</v>
      </c>
      <c r="G50" s="3">
        <v>0</v>
      </c>
    </row>
    <row r="51" spans="3:11">
      <c r="C51" s="2" t="s">
        <v>46</v>
      </c>
      <c r="E51" s="3">
        <v>0</v>
      </c>
      <c r="F51" s="3">
        <v>0</v>
      </c>
      <c r="G51" s="3">
        <v>0</v>
      </c>
    </row>
    <row r="52" spans="3:11">
      <c r="C52" s="2" t="s">
        <v>47</v>
      </c>
      <c r="E52" s="3">
        <v>0</v>
      </c>
      <c r="F52" s="3">
        <v>0</v>
      </c>
      <c r="G52" s="3">
        <v>0</v>
      </c>
    </row>
    <row r="53" spans="3:11">
      <c r="C53" s="2" t="s">
        <v>48</v>
      </c>
      <c r="E53" s="3">
        <v>0</v>
      </c>
      <c r="F53" s="3">
        <v>0</v>
      </c>
      <c r="G53" s="3">
        <v>0</v>
      </c>
    </row>
    <row r="54" spans="3:11">
      <c r="C54" s="2" t="s">
        <v>49</v>
      </c>
      <c r="E54" s="3">
        <v>0</v>
      </c>
      <c r="F54" s="3">
        <v>0</v>
      </c>
      <c r="G54" s="3">
        <v>0</v>
      </c>
    </row>
    <row r="55" spans="3:11">
      <c r="C55" s="2" t="s">
        <v>50</v>
      </c>
      <c r="E55" s="3">
        <v>0</v>
      </c>
      <c r="F55" s="3">
        <v>0</v>
      </c>
      <c r="G55" s="3">
        <v>0</v>
      </c>
    </row>
    <row r="56" spans="3:11">
      <c r="C56" s="2" t="s">
        <v>51</v>
      </c>
      <c r="E56" s="3">
        <v>0</v>
      </c>
      <c r="F56" s="3">
        <v>0</v>
      </c>
      <c r="G56" s="3">
        <v>0</v>
      </c>
    </row>
    <row r="57" spans="3:11">
      <c r="E57" s="48"/>
      <c r="F57" s="48"/>
      <c r="G57" s="48"/>
      <c r="H57" s="56"/>
      <c r="I57" s="56"/>
    </row>
    <row r="58" spans="3:11">
      <c r="C58" s="2" t="s">
        <v>52</v>
      </c>
      <c r="E58" s="3">
        <f>+E56+E46+E35+E26</f>
        <v>1254387957.77</v>
      </c>
      <c r="F58" s="3">
        <f t="shared" ref="F58:I58" si="4">+F56+F46+F35+F26</f>
        <v>52346721.770000055</v>
      </c>
      <c r="G58" s="3">
        <f t="shared" si="4"/>
        <v>1202041236</v>
      </c>
      <c r="H58" s="3">
        <f t="shared" si="4"/>
        <v>18305195.900000058</v>
      </c>
      <c r="I58" s="3">
        <f t="shared" si="4"/>
        <v>1220346431.9000001</v>
      </c>
      <c r="J58" s="4">
        <f>+E58-I58</f>
        <v>34041525.869999886</v>
      </c>
      <c r="K58" s="2" t="s">
        <v>411</v>
      </c>
    </row>
    <row r="59" spans="3:11">
      <c r="E59" s="3"/>
      <c r="F59" s="3"/>
      <c r="G59" s="3"/>
    </row>
    <row r="60" spans="3:11">
      <c r="C60" s="2" t="s">
        <v>53</v>
      </c>
      <c r="E60" s="3">
        <v>289887</v>
      </c>
      <c r="F60" s="3">
        <v>4348</v>
      </c>
      <c r="G60" s="3">
        <v>285539</v>
      </c>
      <c r="H60" s="4">
        <f>+F60</f>
        <v>4348</v>
      </c>
      <c r="I60" s="4">
        <f>+G60+H60</f>
        <v>289887</v>
      </c>
    </row>
    <row r="61" spans="3:11">
      <c r="C61" s="2" t="s">
        <v>54</v>
      </c>
      <c r="E61" s="48">
        <v>0</v>
      </c>
      <c r="F61" s="48">
        <v>0</v>
      </c>
      <c r="G61" s="48">
        <v>0</v>
      </c>
      <c r="H61" s="56"/>
      <c r="I61" s="56"/>
    </row>
    <row r="62" spans="3:11">
      <c r="C62" s="2" t="s">
        <v>55</v>
      </c>
      <c r="E62" s="3">
        <f>+E60</f>
        <v>289887</v>
      </c>
      <c r="F62" s="3">
        <f t="shared" ref="F62:I62" si="5">+F60</f>
        <v>4348</v>
      </c>
      <c r="G62" s="3">
        <f t="shared" si="5"/>
        <v>285539</v>
      </c>
      <c r="H62" s="3">
        <f t="shared" si="5"/>
        <v>4348</v>
      </c>
      <c r="I62" s="3">
        <f t="shared" si="5"/>
        <v>289887</v>
      </c>
      <c r="J62" s="4">
        <f>+E62-I62</f>
        <v>0</v>
      </c>
    </row>
    <row r="63" spans="3:11">
      <c r="E63" s="3"/>
      <c r="F63" s="3"/>
      <c r="G63" s="3"/>
    </row>
    <row r="64" spans="3:11">
      <c r="C64" s="2" t="s">
        <v>56</v>
      </c>
      <c r="E64" s="3"/>
      <c r="F64" s="3"/>
      <c r="G64" s="3"/>
    </row>
    <row r="65" spans="3:10">
      <c r="C65" s="2" t="s">
        <v>57</v>
      </c>
      <c r="E65" s="3">
        <v>40915361</v>
      </c>
      <c r="F65" s="3">
        <v>613730</v>
      </c>
      <c r="G65" s="3">
        <v>40301631</v>
      </c>
      <c r="H65" s="4">
        <f>+F65</f>
        <v>613730</v>
      </c>
      <c r="I65" s="4">
        <f>+G65+H65</f>
        <v>40915361</v>
      </c>
    </row>
    <row r="66" spans="3:10">
      <c r="C66" s="2" t="s">
        <v>58</v>
      </c>
      <c r="E66" s="3">
        <v>524302.55000000005</v>
      </c>
      <c r="F66" s="3">
        <v>7864.5500000000466</v>
      </c>
      <c r="G66" s="3">
        <v>516438</v>
      </c>
      <c r="H66" s="4">
        <f t="shared" ref="H66:H76" si="6">+F66</f>
        <v>7864.5500000000466</v>
      </c>
      <c r="I66" s="4">
        <f t="shared" ref="I66:I76" si="7">+G66+H66</f>
        <v>524302.55000000005</v>
      </c>
    </row>
    <row r="67" spans="3:10">
      <c r="C67" s="2" t="s">
        <v>59</v>
      </c>
      <c r="E67" s="3">
        <v>13208261.68</v>
      </c>
      <c r="F67" s="3">
        <v>198123.6799999997</v>
      </c>
      <c r="G67" s="3">
        <v>13010138</v>
      </c>
      <c r="H67" s="4">
        <f t="shared" si="6"/>
        <v>198123.6799999997</v>
      </c>
      <c r="I67" s="4">
        <f t="shared" si="7"/>
        <v>13208261.68</v>
      </c>
    </row>
    <row r="68" spans="3:10">
      <c r="C68" s="2" t="s">
        <v>60</v>
      </c>
      <c r="E68" s="3">
        <v>258334915.98999998</v>
      </c>
      <c r="F68" s="3">
        <v>3879788.9899999797</v>
      </c>
      <c r="G68" s="3">
        <v>254455127</v>
      </c>
      <c r="H68" s="4">
        <f t="shared" si="6"/>
        <v>3879788.9899999797</v>
      </c>
      <c r="I68" s="4">
        <f t="shared" si="7"/>
        <v>258334915.98999998</v>
      </c>
    </row>
    <row r="69" spans="3:10">
      <c r="C69" s="2" t="s">
        <v>61</v>
      </c>
      <c r="E69" s="3">
        <v>81856.25</v>
      </c>
      <c r="F69" s="3">
        <v>1228.25</v>
      </c>
      <c r="G69" s="3">
        <v>80628</v>
      </c>
      <c r="H69" s="4">
        <f t="shared" si="6"/>
        <v>1228.25</v>
      </c>
      <c r="I69" s="4">
        <f t="shared" si="7"/>
        <v>81856.25</v>
      </c>
    </row>
    <row r="70" spans="3:10">
      <c r="C70" s="2" t="s">
        <v>62</v>
      </c>
      <c r="E70" s="3">
        <v>12906780.82</v>
      </c>
      <c r="F70" s="3">
        <v>193601.8200000003</v>
      </c>
      <c r="G70" s="3">
        <v>12713179</v>
      </c>
      <c r="H70" s="4">
        <f t="shared" si="6"/>
        <v>193601.8200000003</v>
      </c>
      <c r="I70" s="4">
        <f t="shared" si="7"/>
        <v>12906780.82</v>
      </c>
    </row>
    <row r="71" spans="3:10">
      <c r="C71" s="2" t="s">
        <v>63</v>
      </c>
      <c r="E71" s="3">
        <v>102470002.23999999</v>
      </c>
      <c r="F71" s="3">
        <v>1537050.2399999946</v>
      </c>
      <c r="G71" s="3">
        <v>100932952</v>
      </c>
      <c r="H71" s="4">
        <f t="shared" si="6"/>
        <v>1537050.2399999946</v>
      </c>
      <c r="I71" s="4">
        <f t="shared" si="7"/>
        <v>102470002.23999999</v>
      </c>
    </row>
    <row r="72" spans="3:10">
      <c r="C72" s="2" t="s">
        <v>64</v>
      </c>
      <c r="E72" s="3">
        <v>196244569.31</v>
      </c>
      <c r="F72" s="3">
        <v>2943668.3100000024</v>
      </c>
      <c r="G72" s="3">
        <v>193300901</v>
      </c>
      <c r="H72" s="4">
        <f t="shared" si="6"/>
        <v>2943668.3100000024</v>
      </c>
      <c r="I72" s="4">
        <f t="shared" si="7"/>
        <v>196244569.31</v>
      </c>
    </row>
    <row r="73" spans="3:10">
      <c r="C73" s="2" t="s">
        <v>65</v>
      </c>
      <c r="E73" s="3">
        <v>170032722.20999998</v>
      </c>
      <c r="F73" s="3">
        <v>2550491.2099999785</v>
      </c>
      <c r="G73" s="3">
        <v>167482231</v>
      </c>
      <c r="H73" s="4">
        <f t="shared" si="6"/>
        <v>2550491.2099999785</v>
      </c>
      <c r="I73" s="4">
        <f t="shared" si="7"/>
        <v>170032722.20999998</v>
      </c>
    </row>
    <row r="74" spans="3:10">
      <c r="C74" s="2" t="s">
        <v>66</v>
      </c>
      <c r="E74" s="3">
        <v>510952.32</v>
      </c>
      <c r="F74" s="3">
        <v>7664.320000000007</v>
      </c>
      <c r="G74" s="3">
        <v>503288</v>
      </c>
      <c r="H74" s="4">
        <f t="shared" si="6"/>
        <v>7664.320000000007</v>
      </c>
      <c r="I74" s="4">
        <f t="shared" si="7"/>
        <v>510952.32</v>
      </c>
    </row>
    <row r="75" spans="3:10">
      <c r="C75" s="2" t="s">
        <v>67</v>
      </c>
      <c r="E75" s="3">
        <v>497622.54000000004</v>
      </c>
      <c r="F75" s="3">
        <v>7464.5400000000373</v>
      </c>
      <c r="G75" s="3">
        <v>490158</v>
      </c>
      <c r="H75" s="4">
        <f t="shared" si="6"/>
        <v>7464.5400000000373</v>
      </c>
      <c r="I75" s="4">
        <f t="shared" si="7"/>
        <v>497622.54000000004</v>
      </c>
    </row>
    <row r="76" spans="3:10">
      <c r="C76" s="2" t="s">
        <v>68</v>
      </c>
      <c r="E76" s="48">
        <v>0</v>
      </c>
      <c r="F76" s="48">
        <v>0</v>
      </c>
      <c r="G76" s="48">
        <v>0</v>
      </c>
      <c r="H76" s="56">
        <f t="shared" si="6"/>
        <v>0</v>
      </c>
      <c r="I76" s="56">
        <f t="shared" si="7"/>
        <v>0</v>
      </c>
    </row>
    <row r="77" spans="3:10">
      <c r="C77" s="2" t="s">
        <v>69</v>
      </c>
      <c r="E77" s="3">
        <f>+SUM(E65:E76)</f>
        <v>795727346.90999997</v>
      </c>
      <c r="F77" s="3">
        <f t="shared" ref="F77:I77" si="8">+SUM(F65:F76)</f>
        <v>11940675.909999955</v>
      </c>
      <c r="G77" s="3">
        <f t="shared" si="8"/>
        <v>783786671</v>
      </c>
      <c r="H77" s="3">
        <f t="shared" si="8"/>
        <v>11940675.909999955</v>
      </c>
      <c r="I77" s="3">
        <f t="shared" si="8"/>
        <v>795727346.90999997</v>
      </c>
      <c r="J77" s="4">
        <f>+E77-I77</f>
        <v>0</v>
      </c>
    </row>
    <row r="78" spans="3:10">
      <c r="E78" s="3"/>
      <c r="F78" s="3"/>
      <c r="G78" s="3"/>
    </row>
    <row r="79" spans="3:10">
      <c r="C79" s="2" t="s">
        <v>70</v>
      </c>
      <c r="E79" s="3"/>
      <c r="F79" s="3"/>
      <c r="G79" s="3"/>
    </row>
    <row r="80" spans="3:10">
      <c r="C80" s="2" t="s">
        <v>71</v>
      </c>
      <c r="E80" s="3">
        <v>12031666.870000001</v>
      </c>
      <c r="F80" s="3">
        <v>1408</v>
      </c>
      <c r="G80" s="3">
        <v>12030258.870000001</v>
      </c>
      <c r="H80" s="4">
        <v>0</v>
      </c>
      <c r="I80" s="4">
        <f>+G80+H80</f>
        <v>12030258.870000001</v>
      </c>
    </row>
    <row r="81" spans="3:11">
      <c r="C81" s="2" t="s">
        <v>72</v>
      </c>
      <c r="E81" s="3">
        <v>9858867.6500000004</v>
      </c>
      <c r="F81" s="3">
        <v>44907</v>
      </c>
      <c r="G81" s="3">
        <v>9813960.6500000004</v>
      </c>
      <c r="H81" s="4">
        <v>0</v>
      </c>
      <c r="I81" s="4">
        <f t="shared" ref="I81:I94" si="9">+G81+H81</f>
        <v>9813960.6500000004</v>
      </c>
    </row>
    <row r="82" spans="3:11">
      <c r="C82" s="2" t="s">
        <v>73</v>
      </c>
      <c r="E82" s="3">
        <v>143799773.08000001</v>
      </c>
      <c r="F82" s="3">
        <v>1403788.8499999999</v>
      </c>
      <c r="G82" s="3">
        <v>142395984.23000002</v>
      </c>
      <c r="H82" s="4">
        <v>0</v>
      </c>
      <c r="I82" s="4">
        <f t="shared" si="9"/>
        <v>142395984.23000002</v>
      </c>
    </row>
    <row r="83" spans="3:11">
      <c r="C83" s="2" t="s">
        <v>74</v>
      </c>
      <c r="E83" s="3">
        <v>1838774.6900000002</v>
      </c>
      <c r="F83" s="3">
        <v>0</v>
      </c>
      <c r="G83" s="3">
        <v>1838774.6900000002</v>
      </c>
      <c r="H83" s="4">
        <f t="shared" ref="H83:H94" si="10">+F83</f>
        <v>0</v>
      </c>
      <c r="I83" s="4">
        <f t="shared" si="9"/>
        <v>1838774.6900000002</v>
      </c>
    </row>
    <row r="84" spans="3:11">
      <c r="C84" s="2" t="s">
        <v>75</v>
      </c>
      <c r="E84" s="3">
        <v>319804008.77999997</v>
      </c>
      <c r="F84" s="3">
        <v>0</v>
      </c>
      <c r="G84" s="3">
        <v>319804008.77999997</v>
      </c>
      <c r="H84" s="4">
        <f t="shared" si="10"/>
        <v>0</v>
      </c>
      <c r="I84" s="4">
        <f t="shared" si="9"/>
        <v>319804008.77999997</v>
      </c>
    </row>
    <row r="85" spans="3:11">
      <c r="C85" s="2" t="s">
        <v>76</v>
      </c>
      <c r="E85" s="3">
        <v>331161834.93000001</v>
      </c>
      <c r="F85" s="3">
        <v>0</v>
      </c>
      <c r="G85" s="3">
        <v>331161834.93000001</v>
      </c>
      <c r="H85" s="4">
        <f t="shared" si="10"/>
        <v>0</v>
      </c>
      <c r="I85" s="4">
        <f t="shared" si="9"/>
        <v>331161834.93000001</v>
      </c>
    </row>
    <row r="86" spans="3:11">
      <c r="C86" s="2" t="s">
        <v>77</v>
      </c>
      <c r="E86" s="3">
        <v>10124390.699999999</v>
      </c>
      <c r="F86" s="3">
        <v>0</v>
      </c>
      <c r="G86" s="3">
        <v>10124390.699999999</v>
      </c>
      <c r="H86" s="4">
        <f t="shared" si="10"/>
        <v>0</v>
      </c>
      <c r="I86" s="4">
        <f t="shared" si="9"/>
        <v>10124390.699999999</v>
      </c>
    </row>
    <row r="87" spans="3:11">
      <c r="C87" s="2" t="s">
        <v>78</v>
      </c>
      <c r="E87" s="3">
        <v>13294742.720000001</v>
      </c>
      <c r="F87" s="3">
        <v>0</v>
      </c>
      <c r="G87" s="3">
        <v>13294742.720000001</v>
      </c>
      <c r="H87" s="4">
        <f t="shared" si="10"/>
        <v>0</v>
      </c>
      <c r="I87" s="4">
        <f t="shared" si="9"/>
        <v>13294742.720000001</v>
      </c>
    </row>
    <row r="88" spans="3:11">
      <c r="C88" s="2" t="s">
        <v>79</v>
      </c>
      <c r="E88" s="3">
        <v>173479732.02000001</v>
      </c>
      <c r="F88" s="3">
        <v>0</v>
      </c>
      <c r="G88" s="3">
        <v>173479732.02000001</v>
      </c>
      <c r="H88" s="4">
        <f t="shared" si="10"/>
        <v>0</v>
      </c>
      <c r="I88" s="4">
        <f t="shared" si="9"/>
        <v>173479732.02000001</v>
      </c>
    </row>
    <row r="89" spans="3:11">
      <c r="C89" s="2" t="s">
        <v>80</v>
      </c>
      <c r="E89" s="3">
        <v>79202151.379999995</v>
      </c>
      <c r="F89" s="3">
        <v>0</v>
      </c>
      <c r="G89" s="3">
        <v>79202151.379999995</v>
      </c>
      <c r="H89" s="4">
        <f t="shared" si="10"/>
        <v>0</v>
      </c>
      <c r="I89" s="4">
        <f t="shared" si="9"/>
        <v>79202151.379999995</v>
      </c>
    </row>
    <row r="90" spans="3:11">
      <c r="C90" s="2" t="s">
        <v>81</v>
      </c>
      <c r="E90" s="3">
        <v>25665627.859999999</v>
      </c>
      <c r="F90" s="3">
        <v>4102</v>
      </c>
      <c r="G90" s="3">
        <v>25661525.859999999</v>
      </c>
      <c r="H90" s="4">
        <v>0</v>
      </c>
      <c r="I90" s="4">
        <f t="shared" si="9"/>
        <v>25661525.859999999</v>
      </c>
    </row>
    <row r="91" spans="3:11">
      <c r="C91" s="2" t="s">
        <v>82</v>
      </c>
      <c r="E91" s="3">
        <v>20343996.829999998</v>
      </c>
      <c r="F91" s="3">
        <v>0</v>
      </c>
      <c r="G91" s="3">
        <v>20343996.829999998</v>
      </c>
      <c r="H91" s="4">
        <f t="shared" si="10"/>
        <v>0</v>
      </c>
      <c r="I91" s="4">
        <f t="shared" si="9"/>
        <v>20343996.829999998</v>
      </c>
    </row>
    <row r="92" spans="3:11">
      <c r="C92" s="2" t="s">
        <v>83</v>
      </c>
      <c r="E92" s="3">
        <v>0</v>
      </c>
      <c r="F92" s="3">
        <v>0</v>
      </c>
      <c r="G92" s="3">
        <v>0</v>
      </c>
      <c r="H92" s="4">
        <f t="shared" si="10"/>
        <v>0</v>
      </c>
      <c r="I92" s="4">
        <f t="shared" si="9"/>
        <v>0</v>
      </c>
    </row>
    <row r="93" spans="3:11">
      <c r="C93" s="2" t="s">
        <v>84</v>
      </c>
      <c r="E93" s="3">
        <v>5611681.7999999998</v>
      </c>
      <c r="F93" s="3">
        <v>0</v>
      </c>
      <c r="G93" s="3">
        <v>5611681.7999999998</v>
      </c>
      <c r="H93" s="4">
        <f t="shared" si="10"/>
        <v>0</v>
      </c>
      <c r="I93" s="4">
        <f t="shared" si="9"/>
        <v>5611681.7999999998</v>
      </c>
    </row>
    <row r="94" spans="3:11">
      <c r="C94" s="2" t="s">
        <v>85</v>
      </c>
      <c r="E94" s="48">
        <v>0</v>
      </c>
      <c r="F94" s="48">
        <v>0</v>
      </c>
      <c r="G94" s="48">
        <v>0</v>
      </c>
      <c r="H94" s="56">
        <f t="shared" si="10"/>
        <v>0</v>
      </c>
      <c r="I94" s="56">
        <f t="shared" si="9"/>
        <v>0</v>
      </c>
    </row>
    <row r="95" spans="3:11">
      <c r="C95" s="2" t="s">
        <v>86</v>
      </c>
      <c r="E95" s="3">
        <f>+SUM(E80:E94)</f>
        <v>1146217249.3099999</v>
      </c>
      <c r="F95" s="3">
        <f t="shared" ref="F95:I95" si="11">+SUM(F80:F94)</f>
        <v>1454205.8499999999</v>
      </c>
      <c r="G95" s="3">
        <f t="shared" si="11"/>
        <v>1144763043.46</v>
      </c>
      <c r="H95" s="3">
        <f t="shared" si="11"/>
        <v>0</v>
      </c>
      <c r="I95" s="3">
        <f t="shared" si="11"/>
        <v>1144763043.46</v>
      </c>
      <c r="J95" s="4">
        <f>+E95-I95</f>
        <v>1454205.8499999046</v>
      </c>
      <c r="K95" s="2" t="s">
        <v>410</v>
      </c>
    </row>
    <row r="96" spans="3:11">
      <c r="E96" s="3"/>
      <c r="F96" s="3"/>
      <c r="G96" s="3"/>
    </row>
    <row r="97" spans="3:11">
      <c r="C97" s="2" t="s">
        <v>87</v>
      </c>
      <c r="E97" s="3"/>
      <c r="F97" s="3"/>
      <c r="G97" s="3"/>
    </row>
    <row r="98" spans="3:11">
      <c r="C98" s="2" t="s">
        <v>88</v>
      </c>
      <c r="E98" s="3">
        <v>2134690.77</v>
      </c>
      <c r="F98" s="3">
        <v>42693.770000000019</v>
      </c>
      <c r="G98" s="3">
        <v>2091997</v>
      </c>
      <c r="H98" s="4">
        <f>+F98</f>
        <v>42693.770000000019</v>
      </c>
      <c r="I98" s="4">
        <f>+G98+H98</f>
        <v>2134690.77</v>
      </c>
    </row>
    <row r="99" spans="3:11">
      <c r="C99" s="2" t="s">
        <v>89</v>
      </c>
      <c r="E99" s="3">
        <v>28738308.34</v>
      </c>
      <c r="F99" s="3">
        <v>574766.33999999985</v>
      </c>
      <c r="G99" s="3">
        <v>28163542</v>
      </c>
      <c r="H99" s="4">
        <f t="shared" ref="H99:H108" si="12">+F99</f>
        <v>574766.33999999985</v>
      </c>
      <c r="I99" s="4">
        <f t="shared" ref="I99:I108" si="13">+G99+H99</f>
        <v>28738308.34</v>
      </c>
    </row>
    <row r="100" spans="3:11">
      <c r="C100" s="2" t="s">
        <v>90</v>
      </c>
      <c r="E100" s="3">
        <v>2520799.0499999998</v>
      </c>
      <c r="F100" s="3">
        <v>50416.049999999814</v>
      </c>
      <c r="G100" s="3">
        <v>2470383</v>
      </c>
      <c r="H100" s="4">
        <f t="shared" si="12"/>
        <v>50416.049999999814</v>
      </c>
      <c r="I100" s="4">
        <f t="shared" si="13"/>
        <v>2520799.0499999998</v>
      </c>
    </row>
    <row r="101" spans="3:11">
      <c r="C101" s="2" t="s">
        <v>91</v>
      </c>
      <c r="E101" s="3">
        <v>24068505.650000002</v>
      </c>
      <c r="F101" s="3">
        <v>481369.65000000224</v>
      </c>
      <c r="G101" s="3">
        <v>23587136</v>
      </c>
      <c r="H101" s="4">
        <f t="shared" si="12"/>
        <v>481369.65000000224</v>
      </c>
      <c r="I101" s="4">
        <f t="shared" si="13"/>
        <v>24068505.650000002</v>
      </c>
    </row>
    <row r="102" spans="3:11">
      <c r="C102" s="2" t="s">
        <v>92</v>
      </c>
      <c r="E102" s="3">
        <v>442608.16000000003</v>
      </c>
      <c r="F102" s="3">
        <v>8852.1600000000326</v>
      </c>
      <c r="G102" s="3">
        <v>433756</v>
      </c>
      <c r="H102" s="4">
        <f t="shared" si="12"/>
        <v>8852.1600000000326</v>
      </c>
      <c r="I102" s="4">
        <f t="shared" si="13"/>
        <v>442608.16000000003</v>
      </c>
    </row>
    <row r="103" spans="3:11">
      <c r="C103" s="2" t="s">
        <v>93</v>
      </c>
      <c r="E103" s="3">
        <v>8349659.5199999996</v>
      </c>
      <c r="F103" s="3">
        <v>166993.51999999955</v>
      </c>
      <c r="G103" s="3">
        <v>8182666</v>
      </c>
      <c r="H103" s="4">
        <f t="shared" si="12"/>
        <v>166993.51999999955</v>
      </c>
      <c r="I103" s="4">
        <f t="shared" si="13"/>
        <v>8349659.5199999996</v>
      </c>
    </row>
    <row r="104" spans="3:11">
      <c r="C104" s="2" t="s">
        <v>94</v>
      </c>
      <c r="E104" s="3">
        <v>225704.40000000002</v>
      </c>
      <c r="F104" s="3">
        <v>4514.4000000000233</v>
      </c>
      <c r="G104" s="3">
        <v>221190</v>
      </c>
      <c r="H104" s="4">
        <f t="shared" si="12"/>
        <v>4514.4000000000233</v>
      </c>
      <c r="I104" s="4">
        <f t="shared" si="13"/>
        <v>225704.40000000002</v>
      </c>
    </row>
    <row r="105" spans="3:11">
      <c r="C105" s="2" t="s">
        <v>95</v>
      </c>
      <c r="E105" s="3">
        <v>2221244.69</v>
      </c>
      <c r="F105" s="3">
        <v>44424.689999999944</v>
      </c>
      <c r="G105" s="3">
        <v>2176820</v>
      </c>
      <c r="H105" s="4">
        <f t="shared" si="12"/>
        <v>44424.689999999944</v>
      </c>
      <c r="I105" s="4">
        <f t="shared" si="13"/>
        <v>2221244.69</v>
      </c>
    </row>
    <row r="106" spans="3:11">
      <c r="C106" s="2" t="s">
        <v>96</v>
      </c>
      <c r="E106" s="3">
        <v>100776166.75</v>
      </c>
      <c r="F106" s="3">
        <v>2015523.75</v>
      </c>
      <c r="G106" s="3">
        <v>98760643</v>
      </c>
      <c r="H106" s="4">
        <f t="shared" si="12"/>
        <v>2015523.75</v>
      </c>
      <c r="I106" s="4">
        <f t="shared" si="13"/>
        <v>100776166.75</v>
      </c>
    </row>
    <row r="107" spans="3:11">
      <c r="C107" s="2" t="s">
        <v>97</v>
      </c>
      <c r="E107" s="3">
        <v>2154021.7399999998</v>
      </c>
      <c r="F107" s="3">
        <v>43080.739999999758</v>
      </c>
      <c r="G107" s="3">
        <v>2110941</v>
      </c>
      <c r="H107" s="4">
        <f t="shared" si="12"/>
        <v>43080.739999999758</v>
      </c>
      <c r="I107" s="4">
        <f t="shared" si="13"/>
        <v>2154021.7399999998</v>
      </c>
    </row>
    <row r="108" spans="3:11">
      <c r="C108" s="2" t="s">
        <v>98</v>
      </c>
      <c r="E108" s="3">
        <v>0</v>
      </c>
      <c r="F108" s="3">
        <v>0</v>
      </c>
      <c r="G108" s="3">
        <v>0</v>
      </c>
      <c r="H108" s="4">
        <f t="shared" si="12"/>
        <v>0</v>
      </c>
      <c r="I108" s="4">
        <f t="shared" si="13"/>
        <v>0</v>
      </c>
    </row>
    <row r="109" spans="3:11">
      <c r="C109" s="2" t="s">
        <v>99</v>
      </c>
      <c r="E109" s="3">
        <v>158819.18</v>
      </c>
      <c r="F109" s="3">
        <v>158819.18</v>
      </c>
      <c r="G109" s="3">
        <v>0</v>
      </c>
      <c r="H109" s="4">
        <v>0</v>
      </c>
      <c r="I109" s="4">
        <v>0</v>
      </c>
    </row>
    <row r="110" spans="3:11">
      <c r="C110" s="2" t="s">
        <v>100</v>
      </c>
      <c r="E110" s="57">
        <f>+SUM(E98:E109)</f>
        <v>171790528.25</v>
      </c>
      <c r="F110" s="57">
        <f t="shared" ref="F110:I110" si="14">+SUM(F98:F109)</f>
        <v>3591454.2500000014</v>
      </c>
      <c r="G110" s="57">
        <f t="shared" si="14"/>
        <v>168199074</v>
      </c>
      <c r="H110" s="57">
        <f t="shared" si="14"/>
        <v>3432635.0700000012</v>
      </c>
      <c r="I110" s="57">
        <f t="shared" si="14"/>
        <v>171631709.06999999</v>
      </c>
      <c r="J110" s="4">
        <f>+E110-I110</f>
        <v>158819.18000000715</v>
      </c>
      <c r="K110" s="2" t="s">
        <v>411</v>
      </c>
    </row>
    <row r="111" spans="3:11">
      <c r="E111" s="3"/>
      <c r="F111" s="3"/>
      <c r="G111" s="3"/>
    </row>
    <row r="112" spans="3:11">
      <c r="C112" s="2" t="s">
        <v>101</v>
      </c>
      <c r="E112" s="3"/>
      <c r="F112" s="3"/>
      <c r="G112" s="3"/>
    </row>
    <row r="113" spans="3:17">
      <c r="C113" s="2" t="s">
        <v>102</v>
      </c>
      <c r="E113" s="3">
        <v>0</v>
      </c>
      <c r="F113" s="3">
        <v>0</v>
      </c>
      <c r="G113" s="3">
        <v>0</v>
      </c>
      <c r="H113" s="4">
        <f>+F113</f>
        <v>0</v>
      </c>
      <c r="I113" s="4">
        <f>+G113+H113</f>
        <v>0</v>
      </c>
    </row>
    <row r="114" spans="3:17">
      <c r="C114" s="2" t="s">
        <v>103</v>
      </c>
      <c r="E114" s="3">
        <v>37388841.06000001</v>
      </c>
      <c r="F114" s="3">
        <v>560833.06000000983</v>
      </c>
      <c r="G114" s="3">
        <v>36828008</v>
      </c>
      <c r="H114" s="4">
        <f t="shared" ref="H114:H117" si="15">+F114</f>
        <v>560833.06000000983</v>
      </c>
      <c r="I114" s="4">
        <f t="shared" ref="I114:I117" si="16">+G114+H114</f>
        <v>37388841.06000001</v>
      </c>
    </row>
    <row r="115" spans="3:17">
      <c r="C115" s="2" t="s">
        <v>104</v>
      </c>
      <c r="E115" s="3">
        <v>167662293.53000006</v>
      </c>
      <c r="F115" s="3">
        <v>2514934.5300000608</v>
      </c>
      <c r="G115" s="3">
        <v>165147359</v>
      </c>
      <c r="H115" s="4">
        <f t="shared" si="15"/>
        <v>2514934.5300000608</v>
      </c>
      <c r="I115" s="4">
        <f t="shared" si="16"/>
        <v>167662293.53000006</v>
      </c>
    </row>
    <row r="116" spans="3:17">
      <c r="C116" s="2" t="s">
        <v>105</v>
      </c>
      <c r="E116" s="3">
        <v>77179762.209999979</v>
      </c>
      <c r="F116" s="3">
        <v>0</v>
      </c>
      <c r="G116" s="3">
        <v>77179762.209999979</v>
      </c>
      <c r="H116" s="4">
        <f t="shared" si="15"/>
        <v>0</v>
      </c>
      <c r="I116" s="4">
        <f t="shared" si="16"/>
        <v>77179762.209999979</v>
      </c>
    </row>
    <row r="117" spans="3:17">
      <c r="C117" s="2" t="s">
        <v>106</v>
      </c>
      <c r="E117" s="3">
        <v>2157835.9700000002</v>
      </c>
      <c r="F117" s="3">
        <v>43156.970000000205</v>
      </c>
      <c r="G117" s="3">
        <v>2114679</v>
      </c>
      <c r="H117" s="4">
        <f t="shared" si="15"/>
        <v>43156.970000000205</v>
      </c>
      <c r="I117" s="4">
        <f t="shared" si="16"/>
        <v>2157835.9700000002</v>
      </c>
    </row>
    <row r="118" spans="3:17">
      <c r="C118" s="2" t="s">
        <v>107</v>
      </c>
      <c r="E118" s="57">
        <f>+SUM(E113:E117)</f>
        <v>284388732.7700001</v>
      </c>
      <c r="F118" s="57">
        <f t="shared" ref="F118:I118" si="17">+SUM(F113:F117)</f>
        <v>3118924.5600000708</v>
      </c>
      <c r="G118" s="57">
        <f t="shared" si="17"/>
        <v>281269808.20999998</v>
      </c>
      <c r="H118" s="57">
        <f t="shared" si="17"/>
        <v>3118924.5600000708</v>
      </c>
      <c r="I118" s="57">
        <f t="shared" si="17"/>
        <v>284388732.7700001</v>
      </c>
      <c r="J118" s="4">
        <f>+E118-I118</f>
        <v>0</v>
      </c>
    </row>
    <row r="119" spans="3:17">
      <c r="E119" s="3"/>
      <c r="F119" s="3"/>
      <c r="G119" s="3"/>
    </row>
    <row r="120" spans="3:17">
      <c r="C120" s="2" t="s">
        <v>108</v>
      </c>
      <c r="E120" s="3">
        <v>1449570.6</v>
      </c>
      <c r="F120" s="3">
        <v>1449570.6</v>
      </c>
      <c r="G120" s="3">
        <v>0</v>
      </c>
      <c r="H120" s="4">
        <v>0</v>
      </c>
      <c r="I120" s="4">
        <v>0</v>
      </c>
    </row>
    <row r="121" spans="3:17">
      <c r="C121" s="2" t="s">
        <v>109</v>
      </c>
      <c r="E121" s="3">
        <v>3657239.33</v>
      </c>
      <c r="F121" s="3">
        <v>3657239.33</v>
      </c>
      <c r="G121" s="3">
        <v>0</v>
      </c>
      <c r="H121" s="4">
        <v>0</v>
      </c>
      <c r="I121" s="4">
        <v>0</v>
      </c>
    </row>
    <row r="122" spans="3:17">
      <c r="C122" s="2" t="s">
        <v>110</v>
      </c>
      <c r="E122" s="57">
        <f>+SUM(E120:E121)</f>
        <v>5106809.93</v>
      </c>
      <c r="F122" s="57">
        <f t="shared" ref="F122:I122" si="18">+SUM(F120:F121)</f>
        <v>5106809.93</v>
      </c>
      <c r="G122" s="57">
        <f t="shared" si="18"/>
        <v>0</v>
      </c>
      <c r="H122" s="57">
        <f t="shared" si="18"/>
        <v>0</v>
      </c>
      <c r="I122" s="57">
        <f t="shared" si="18"/>
        <v>0</v>
      </c>
      <c r="J122" s="4">
        <f>+E122-I122</f>
        <v>5106809.93</v>
      </c>
      <c r="K122" s="2" t="s">
        <v>411</v>
      </c>
    </row>
    <row r="123" spans="3:17">
      <c r="E123" s="3"/>
      <c r="F123" s="3"/>
      <c r="G123" s="3"/>
    </row>
    <row r="124" spans="3:17">
      <c r="C124" s="2" t="s">
        <v>111</v>
      </c>
      <c r="E124" s="3">
        <f>+E122+E118+E110+E95+E77+E58+E14+E62</f>
        <v>3657961431.1199999</v>
      </c>
      <c r="F124" s="3">
        <f t="shared" ref="F124:I124" si="19">+F122+F118+F110+F95+F77+F58+F14+F62</f>
        <v>77564198.450000092</v>
      </c>
      <c r="G124" s="3">
        <f t="shared" si="19"/>
        <v>3580397232.6700001</v>
      </c>
      <c r="H124" s="3">
        <f t="shared" si="19"/>
        <v>36802837.620000087</v>
      </c>
      <c r="I124" s="3">
        <f t="shared" si="19"/>
        <v>3617200070.29</v>
      </c>
    </row>
    <row r="125" spans="3:17">
      <c r="E125" s="3"/>
      <c r="F125" s="3"/>
      <c r="G125" s="3"/>
    </row>
    <row r="126" spans="3:17">
      <c r="E126" s="3"/>
      <c r="F126" s="3"/>
      <c r="G126" s="3"/>
    </row>
    <row r="127" spans="3:17">
      <c r="C127" s="2" t="s">
        <v>112</v>
      </c>
      <c r="E127" s="3"/>
      <c r="F127" s="3"/>
      <c r="G127" s="3"/>
    </row>
    <row r="128" spans="3:17">
      <c r="C128" s="2" t="s">
        <v>113</v>
      </c>
      <c r="E128" s="3">
        <v>639835452.18000007</v>
      </c>
      <c r="F128" s="3">
        <v>9597532.1800000668</v>
      </c>
      <c r="G128" s="3">
        <v>621289966</v>
      </c>
      <c r="H128" s="4">
        <f>+F128</f>
        <v>9597532.1800000668</v>
      </c>
      <c r="I128" s="4">
        <f>+G128+H128</f>
        <v>630887498.18000007</v>
      </c>
      <c r="Q128" s="4"/>
    </row>
    <row r="129" spans="3:17">
      <c r="C129" s="2" t="s">
        <v>114</v>
      </c>
      <c r="E129" s="3">
        <v>306706762.55999994</v>
      </c>
      <c r="F129" s="3">
        <v>4600601.5599999428</v>
      </c>
      <c r="G129" s="3">
        <v>303438888</v>
      </c>
      <c r="H129" s="4">
        <f t="shared" ref="H129:H131" si="20">+F129</f>
        <v>4600601.5599999428</v>
      </c>
      <c r="I129" s="4">
        <f t="shared" ref="I129:I131" si="21">+G129+H129</f>
        <v>308039489.55999994</v>
      </c>
      <c r="P129" s="4"/>
      <c r="Q129" s="4"/>
    </row>
    <row r="130" spans="3:17">
      <c r="C130" s="2" t="s">
        <v>115</v>
      </c>
      <c r="E130" s="3">
        <v>385879084.48000002</v>
      </c>
      <c r="F130" s="3">
        <v>385879.48000001907</v>
      </c>
      <c r="G130" s="3">
        <v>385493205</v>
      </c>
      <c r="H130" s="4">
        <f t="shared" si="20"/>
        <v>385879.48000001907</v>
      </c>
      <c r="I130" s="4">
        <f t="shared" si="21"/>
        <v>385879084.48000002</v>
      </c>
    </row>
    <row r="131" spans="3:17">
      <c r="C131" s="2" t="s">
        <v>116</v>
      </c>
      <c r="E131" s="3">
        <v>69582217.820000008</v>
      </c>
      <c r="F131" s="3">
        <v>1391644.8200000077</v>
      </c>
      <c r="G131" s="3">
        <v>68190573</v>
      </c>
      <c r="H131" s="4">
        <f t="shared" si="20"/>
        <v>1391644.8200000077</v>
      </c>
      <c r="I131" s="4">
        <f t="shared" si="21"/>
        <v>69582217.820000008</v>
      </c>
    </row>
    <row r="132" spans="3:17">
      <c r="C132" s="2" t="s">
        <v>117</v>
      </c>
      <c r="E132" s="57">
        <f>+SUM(E128:E131)</f>
        <v>1402003517.04</v>
      </c>
      <c r="F132" s="57">
        <f t="shared" ref="F132:I132" si="22">+SUM(F128:F131)</f>
        <v>15975658.040000036</v>
      </c>
      <c r="G132" s="57">
        <f t="shared" si="22"/>
        <v>1378412632</v>
      </c>
      <c r="H132" s="57">
        <f t="shared" si="22"/>
        <v>15975658.040000036</v>
      </c>
      <c r="I132" s="57">
        <f t="shared" si="22"/>
        <v>1394388290.04</v>
      </c>
      <c r="J132" s="4">
        <f>+E132-I132</f>
        <v>7615227</v>
      </c>
      <c r="K132" s="2" t="s">
        <v>417</v>
      </c>
    </row>
    <row r="133" spans="3:17">
      <c r="E133" s="3"/>
      <c r="F133" s="3"/>
      <c r="G133" s="3"/>
    </row>
    <row r="134" spans="3:17">
      <c r="C134" s="2" t="s">
        <v>118</v>
      </c>
      <c r="E134" s="3"/>
      <c r="F134" s="3"/>
      <c r="G134" s="3"/>
    </row>
    <row r="135" spans="3:17">
      <c r="C135" s="2" t="s">
        <v>119</v>
      </c>
      <c r="E135" s="3">
        <v>52919.040000000008</v>
      </c>
      <c r="F135" s="3">
        <v>794.04000000000815</v>
      </c>
      <c r="G135" s="3">
        <v>52125</v>
      </c>
      <c r="H135" s="4">
        <f>+F135</f>
        <v>794.04000000000815</v>
      </c>
      <c r="I135" s="4">
        <f>+G135+H135</f>
        <v>52919.040000000008</v>
      </c>
    </row>
    <row r="136" spans="3:17">
      <c r="C136" s="2" t="s">
        <v>113</v>
      </c>
      <c r="E136" s="3">
        <v>0</v>
      </c>
      <c r="F136" s="3">
        <v>0</v>
      </c>
      <c r="G136" s="3">
        <v>0</v>
      </c>
      <c r="H136" s="4">
        <f t="shared" ref="H136:H139" si="23">+F136</f>
        <v>0</v>
      </c>
      <c r="I136" s="4">
        <f t="shared" ref="I136:I139" si="24">+G136+H136</f>
        <v>0</v>
      </c>
    </row>
    <row r="137" spans="3:17">
      <c r="C137" s="2" t="s">
        <v>104</v>
      </c>
      <c r="E137" s="3">
        <v>0</v>
      </c>
      <c r="F137" s="3">
        <v>0</v>
      </c>
      <c r="G137" s="3">
        <v>0</v>
      </c>
      <c r="H137" s="4">
        <f t="shared" si="23"/>
        <v>0</v>
      </c>
      <c r="I137" s="4">
        <f t="shared" si="24"/>
        <v>0</v>
      </c>
    </row>
    <row r="138" spans="3:17">
      <c r="C138" s="2" t="s">
        <v>115</v>
      </c>
      <c r="E138" s="3">
        <v>0</v>
      </c>
      <c r="F138" s="3">
        <v>0</v>
      </c>
      <c r="G138" s="3">
        <v>0</v>
      </c>
      <c r="H138" s="4">
        <f t="shared" si="23"/>
        <v>0</v>
      </c>
      <c r="I138" s="4">
        <f t="shared" si="24"/>
        <v>0</v>
      </c>
    </row>
    <row r="139" spans="3:17">
      <c r="C139" s="2" t="s">
        <v>116</v>
      </c>
      <c r="E139" s="3">
        <v>6155</v>
      </c>
      <c r="F139" s="3">
        <v>123</v>
      </c>
      <c r="G139" s="3">
        <v>6032</v>
      </c>
      <c r="H139" s="4">
        <f t="shared" si="23"/>
        <v>123</v>
      </c>
      <c r="I139" s="4">
        <f t="shared" si="24"/>
        <v>6155</v>
      </c>
    </row>
    <row r="140" spans="3:17">
      <c r="C140" s="2" t="s">
        <v>120</v>
      </c>
      <c r="E140" s="57">
        <f>+SUM(E135:E139)</f>
        <v>59074.040000000008</v>
      </c>
      <c r="F140" s="57">
        <f t="shared" ref="F140:I140" si="25">+SUM(F135:F139)</f>
        <v>917.04000000000815</v>
      </c>
      <c r="G140" s="57">
        <f t="shared" si="25"/>
        <v>58157</v>
      </c>
      <c r="H140" s="57">
        <f t="shared" si="25"/>
        <v>917.04000000000815</v>
      </c>
      <c r="I140" s="57">
        <f t="shared" si="25"/>
        <v>59074.040000000008</v>
      </c>
      <c r="J140" s="4">
        <f>+E140-I140</f>
        <v>0</v>
      </c>
    </row>
    <row r="141" spans="3:17">
      <c r="E141" s="3"/>
      <c r="F141" s="3"/>
      <c r="G141" s="3"/>
    </row>
    <row r="142" spans="3:17">
      <c r="C142" s="2" t="s">
        <v>121</v>
      </c>
      <c r="E142" s="3">
        <v>463950.17</v>
      </c>
      <c r="F142" s="3">
        <v>463950.17</v>
      </c>
      <c r="G142" s="3">
        <v>0</v>
      </c>
      <c r="H142" s="4">
        <v>0</v>
      </c>
      <c r="I142" s="4">
        <v>0</v>
      </c>
    </row>
    <row r="143" spans="3:17">
      <c r="C143" s="2" t="s">
        <v>122</v>
      </c>
      <c r="E143" s="57">
        <f>+E142</f>
        <v>463950.17</v>
      </c>
      <c r="F143" s="57">
        <f t="shared" ref="F143:H143" si="26">+F142</f>
        <v>463950.17</v>
      </c>
      <c r="G143" s="57">
        <f t="shared" si="26"/>
        <v>0</v>
      </c>
      <c r="H143" s="57">
        <f t="shared" si="26"/>
        <v>0</v>
      </c>
      <c r="I143" s="57">
        <f>+I142</f>
        <v>0</v>
      </c>
      <c r="J143" s="4">
        <f>+E143-I143</f>
        <v>463950.17</v>
      </c>
      <c r="K143" s="2" t="s">
        <v>412</v>
      </c>
    </row>
    <row r="144" spans="3:17">
      <c r="E144" s="3"/>
      <c r="F144" s="3"/>
      <c r="G144" s="3"/>
    </row>
    <row r="145" spans="3:11">
      <c r="C145" s="2" t="s">
        <v>123</v>
      </c>
      <c r="E145" s="3">
        <f>+E143+E140+E132</f>
        <v>1402526541.25</v>
      </c>
      <c r="F145" s="3">
        <f t="shared" ref="F145:I145" si="27">+F143+F140+F132</f>
        <v>16440525.250000037</v>
      </c>
      <c r="G145" s="3">
        <f t="shared" si="27"/>
        <v>1378470789</v>
      </c>
      <c r="H145" s="3">
        <f t="shared" si="27"/>
        <v>15976575.080000035</v>
      </c>
      <c r="I145" s="3">
        <f t="shared" si="27"/>
        <v>1394447364.0799999</v>
      </c>
    </row>
    <row r="146" spans="3:11">
      <c r="E146" s="3"/>
      <c r="F146" s="3"/>
      <c r="G146" s="3"/>
    </row>
    <row r="147" spans="3:11">
      <c r="C147" s="2" t="s">
        <v>124</v>
      </c>
      <c r="E147" s="3">
        <f>+E124-E145</f>
        <v>2255434889.8699999</v>
      </c>
      <c r="F147" s="3">
        <f>+F124-F145</f>
        <v>61123673.200000055</v>
      </c>
      <c r="G147" s="3">
        <f>+G124-G145</f>
        <v>2201926443.6700001</v>
      </c>
      <c r="H147" s="3">
        <f t="shared" ref="H147:I147" si="28">+H124-H145</f>
        <v>20826262.540000051</v>
      </c>
      <c r="I147" s="3">
        <f t="shared" si="28"/>
        <v>2222752706.21</v>
      </c>
    </row>
    <row r="148" spans="3:11">
      <c r="E148" s="3"/>
      <c r="F148" s="3"/>
      <c r="G148" s="3"/>
    </row>
    <row r="149" spans="3:11">
      <c r="C149" s="2" t="s">
        <v>125</v>
      </c>
      <c r="E149" s="3"/>
      <c r="F149" s="3"/>
      <c r="G149" s="3"/>
    </row>
    <row r="150" spans="3:11">
      <c r="C150" s="2" t="s">
        <v>119</v>
      </c>
      <c r="E150" s="3">
        <v>165387.79999999999</v>
      </c>
      <c r="F150" s="3">
        <v>165387.79999999999</v>
      </c>
      <c r="G150" s="3">
        <v>0</v>
      </c>
      <c r="H150" s="4">
        <v>0</v>
      </c>
      <c r="I150" s="4">
        <v>0</v>
      </c>
    </row>
    <row r="151" spans="3:11">
      <c r="C151" s="2" t="s">
        <v>126</v>
      </c>
      <c r="E151" s="48">
        <v>45962.07</v>
      </c>
      <c r="F151" s="48">
        <v>45962.07</v>
      </c>
      <c r="G151" s="48">
        <v>0</v>
      </c>
      <c r="H151" s="56">
        <v>0</v>
      </c>
      <c r="I151" s="56">
        <v>0</v>
      </c>
    </row>
    <row r="152" spans="3:11">
      <c r="C152" s="2" t="s">
        <v>127</v>
      </c>
      <c r="E152" s="3">
        <f>+SUM(E150:E151)</f>
        <v>211349.87</v>
      </c>
      <c r="F152" s="3">
        <f t="shared" ref="F152:I152" si="29">+SUM(F150:F151)</f>
        <v>211349.87</v>
      </c>
      <c r="G152" s="3">
        <f t="shared" si="29"/>
        <v>0</v>
      </c>
      <c r="H152" s="3">
        <f t="shared" si="29"/>
        <v>0</v>
      </c>
      <c r="I152" s="3">
        <f t="shared" si="29"/>
        <v>0</v>
      </c>
      <c r="J152" s="4">
        <f>+E152-I152</f>
        <v>211349.87</v>
      </c>
      <c r="K152" s="2" t="s">
        <v>413</v>
      </c>
    </row>
    <row r="153" spans="3:11">
      <c r="E153" s="3"/>
      <c r="F153" s="3"/>
      <c r="G153" s="3"/>
      <c r="H153" s="4">
        <f t="shared" ref="H153:H169" si="30">+F153</f>
        <v>0</v>
      </c>
      <c r="I153" s="4">
        <f t="shared" ref="I153:I169" si="31">+G153+H153</f>
        <v>0</v>
      </c>
    </row>
    <row r="154" spans="3:11">
      <c r="C154" s="2" t="s">
        <v>113</v>
      </c>
      <c r="E154" s="3">
        <v>7150701.0300000003</v>
      </c>
      <c r="F154" s="3">
        <v>107260.03000000026</v>
      </c>
      <c r="G154" s="3">
        <v>7043441</v>
      </c>
      <c r="H154" s="4">
        <f t="shared" si="30"/>
        <v>107260.03000000026</v>
      </c>
      <c r="I154" s="4">
        <f>+G154+H154</f>
        <v>7150701.0300000003</v>
      </c>
    </row>
    <row r="155" spans="3:11">
      <c r="C155" s="2" t="s">
        <v>128</v>
      </c>
      <c r="E155" s="48">
        <v>231544.95000000004</v>
      </c>
      <c r="F155" s="48">
        <v>3472.9500000000407</v>
      </c>
      <c r="G155" s="48">
        <v>228072</v>
      </c>
      <c r="H155" s="56">
        <f t="shared" si="30"/>
        <v>3472.9500000000407</v>
      </c>
      <c r="I155" s="56">
        <f t="shared" si="31"/>
        <v>231544.95000000004</v>
      </c>
    </row>
    <row r="156" spans="3:11">
      <c r="C156" s="2" t="s">
        <v>129</v>
      </c>
      <c r="E156" s="3">
        <f>+SUM(E154:E155)</f>
        <v>7382245.9800000004</v>
      </c>
      <c r="F156" s="3">
        <f t="shared" ref="F156:I156" si="32">+SUM(F154:F155)</f>
        <v>110732.9800000003</v>
      </c>
      <c r="G156" s="3">
        <f t="shared" si="32"/>
        <v>7271513</v>
      </c>
      <c r="H156" s="3">
        <f t="shared" si="32"/>
        <v>110732.9800000003</v>
      </c>
      <c r="I156" s="3">
        <f t="shared" si="32"/>
        <v>7382245.9800000004</v>
      </c>
    </row>
    <row r="157" spans="3:11">
      <c r="E157" s="3"/>
      <c r="F157" s="3"/>
      <c r="G157" s="3"/>
      <c r="H157" s="4">
        <f t="shared" si="30"/>
        <v>0</v>
      </c>
      <c r="I157" s="4">
        <f t="shared" si="31"/>
        <v>0</v>
      </c>
    </row>
    <row r="158" spans="3:11">
      <c r="C158" s="2" t="s">
        <v>114</v>
      </c>
      <c r="E158" s="3">
        <v>97286306.109999999</v>
      </c>
      <c r="F158" s="3">
        <v>1459294.1099999994</v>
      </c>
      <c r="G158" s="3">
        <v>95827012</v>
      </c>
      <c r="H158" s="4">
        <f t="shared" si="30"/>
        <v>1459294.1099999994</v>
      </c>
      <c r="I158" s="4">
        <f t="shared" si="31"/>
        <v>97286306.109999999</v>
      </c>
    </row>
    <row r="159" spans="3:11">
      <c r="C159" s="2" t="s">
        <v>126</v>
      </c>
      <c r="E159" s="48">
        <v>4862940.1100000003</v>
      </c>
      <c r="F159" s="48">
        <v>72944.110000000335</v>
      </c>
      <c r="G159" s="48">
        <v>4789996</v>
      </c>
      <c r="H159" s="56">
        <f t="shared" si="30"/>
        <v>72944.110000000335</v>
      </c>
      <c r="I159" s="56">
        <f t="shared" si="31"/>
        <v>4862940.1100000003</v>
      </c>
    </row>
    <row r="160" spans="3:11">
      <c r="C160" s="2" t="s">
        <v>130</v>
      </c>
      <c r="E160" s="3">
        <f>+SUM(E158:E159)</f>
        <v>102149246.22</v>
      </c>
      <c r="F160" s="3">
        <f t="shared" ref="F160:I160" si="33">+SUM(F158:F159)</f>
        <v>1532238.2199999997</v>
      </c>
      <c r="G160" s="3">
        <f t="shared" si="33"/>
        <v>100617008</v>
      </c>
      <c r="H160" s="3">
        <f t="shared" si="33"/>
        <v>1532238.2199999997</v>
      </c>
      <c r="I160" s="3">
        <f t="shared" si="33"/>
        <v>102149246.22</v>
      </c>
    </row>
    <row r="161" spans="3:10">
      <c r="E161" s="3"/>
      <c r="F161" s="3"/>
      <c r="G161" s="3"/>
      <c r="H161" s="4">
        <f t="shared" si="30"/>
        <v>0</v>
      </c>
      <c r="I161" s="4">
        <f t="shared" si="31"/>
        <v>0</v>
      </c>
    </row>
    <row r="162" spans="3:10">
      <c r="C162" s="2" t="s">
        <v>115</v>
      </c>
      <c r="E162" s="3">
        <v>52843883.659999996</v>
      </c>
      <c r="F162" s="3">
        <v>52843.659999996424</v>
      </c>
      <c r="G162" s="3">
        <v>52791040</v>
      </c>
      <c r="H162" s="4">
        <f t="shared" si="30"/>
        <v>52843.659999996424</v>
      </c>
      <c r="I162" s="4">
        <f t="shared" si="31"/>
        <v>52843883.659999996</v>
      </c>
    </row>
    <row r="163" spans="3:10">
      <c r="C163" s="2" t="s">
        <v>126</v>
      </c>
      <c r="E163" s="48">
        <v>2098206.09</v>
      </c>
      <c r="F163" s="48">
        <v>2098.089999999851</v>
      </c>
      <c r="G163" s="48">
        <v>2096108</v>
      </c>
      <c r="H163" s="56">
        <f t="shared" si="30"/>
        <v>2098.089999999851</v>
      </c>
      <c r="I163" s="56">
        <f t="shared" si="31"/>
        <v>2098206.09</v>
      </c>
    </row>
    <row r="164" spans="3:10">
      <c r="C164" s="2" t="s">
        <v>131</v>
      </c>
      <c r="E164" s="3">
        <f>+SUM(E162:E163)</f>
        <v>54942089.75</v>
      </c>
      <c r="F164" s="3">
        <f t="shared" ref="F164:I164" si="34">+SUM(F162:F163)</f>
        <v>54941.749999996275</v>
      </c>
      <c r="G164" s="3">
        <f t="shared" si="34"/>
        <v>54887148</v>
      </c>
      <c r="H164" s="3">
        <f t="shared" si="34"/>
        <v>54941.749999996275</v>
      </c>
      <c r="I164" s="3">
        <f t="shared" si="34"/>
        <v>54942089.75</v>
      </c>
    </row>
    <row r="165" spans="3:10">
      <c r="E165" s="3"/>
      <c r="F165" s="3"/>
      <c r="G165" s="3"/>
      <c r="H165" s="4">
        <f t="shared" si="30"/>
        <v>0</v>
      </c>
      <c r="I165" s="4">
        <f t="shared" si="31"/>
        <v>0</v>
      </c>
    </row>
    <row r="166" spans="3:10">
      <c r="C166" s="2" t="s">
        <v>116</v>
      </c>
      <c r="E166" s="3">
        <v>1503970.8599999999</v>
      </c>
      <c r="F166" s="3">
        <v>30079.85999999987</v>
      </c>
      <c r="G166" s="3">
        <v>1473891</v>
      </c>
      <c r="H166" s="4">
        <f t="shared" si="30"/>
        <v>30079.85999999987</v>
      </c>
      <c r="I166" s="4">
        <f t="shared" si="31"/>
        <v>1503970.8599999999</v>
      </c>
    </row>
    <row r="167" spans="3:10">
      <c r="C167" s="2" t="s">
        <v>126</v>
      </c>
      <c r="E167" s="48">
        <v>24636.880000000005</v>
      </c>
      <c r="F167" s="48">
        <v>492.88000000000466</v>
      </c>
      <c r="G167" s="48">
        <v>24144</v>
      </c>
      <c r="H167" s="56">
        <f t="shared" si="30"/>
        <v>492.88000000000466</v>
      </c>
      <c r="I167" s="56">
        <f t="shared" si="31"/>
        <v>24636.880000000005</v>
      </c>
    </row>
    <row r="168" spans="3:10">
      <c r="C168" s="2" t="s">
        <v>132</v>
      </c>
      <c r="E168" s="3">
        <f>+SUM(E166:E167)</f>
        <v>1528607.7399999998</v>
      </c>
      <c r="F168" s="3">
        <f t="shared" ref="F168:I168" si="35">+SUM(F166:F167)</f>
        <v>30572.739999999874</v>
      </c>
      <c r="G168" s="3">
        <f t="shared" si="35"/>
        <v>1498035</v>
      </c>
      <c r="H168" s="3">
        <f t="shared" si="35"/>
        <v>30572.739999999874</v>
      </c>
      <c r="I168" s="3">
        <f t="shared" si="35"/>
        <v>1528607.7399999998</v>
      </c>
    </row>
    <row r="169" spans="3:10">
      <c r="E169" s="3"/>
      <c r="F169" s="3"/>
      <c r="G169" s="3"/>
      <c r="H169" s="4">
        <f t="shared" si="30"/>
        <v>0</v>
      </c>
      <c r="I169" s="4">
        <f t="shared" si="31"/>
        <v>0</v>
      </c>
    </row>
    <row r="170" spans="3:10">
      <c r="C170" s="2" t="s">
        <v>133</v>
      </c>
      <c r="E170" s="3">
        <f>+E152+E156+E160+E164+E168</f>
        <v>166213539.56</v>
      </c>
      <c r="F170" s="3">
        <f t="shared" ref="F170:H170" si="36">+F152+F156+F160+F164+F168</f>
        <v>1939835.5599999963</v>
      </c>
      <c r="G170" s="3">
        <f t="shared" si="36"/>
        <v>164273704</v>
      </c>
      <c r="H170" s="3">
        <f t="shared" si="36"/>
        <v>1728485.6899999962</v>
      </c>
      <c r="I170" s="4">
        <f>+G170+H170</f>
        <v>166002189.69</v>
      </c>
      <c r="J170" s="4">
        <f>+E170-I170</f>
        <v>211349.87000000477</v>
      </c>
    </row>
    <row r="171" spans="3:10">
      <c r="E171" s="3"/>
      <c r="F171" s="3"/>
      <c r="G171" s="3"/>
    </row>
    <row r="172" spans="3:10">
      <c r="C172" s="2" t="s">
        <v>134</v>
      </c>
      <c r="E172" s="3">
        <f>+E167+E163+E159+E155+E151</f>
        <v>7263290.1000000006</v>
      </c>
      <c r="F172" s="3">
        <f t="shared" ref="F172:I172" si="37">+F167+F163+F159+F155+F151</f>
        <v>124970.10000000024</v>
      </c>
      <c r="G172" s="3">
        <f t="shared" si="37"/>
        <v>7138320</v>
      </c>
      <c r="H172" s="3">
        <f t="shared" si="37"/>
        <v>79008.030000000232</v>
      </c>
      <c r="I172" s="3">
        <f t="shared" si="37"/>
        <v>7217328.0300000003</v>
      </c>
    </row>
    <row r="173" spans="3:10">
      <c r="C173" s="2" t="s">
        <v>135</v>
      </c>
      <c r="E173" s="3">
        <f>+E166+E162+E158+E154+E150</f>
        <v>158950249.46000001</v>
      </c>
      <c r="F173" s="3">
        <f t="shared" ref="F173:I173" si="38">+F166+F162+F158+F154+F150</f>
        <v>1814865.459999996</v>
      </c>
      <c r="G173" s="3">
        <f t="shared" si="38"/>
        <v>157135384</v>
      </c>
      <c r="H173" s="3">
        <f t="shared" si="38"/>
        <v>1649477.659999996</v>
      </c>
      <c r="I173" s="3">
        <f t="shared" si="38"/>
        <v>158784861.66</v>
      </c>
    </row>
    <row r="174" spans="3:10">
      <c r="E174" s="3"/>
      <c r="F174" s="3"/>
      <c r="G174" s="3"/>
    </row>
    <row r="175" spans="3:10">
      <c r="E175" s="3"/>
      <c r="F175" s="3"/>
      <c r="G175" s="3"/>
    </row>
    <row r="176" spans="3:10">
      <c r="E176" s="3"/>
      <c r="F176" s="3"/>
      <c r="G176" s="3"/>
    </row>
    <row r="177" spans="3:10">
      <c r="C177" s="2" t="s">
        <v>136</v>
      </c>
      <c r="E177" s="3"/>
      <c r="F177" s="3"/>
      <c r="G177" s="3"/>
    </row>
    <row r="178" spans="3:10">
      <c r="C178" s="2" t="s">
        <v>113</v>
      </c>
      <c r="E178" s="3">
        <v>0</v>
      </c>
      <c r="F178" s="3">
        <v>0</v>
      </c>
      <c r="G178" s="3">
        <v>0</v>
      </c>
      <c r="H178" s="4">
        <f>+F178</f>
        <v>0</v>
      </c>
      <c r="I178" s="4">
        <f>+G178+H178</f>
        <v>0</v>
      </c>
    </row>
    <row r="179" spans="3:10">
      <c r="C179" s="2" t="s">
        <v>114</v>
      </c>
      <c r="E179" s="3">
        <v>0</v>
      </c>
      <c r="F179" s="3">
        <v>0</v>
      </c>
      <c r="G179" s="3">
        <v>0</v>
      </c>
      <c r="H179" s="4">
        <f t="shared" ref="H179:H181" si="39">+F179</f>
        <v>0</v>
      </c>
      <c r="I179" s="4">
        <f t="shared" ref="I179:I181" si="40">+G179+H179</f>
        <v>0</v>
      </c>
    </row>
    <row r="180" spans="3:10">
      <c r="C180" s="2" t="s">
        <v>115</v>
      </c>
      <c r="E180" s="3">
        <v>801671.21</v>
      </c>
      <c r="F180" s="3">
        <v>801.20999999996275</v>
      </c>
      <c r="G180" s="3">
        <v>800870</v>
      </c>
      <c r="H180" s="4">
        <f t="shared" si="39"/>
        <v>801.20999999996275</v>
      </c>
      <c r="I180" s="4">
        <f t="shared" si="40"/>
        <v>801671.21</v>
      </c>
    </row>
    <row r="181" spans="3:10">
      <c r="C181" s="2" t="s">
        <v>116</v>
      </c>
      <c r="E181" s="3">
        <v>0</v>
      </c>
      <c r="F181" s="3">
        <v>0</v>
      </c>
      <c r="G181" s="3">
        <v>0</v>
      </c>
      <c r="H181" s="4">
        <f t="shared" si="39"/>
        <v>0</v>
      </c>
      <c r="I181" s="4">
        <f t="shared" si="40"/>
        <v>0</v>
      </c>
    </row>
    <row r="182" spans="3:10">
      <c r="C182" s="2" t="s">
        <v>137</v>
      </c>
      <c r="E182" s="57">
        <f>+SUM(E178:E181)</f>
        <v>801671.21</v>
      </c>
      <c r="F182" s="57">
        <f t="shared" ref="F182:I182" si="41">+SUM(F178:F181)</f>
        <v>801.20999999996275</v>
      </c>
      <c r="G182" s="57">
        <f t="shared" si="41"/>
        <v>800870</v>
      </c>
      <c r="H182" s="57">
        <f t="shared" si="41"/>
        <v>801.20999999996275</v>
      </c>
      <c r="I182" s="57">
        <f t="shared" si="41"/>
        <v>801671.21</v>
      </c>
      <c r="J182" s="4">
        <f>+E182-I182</f>
        <v>0</v>
      </c>
    </row>
    <row r="183" spans="3:10">
      <c r="E183" s="3"/>
      <c r="F183" s="3"/>
      <c r="G183" s="3"/>
    </row>
    <row r="184" spans="3:10">
      <c r="C184" s="2" t="s">
        <v>138</v>
      </c>
      <c r="E184" s="3"/>
      <c r="F184" s="3"/>
      <c r="G184" s="3"/>
    </row>
    <row r="185" spans="3:10">
      <c r="C185" s="2" t="s">
        <v>139</v>
      </c>
      <c r="E185" s="3">
        <v>68139843.039999992</v>
      </c>
      <c r="F185" s="3">
        <v>953958.03999999166</v>
      </c>
      <c r="G185" s="3">
        <v>67185885</v>
      </c>
      <c r="H185" s="4">
        <f>+F185</f>
        <v>953958.03999999166</v>
      </c>
      <c r="I185" s="4">
        <f>+G185+H185</f>
        <v>68139843.039999992</v>
      </c>
    </row>
    <row r="186" spans="3:10">
      <c r="C186" s="2" t="s">
        <v>140</v>
      </c>
      <c r="E186" s="3">
        <v>12246297.382000001</v>
      </c>
      <c r="F186" s="3">
        <v>183694.38200000115</v>
      </c>
      <c r="G186" s="3">
        <v>12062603</v>
      </c>
      <c r="H186" s="4">
        <f t="shared" ref="H186:H189" si="42">+F186</f>
        <v>183694.38200000115</v>
      </c>
      <c r="I186" s="4">
        <f t="shared" ref="I186:I189" si="43">+G186+H186</f>
        <v>12246297.382000001</v>
      </c>
    </row>
    <row r="187" spans="3:10">
      <c r="C187" s="2" t="s">
        <v>140</v>
      </c>
      <c r="E187" s="3">
        <v>1854418.79</v>
      </c>
      <c r="F187" s="3">
        <v>25961.790000000037</v>
      </c>
      <c r="G187" s="3">
        <v>1828457</v>
      </c>
      <c r="H187" s="4">
        <f t="shared" si="42"/>
        <v>25961.790000000037</v>
      </c>
      <c r="I187" s="4">
        <f t="shared" si="43"/>
        <v>1854418.79</v>
      </c>
    </row>
    <row r="188" spans="3:10">
      <c r="C188" s="2" t="s">
        <v>141</v>
      </c>
      <c r="E188" s="3">
        <v>2679400.3570000003</v>
      </c>
      <c r="F188" s="3">
        <v>40191.357000000309</v>
      </c>
      <c r="G188" s="3">
        <v>2639209</v>
      </c>
      <c r="H188" s="4">
        <f t="shared" si="42"/>
        <v>40191.357000000309</v>
      </c>
      <c r="I188" s="4">
        <f t="shared" si="43"/>
        <v>2679400.3570000003</v>
      </c>
    </row>
    <row r="189" spans="3:10">
      <c r="C189" s="2" t="s">
        <v>142</v>
      </c>
      <c r="E189" s="3">
        <v>6061980.8729999997</v>
      </c>
      <c r="F189" s="3">
        <v>6061.8729999996722</v>
      </c>
      <c r="G189" s="3">
        <v>6055919</v>
      </c>
      <c r="H189" s="4">
        <f t="shared" si="42"/>
        <v>6061.8729999996722</v>
      </c>
      <c r="I189" s="4">
        <f t="shared" si="43"/>
        <v>6061980.8729999997</v>
      </c>
    </row>
    <row r="190" spans="3:10">
      <c r="C190" s="2" t="s">
        <v>143</v>
      </c>
      <c r="E190" s="57">
        <f>+SUM(E185:E189)</f>
        <v>90981940.441999987</v>
      </c>
      <c r="F190" s="57">
        <f t="shared" ref="F190:I190" si="44">+SUM(F185:F189)</f>
        <v>1209867.4419999928</v>
      </c>
      <c r="G190" s="57">
        <f t="shared" si="44"/>
        <v>89772073</v>
      </c>
      <c r="H190" s="57">
        <f t="shared" si="44"/>
        <v>1209867.4419999928</v>
      </c>
      <c r="I190" s="57">
        <f t="shared" si="44"/>
        <v>90981940.441999987</v>
      </c>
      <c r="J190" s="4">
        <f>+E190-I190</f>
        <v>0</v>
      </c>
    </row>
    <row r="191" spans="3:10">
      <c r="E191" s="3"/>
      <c r="F191" s="3"/>
      <c r="G191" s="3"/>
    </row>
    <row r="192" spans="3:10">
      <c r="C192" s="2" t="s">
        <v>144</v>
      </c>
      <c r="E192" s="3"/>
      <c r="F192" s="3"/>
      <c r="G192" s="3"/>
    </row>
    <row r="193" spans="3:11">
      <c r="C193" s="2" t="s">
        <v>145</v>
      </c>
      <c r="E193" s="3">
        <v>48459926.590000004</v>
      </c>
      <c r="F193" s="3">
        <v>48459926.590000004</v>
      </c>
      <c r="G193" s="3">
        <v>0</v>
      </c>
      <c r="H193" s="4">
        <v>0</v>
      </c>
      <c r="I193" s="4">
        <v>0</v>
      </c>
      <c r="J193" s="2" t="s">
        <v>414</v>
      </c>
    </row>
    <row r="194" spans="3:11">
      <c r="C194" s="2" t="s">
        <v>146</v>
      </c>
      <c r="E194" s="3">
        <v>1432085.75</v>
      </c>
      <c r="F194" s="3">
        <v>28641.75</v>
      </c>
      <c r="G194" s="3">
        <v>1403444</v>
      </c>
      <c r="H194" s="4">
        <f>+F194</f>
        <v>28641.75</v>
      </c>
      <c r="I194" s="4">
        <f>+G194+H194</f>
        <v>1432085.75</v>
      </c>
    </row>
    <row r="195" spans="3:11">
      <c r="C195" s="2" t="s">
        <v>147</v>
      </c>
      <c r="E195" s="57">
        <f>+SUM(E193:E194)</f>
        <v>49892012.340000004</v>
      </c>
      <c r="F195" s="57">
        <f t="shared" ref="F195:I195" si="45">+SUM(F193:F194)</f>
        <v>48488568.340000004</v>
      </c>
      <c r="G195" s="57">
        <f t="shared" si="45"/>
        <v>1403444</v>
      </c>
      <c r="H195" s="57">
        <f t="shared" si="45"/>
        <v>28641.75</v>
      </c>
      <c r="I195" s="57">
        <f t="shared" si="45"/>
        <v>1432085.75</v>
      </c>
      <c r="J195" s="4">
        <f>+E195-I195</f>
        <v>48459926.590000004</v>
      </c>
      <c r="K195" s="2" t="s">
        <v>414</v>
      </c>
    </row>
    <row r="196" spans="3:11">
      <c r="E196" s="3"/>
      <c r="F196" s="3"/>
      <c r="G196" s="3"/>
    </row>
    <row r="197" spans="3:11">
      <c r="E197" s="3"/>
      <c r="F197" s="3"/>
      <c r="G197" s="3"/>
    </row>
    <row r="198" spans="3:11">
      <c r="C198" s="2" t="s">
        <v>148</v>
      </c>
      <c r="E198" s="3"/>
      <c r="F198" s="3"/>
      <c r="G198" s="3"/>
    </row>
    <row r="199" spans="3:11">
      <c r="C199" s="2" t="s">
        <v>149</v>
      </c>
      <c r="E199" s="3">
        <v>-453392109.80999994</v>
      </c>
      <c r="F199" s="3">
        <f>+E199-G199</f>
        <v>-123365143.80999994</v>
      </c>
      <c r="G199" s="3">
        <v>-330026966</v>
      </c>
      <c r="H199" s="4">
        <f>-[1]ADFIT1!$S$188</f>
        <v>-5514295.8700000355</v>
      </c>
      <c r="I199" s="4">
        <f>+G199+H199</f>
        <v>-335541261.87000006</v>
      </c>
    </row>
    <row r="200" spans="3:11">
      <c r="C200" s="2" t="s">
        <v>150</v>
      </c>
      <c r="E200" s="3">
        <v>0</v>
      </c>
      <c r="F200" s="3">
        <v>0</v>
      </c>
      <c r="G200" s="3">
        <v>0</v>
      </c>
      <c r="H200" s="4">
        <f t="shared" ref="H200:H206" si="46">+F200</f>
        <v>0</v>
      </c>
      <c r="I200" s="4">
        <f t="shared" ref="I200:I206" si="47">+G200+H200</f>
        <v>0</v>
      </c>
    </row>
    <row r="201" spans="3:11">
      <c r="C201" s="2" t="s">
        <v>151</v>
      </c>
      <c r="E201" s="3">
        <v>0</v>
      </c>
      <c r="F201" s="3">
        <v>0</v>
      </c>
      <c r="G201" s="3">
        <v>0</v>
      </c>
      <c r="H201" s="4">
        <f t="shared" si="46"/>
        <v>0</v>
      </c>
      <c r="I201" s="4">
        <f t="shared" si="47"/>
        <v>0</v>
      </c>
    </row>
    <row r="202" spans="3:11">
      <c r="C202" s="2" t="s">
        <v>152</v>
      </c>
      <c r="E202" s="3">
        <v>2319849.6100000003</v>
      </c>
      <c r="F202" s="3">
        <v>0</v>
      </c>
      <c r="G202" s="3">
        <v>2319849.6100000003</v>
      </c>
      <c r="H202" s="4">
        <f t="shared" si="46"/>
        <v>0</v>
      </c>
      <c r="I202" s="4">
        <f t="shared" si="47"/>
        <v>2319849.6100000003</v>
      </c>
    </row>
    <row r="203" spans="3:11">
      <c r="C203" s="2" t="s">
        <v>153</v>
      </c>
      <c r="E203" s="3">
        <v>-1321972.5899999999</v>
      </c>
      <c r="F203" s="3">
        <v>0.41000000014901161</v>
      </c>
      <c r="G203" s="3">
        <v>-1321973</v>
      </c>
      <c r="H203" s="4">
        <f t="shared" si="46"/>
        <v>0.41000000014901161</v>
      </c>
      <c r="I203" s="4">
        <f t="shared" si="47"/>
        <v>-1321972.5899999999</v>
      </c>
    </row>
    <row r="204" spans="3:11">
      <c r="C204" s="2" t="s">
        <v>154</v>
      </c>
      <c r="E204" s="3">
        <v>-38458193.340000004</v>
      </c>
      <c r="F204" s="3">
        <v>-367913.59</v>
      </c>
      <c r="G204" s="3">
        <v>-38090279.75</v>
      </c>
      <c r="H204" s="4">
        <v>0</v>
      </c>
      <c r="I204" s="4">
        <f t="shared" si="47"/>
        <v>-38090279.75</v>
      </c>
      <c r="J204" s="2" t="s">
        <v>415</v>
      </c>
    </row>
    <row r="205" spans="3:11">
      <c r="C205" s="2" t="s">
        <v>155</v>
      </c>
      <c r="E205" s="3">
        <v>0</v>
      </c>
      <c r="F205" s="3">
        <v>0</v>
      </c>
      <c r="G205" s="3">
        <v>0</v>
      </c>
      <c r="H205" s="4">
        <f t="shared" si="46"/>
        <v>0</v>
      </c>
      <c r="I205" s="4">
        <f t="shared" si="47"/>
        <v>0</v>
      </c>
    </row>
    <row r="206" spans="3:11">
      <c r="C206" s="2" t="s">
        <v>156</v>
      </c>
      <c r="E206" s="3">
        <v>0</v>
      </c>
      <c r="F206" s="3">
        <v>0</v>
      </c>
      <c r="G206" s="3">
        <v>0</v>
      </c>
      <c r="H206" s="4">
        <f t="shared" si="46"/>
        <v>0</v>
      </c>
      <c r="I206" s="4">
        <f t="shared" si="47"/>
        <v>0</v>
      </c>
    </row>
    <row r="207" spans="3:11">
      <c r="C207" s="2" t="s">
        <v>157</v>
      </c>
      <c r="E207" s="57">
        <f>+SUM(E199:E206)</f>
        <v>-490852426.12999988</v>
      </c>
      <c r="F207" s="57">
        <f t="shared" ref="F207:I207" si="48">+SUM(F199:F206)</f>
        <v>-123733056.98999995</v>
      </c>
      <c r="G207" s="57">
        <f t="shared" si="48"/>
        <v>-367119369.13999999</v>
      </c>
      <c r="H207" s="57">
        <f t="shared" si="48"/>
        <v>-5514295.4600000354</v>
      </c>
      <c r="I207" s="57">
        <f t="shared" si="48"/>
        <v>-372633664.60000002</v>
      </c>
      <c r="J207" s="4">
        <f>+E207-I207</f>
        <v>-118218761.52999985</v>
      </c>
    </row>
    <row r="208" spans="3:11">
      <c r="E208" s="3"/>
      <c r="F208" s="3"/>
      <c r="G208" s="3"/>
    </row>
    <row r="209" spans="3:10" ht="15.75" thickBot="1">
      <c r="C209" s="2" t="s">
        <v>158</v>
      </c>
      <c r="E209" s="58">
        <f>+E207+E195+E190+E182+E173+E147</f>
        <v>2065208337.1919999</v>
      </c>
      <c r="F209" s="58">
        <f t="shared" ref="F209:I209" si="49">+F207+F195+F190+F182+F173+F147</f>
        <v>-11095281.337999918</v>
      </c>
      <c r="G209" s="58">
        <f t="shared" si="49"/>
        <v>2083918845.5300002</v>
      </c>
      <c r="H209" s="58">
        <f t="shared" si="49"/>
        <v>18200755.142000005</v>
      </c>
      <c r="I209" s="58">
        <f t="shared" si="49"/>
        <v>2102119600.6719999</v>
      </c>
    </row>
    <row r="210" spans="3:10" ht="15.75" thickTop="1">
      <c r="E210" s="3"/>
      <c r="F210" s="3"/>
      <c r="G210" s="3"/>
    </row>
    <row r="211" spans="3:10">
      <c r="E211" s="3"/>
      <c r="F211" s="3"/>
      <c r="G211" s="3"/>
    </row>
    <row r="212" spans="3:10">
      <c r="C212" s="2" t="s">
        <v>159</v>
      </c>
      <c r="E212" s="3">
        <v>650666343.95999992</v>
      </c>
      <c r="F212" s="3">
        <v>0</v>
      </c>
      <c r="G212" s="3">
        <v>650666343.95999992</v>
      </c>
      <c r="H212" s="4">
        <f>+F212</f>
        <v>0</v>
      </c>
      <c r="I212" s="4">
        <f>+G212+H212</f>
        <v>650666343.95999992</v>
      </c>
    </row>
    <row r="213" spans="3:10">
      <c r="C213" s="2" t="s">
        <v>160</v>
      </c>
      <c r="E213" s="3">
        <v>5664875.54</v>
      </c>
      <c r="F213" s="3">
        <v>5664875.54</v>
      </c>
      <c r="G213" s="3">
        <v>0</v>
      </c>
      <c r="H213" s="4">
        <v>0</v>
      </c>
      <c r="I213" s="4">
        <v>0</v>
      </c>
      <c r="J213" s="2" t="s">
        <v>416</v>
      </c>
    </row>
    <row r="214" spans="3:10">
      <c r="C214" s="2" t="s">
        <v>161</v>
      </c>
      <c r="E214" s="3">
        <v>-6574896</v>
      </c>
      <c r="F214" s="3">
        <v>-6574896</v>
      </c>
      <c r="G214" s="3">
        <v>0</v>
      </c>
      <c r="H214" s="4">
        <v>0</v>
      </c>
      <c r="I214" s="4">
        <v>0</v>
      </c>
      <c r="J214" s="2" t="s">
        <v>416</v>
      </c>
    </row>
    <row r="215" spans="3:10">
      <c r="E215" s="3"/>
      <c r="F215" s="3"/>
      <c r="G215" s="3"/>
      <c r="H215" s="4">
        <f t="shared" ref="H215:H276" si="50">+F215</f>
        <v>0</v>
      </c>
      <c r="I215" s="4">
        <f t="shared" ref="I215:I276" si="51">+G215+H215</f>
        <v>0</v>
      </c>
    </row>
    <row r="216" spans="3:10">
      <c r="C216" s="2" t="s">
        <v>162</v>
      </c>
      <c r="E216" s="3"/>
      <c r="F216" s="3"/>
      <c r="G216" s="3"/>
      <c r="H216" s="4">
        <f t="shared" si="50"/>
        <v>0</v>
      </c>
      <c r="I216" s="4">
        <f t="shared" si="51"/>
        <v>0</v>
      </c>
    </row>
    <row r="217" spans="3:10">
      <c r="C217" s="2" t="s">
        <v>163</v>
      </c>
      <c r="E217" s="3">
        <v>0</v>
      </c>
      <c r="F217" s="3">
        <v>0</v>
      </c>
      <c r="G217" s="3">
        <v>0</v>
      </c>
      <c r="H217" s="4">
        <f t="shared" si="50"/>
        <v>0</v>
      </c>
      <c r="I217" s="4">
        <f t="shared" si="51"/>
        <v>0</v>
      </c>
    </row>
    <row r="218" spans="3:10">
      <c r="C218" s="2" t="s">
        <v>164</v>
      </c>
      <c r="E218" s="3">
        <v>22603522.400000002</v>
      </c>
      <c r="F218" s="3">
        <v>316449.31359999999</v>
      </c>
      <c r="G218" s="3">
        <v>22287073.086400002</v>
      </c>
      <c r="H218" s="4">
        <f t="shared" si="50"/>
        <v>316449.31359999999</v>
      </c>
      <c r="I218" s="4">
        <f t="shared" si="51"/>
        <v>22603522.400000002</v>
      </c>
    </row>
    <row r="219" spans="3:10">
      <c r="C219" s="2" t="s">
        <v>165</v>
      </c>
      <c r="E219" s="3">
        <v>0</v>
      </c>
      <c r="F219" s="3">
        <v>0</v>
      </c>
      <c r="G219" s="3">
        <v>0</v>
      </c>
      <c r="H219" s="4">
        <f t="shared" si="50"/>
        <v>0</v>
      </c>
      <c r="I219" s="4">
        <f t="shared" si="51"/>
        <v>0</v>
      </c>
    </row>
    <row r="220" spans="3:10">
      <c r="C220" s="2" t="s">
        <v>166</v>
      </c>
      <c r="E220" s="57">
        <f>+SUM(E217:E219)</f>
        <v>22603522.400000002</v>
      </c>
      <c r="F220" s="57">
        <f t="shared" ref="F220:I220" si="52">+SUM(F217:F219)</f>
        <v>316449.31359999999</v>
      </c>
      <c r="G220" s="57">
        <f t="shared" si="52"/>
        <v>22287073.086400002</v>
      </c>
      <c r="H220" s="57">
        <f t="shared" si="52"/>
        <v>316449.31359999999</v>
      </c>
      <c r="I220" s="57">
        <f t="shared" si="52"/>
        <v>22603522.400000002</v>
      </c>
      <c r="J220" s="4">
        <f>+E220-I220</f>
        <v>0</v>
      </c>
    </row>
    <row r="221" spans="3:10">
      <c r="E221" s="3"/>
      <c r="F221" s="3"/>
      <c r="G221" s="3"/>
      <c r="H221" s="4">
        <f t="shared" si="50"/>
        <v>0</v>
      </c>
      <c r="I221" s="4">
        <f t="shared" si="51"/>
        <v>0</v>
      </c>
    </row>
    <row r="222" spans="3:10">
      <c r="C222" s="2" t="s">
        <v>167</v>
      </c>
      <c r="E222" s="3"/>
      <c r="F222" s="3"/>
      <c r="G222" s="3"/>
      <c r="H222" s="4">
        <f t="shared" si="50"/>
        <v>0</v>
      </c>
      <c r="I222" s="4">
        <f t="shared" si="51"/>
        <v>0</v>
      </c>
    </row>
    <row r="223" spans="3:10">
      <c r="C223" s="2" t="s">
        <v>168</v>
      </c>
      <c r="E223" s="3">
        <v>1035101.73</v>
      </c>
      <c r="F223" s="3">
        <v>0</v>
      </c>
      <c r="G223" s="3">
        <v>1035102</v>
      </c>
      <c r="H223" s="4">
        <f t="shared" si="50"/>
        <v>0</v>
      </c>
      <c r="I223" s="4">
        <f t="shared" si="51"/>
        <v>1035102</v>
      </c>
    </row>
    <row r="224" spans="3:10">
      <c r="C224" s="2" t="s">
        <v>169</v>
      </c>
      <c r="E224" s="3">
        <v>98240.16</v>
      </c>
      <c r="F224" s="3">
        <v>0</v>
      </c>
      <c r="G224" s="3">
        <v>98240</v>
      </c>
      <c r="H224" s="4">
        <f t="shared" si="50"/>
        <v>0</v>
      </c>
      <c r="I224" s="4">
        <f t="shared" si="51"/>
        <v>98240</v>
      </c>
    </row>
    <row r="225" spans="3:10">
      <c r="C225" s="2" t="s">
        <v>170</v>
      </c>
      <c r="E225" s="3"/>
      <c r="F225" s="3"/>
      <c r="G225" s="3"/>
      <c r="H225" s="4">
        <f t="shared" si="50"/>
        <v>0</v>
      </c>
      <c r="I225" s="4">
        <f t="shared" si="51"/>
        <v>0</v>
      </c>
    </row>
    <row r="226" spans="3:10">
      <c r="C226" s="2" t="s">
        <v>171</v>
      </c>
      <c r="E226" s="3">
        <v>0</v>
      </c>
      <c r="F226" s="3">
        <v>0</v>
      </c>
      <c r="G226" s="3">
        <v>0</v>
      </c>
      <c r="H226" s="4">
        <f t="shared" si="50"/>
        <v>0</v>
      </c>
      <c r="I226" s="4">
        <f t="shared" si="51"/>
        <v>0</v>
      </c>
    </row>
    <row r="227" spans="3:10">
      <c r="C227" s="2" t="s">
        <v>172</v>
      </c>
      <c r="E227" s="3">
        <v>501376.26199999999</v>
      </c>
      <c r="F227" s="3">
        <v>7520.2619999999879</v>
      </c>
      <c r="G227" s="3">
        <v>493856</v>
      </c>
      <c r="H227" s="4">
        <f t="shared" si="50"/>
        <v>7520.2619999999879</v>
      </c>
      <c r="I227" s="4">
        <f t="shared" si="51"/>
        <v>501376.26199999999</v>
      </c>
    </row>
    <row r="228" spans="3:10">
      <c r="C228" s="2" t="s">
        <v>173</v>
      </c>
      <c r="E228" s="3">
        <v>1021780.748</v>
      </c>
      <c r="F228" s="3">
        <v>1021.7480000000214</v>
      </c>
      <c r="G228" s="3">
        <v>1020759</v>
      </c>
      <c r="H228" s="4">
        <f t="shared" si="50"/>
        <v>1021.7480000000214</v>
      </c>
      <c r="I228" s="4">
        <f t="shared" si="51"/>
        <v>1021780.748</v>
      </c>
    </row>
    <row r="229" spans="3:10">
      <c r="C229" s="2" t="s">
        <v>174</v>
      </c>
      <c r="E229" s="3">
        <v>2489915.27</v>
      </c>
      <c r="F229" s="3">
        <v>37348.270000000019</v>
      </c>
      <c r="G229" s="3">
        <v>2452567</v>
      </c>
      <c r="H229" s="4">
        <f t="shared" si="50"/>
        <v>37348.270000000019</v>
      </c>
      <c r="I229" s="4">
        <f t="shared" si="51"/>
        <v>2489915.27</v>
      </c>
    </row>
    <row r="230" spans="3:10">
      <c r="C230" s="2" t="s">
        <v>175</v>
      </c>
      <c r="E230" s="3">
        <v>19425</v>
      </c>
      <c r="F230" s="3">
        <v>291</v>
      </c>
      <c r="G230" s="3">
        <v>19134</v>
      </c>
      <c r="H230" s="4">
        <f t="shared" si="50"/>
        <v>291</v>
      </c>
      <c r="I230" s="4">
        <f t="shared" si="51"/>
        <v>19425</v>
      </c>
    </row>
    <row r="231" spans="3:10">
      <c r="C231" s="2" t="s">
        <v>176</v>
      </c>
      <c r="E231" s="3">
        <v>2700</v>
      </c>
      <c r="F231" s="3">
        <v>3</v>
      </c>
      <c r="G231" s="3">
        <v>2697</v>
      </c>
      <c r="H231" s="4">
        <f t="shared" si="50"/>
        <v>3</v>
      </c>
      <c r="I231" s="4">
        <f t="shared" si="51"/>
        <v>2700</v>
      </c>
    </row>
    <row r="232" spans="3:10">
      <c r="C232" s="2" t="s">
        <v>177</v>
      </c>
      <c r="E232" s="3">
        <v>5147622.4000000004</v>
      </c>
      <c r="F232" s="3">
        <v>5147.4000000003725</v>
      </c>
      <c r="G232" s="3">
        <v>5142475</v>
      </c>
      <c r="H232" s="4">
        <f t="shared" si="50"/>
        <v>5147.4000000003725</v>
      </c>
      <c r="I232" s="4">
        <f t="shared" si="51"/>
        <v>5147622.4000000004</v>
      </c>
    </row>
    <row r="233" spans="3:10">
      <c r="C233" s="2" t="s">
        <v>178</v>
      </c>
      <c r="E233" s="3">
        <v>18000</v>
      </c>
      <c r="F233" s="3">
        <v>18</v>
      </c>
      <c r="G233" s="3">
        <v>17982</v>
      </c>
      <c r="H233" s="4">
        <f t="shared" si="50"/>
        <v>18</v>
      </c>
      <c r="I233" s="4">
        <f t="shared" si="51"/>
        <v>18000</v>
      </c>
    </row>
    <row r="234" spans="3:10">
      <c r="C234" s="2" t="s">
        <v>179</v>
      </c>
      <c r="E234" s="3">
        <v>0</v>
      </c>
      <c r="F234" s="3">
        <v>0</v>
      </c>
      <c r="G234" s="3">
        <v>0</v>
      </c>
      <c r="H234" s="4">
        <f t="shared" si="50"/>
        <v>0</v>
      </c>
      <c r="I234" s="4">
        <f t="shared" si="51"/>
        <v>0</v>
      </c>
    </row>
    <row r="235" spans="3:10">
      <c r="C235" s="2" t="s">
        <v>180</v>
      </c>
      <c r="E235" s="57">
        <f>+SUM(E226:E234)</f>
        <v>9200819.6799999997</v>
      </c>
      <c r="F235" s="57">
        <f t="shared" ref="F235:I235" si="53">+SUM(F226:F234)</f>
        <v>51349.6800000004</v>
      </c>
      <c r="G235" s="57">
        <f t="shared" si="53"/>
        <v>9149470</v>
      </c>
      <c r="H235" s="57">
        <f t="shared" si="53"/>
        <v>51349.6800000004</v>
      </c>
      <c r="I235" s="57">
        <f t="shared" si="53"/>
        <v>9200819.6799999997</v>
      </c>
      <c r="J235" s="4">
        <f>+E235-I235</f>
        <v>0</v>
      </c>
    </row>
    <row r="236" spans="3:10">
      <c r="E236" s="3"/>
      <c r="F236" s="3"/>
      <c r="G236" s="3"/>
      <c r="H236" s="4">
        <f t="shared" si="50"/>
        <v>0</v>
      </c>
      <c r="I236" s="4">
        <f t="shared" si="51"/>
        <v>0</v>
      </c>
    </row>
    <row r="237" spans="3:10">
      <c r="C237" s="2" t="s">
        <v>181</v>
      </c>
      <c r="E237" s="3"/>
      <c r="F237" s="3"/>
      <c r="G237" s="3"/>
      <c r="H237" s="4">
        <f t="shared" si="50"/>
        <v>0</v>
      </c>
      <c r="I237" s="4">
        <f t="shared" si="51"/>
        <v>0</v>
      </c>
    </row>
    <row r="238" spans="3:10">
      <c r="C238" s="2" t="s">
        <v>182</v>
      </c>
      <c r="E238" s="3">
        <v>0</v>
      </c>
      <c r="F238" s="3">
        <v>0</v>
      </c>
      <c r="G238" s="3">
        <v>0</v>
      </c>
      <c r="H238" s="4">
        <f t="shared" si="50"/>
        <v>0</v>
      </c>
      <c r="I238" s="4">
        <f t="shared" si="51"/>
        <v>0</v>
      </c>
    </row>
    <row r="239" spans="3:10">
      <c r="C239" s="2" t="s">
        <v>183</v>
      </c>
      <c r="E239" s="3">
        <v>573592.78</v>
      </c>
      <c r="F239" s="3">
        <v>0</v>
      </c>
      <c r="G239" s="3">
        <v>573592.78</v>
      </c>
      <c r="H239" s="4">
        <f t="shared" si="50"/>
        <v>0</v>
      </c>
      <c r="I239" s="4">
        <f t="shared" si="51"/>
        <v>573592.78</v>
      </c>
    </row>
    <row r="240" spans="3:10">
      <c r="C240" s="2" t="s">
        <v>184</v>
      </c>
      <c r="E240" s="3">
        <v>54393</v>
      </c>
      <c r="F240" s="3">
        <v>54393</v>
      </c>
      <c r="G240" s="3">
        <v>0</v>
      </c>
      <c r="H240" s="4">
        <v>0</v>
      </c>
      <c r="I240" s="4">
        <v>0</v>
      </c>
      <c r="J240" s="2" t="s">
        <v>416</v>
      </c>
    </row>
    <row r="241" spans="3:10">
      <c r="C241" s="2" t="s">
        <v>185</v>
      </c>
      <c r="E241" s="3">
        <v>-58423543.249999993</v>
      </c>
      <c r="F241" s="3">
        <v>0</v>
      </c>
      <c r="G241" s="3">
        <v>-58423543.249999993</v>
      </c>
      <c r="H241" s="4">
        <f t="shared" si="50"/>
        <v>0</v>
      </c>
      <c r="I241" s="4">
        <f t="shared" si="51"/>
        <v>-58423543.249999993</v>
      </c>
    </row>
    <row r="242" spans="3:10">
      <c r="C242" s="2" t="s">
        <v>186</v>
      </c>
      <c r="E242" s="3">
        <v>-137135.82</v>
      </c>
      <c r="F242" s="3">
        <v>0</v>
      </c>
      <c r="G242" s="3">
        <v>-137135.82</v>
      </c>
      <c r="H242" s="4">
        <f t="shared" si="50"/>
        <v>0</v>
      </c>
      <c r="I242" s="4">
        <f t="shared" si="51"/>
        <v>-137135.82</v>
      </c>
    </row>
    <row r="243" spans="3:10">
      <c r="C243" s="2" t="s">
        <v>187</v>
      </c>
      <c r="E243" s="3">
        <v>97701230.639999971</v>
      </c>
      <c r="F243" s="3">
        <v>1465518.6399999708</v>
      </c>
      <c r="G243" s="3">
        <v>96235712</v>
      </c>
      <c r="H243" s="4">
        <f t="shared" si="50"/>
        <v>1465518.6399999708</v>
      </c>
      <c r="I243" s="4">
        <f t="shared" si="51"/>
        <v>97701230.639999971</v>
      </c>
    </row>
    <row r="244" spans="3:10">
      <c r="C244" s="2" t="s">
        <v>188</v>
      </c>
      <c r="E244" s="3">
        <v>4475949</v>
      </c>
      <c r="F244" s="3">
        <v>4475949</v>
      </c>
      <c r="G244" s="3">
        <v>0</v>
      </c>
      <c r="H244" s="4">
        <v>0</v>
      </c>
      <c r="I244" s="4">
        <v>0</v>
      </c>
      <c r="J244" s="2" t="s">
        <v>416</v>
      </c>
    </row>
    <row r="245" spans="3:10">
      <c r="C245" s="2" t="s">
        <v>189</v>
      </c>
      <c r="E245" s="3">
        <v>111393.83</v>
      </c>
      <c r="F245" s="3">
        <v>1670.8300000000017</v>
      </c>
      <c r="G245" s="3">
        <v>109723</v>
      </c>
      <c r="H245" s="4">
        <f t="shared" si="50"/>
        <v>1670.8300000000017</v>
      </c>
      <c r="I245" s="4">
        <f t="shared" si="51"/>
        <v>111393.83</v>
      </c>
    </row>
    <row r="246" spans="3:10">
      <c r="C246" s="2" t="s">
        <v>190</v>
      </c>
      <c r="E246" s="3">
        <v>391867.31</v>
      </c>
      <c r="F246" s="3">
        <v>392.30999999999767</v>
      </c>
      <c r="G246" s="3">
        <v>391475</v>
      </c>
      <c r="H246" s="4">
        <f t="shared" si="50"/>
        <v>392.30999999999767</v>
      </c>
      <c r="I246" s="4">
        <f t="shared" si="51"/>
        <v>391867.31</v>
      </c>
    </row>
    <row r="247" spans="3:10">
      <c r="C247" s="2" t="s">
        <v>191</v>
      </c>
      <c r="E247" s="57">
        <f>+SUM(E238:E246)</f>
        <v>44747747.48999998</v>
      </c>
      <c r="F247" s="57">
        <f t="shared" ref="F247:I247" si="54">+SUM(F238:F246)</f>
        <v>5997923.7799999705</v>
      </c>
      <c r="G247" s="57">
        <f t="shared" si="54"/>
        <v>38749823.710000008</v>
      </c>
      <c r="H247" s="57">
        <f t="shared" si="54"/>
        <v>1467581.7799999709</v>
      </c>
      <c r="I247" s="57">
        <f t="shared" si="54"/>
        <v>40217405.48999998</v>
      </c>
      <c r="J247" s="4">
        <f>+E247-I247</f>
        <v>4530342</v>
      </c>
    </row>
    <row r="248" spans="3:10">
      <c r="E248" s="3"/>
      <c r="F248" s="3"/>
      <c r="G248" s="3"/>
      <c r="H248" s="4">
        <f t="shared" si="50"/>
        <v>0</v>
      </c>
      <c r="I248" s="4">
        <f t="shared" si="51"/>
        <v>0</v>
      </c>
    </row>
    <row r="249" spans="3:10">
      <c r="C249" s="2" t="s">
        <v>192</v>
      </c>
      <c r="E249" s="48">
        <f>+SUM(E223:E224)+E235+E247</f>
        <v>55081909.05999998</v>
      </c>
      <c r="F249" s="48">
        <f t="shared" ref="F249:I249" si="55">+SUM(F223:F224)+F235+F247</f>
        <v>6049273.4599999711</v>
      </c>
      <c r="G249" s="48">
        <f t="shared" si="55"/>
        <v>49032635.710000008</v>
      </c>
      <c r="H249" s="48">
        <f t="shared" si="55"/>
        <v>1518931.4599999713</v>
      </c>
      <c r="I249" s="48">
        <f t="shared" si="55"/>
        <v>50551567.169999979</v>
      </c>
    </row>
    <row r="250" spans="3:10">
      <c r="E250" s="3"/>
      <c r="F250" s="3"/>
      <c r="G250" s="3"/>
      <c r="H250" s="4">
        <f t="shared" si="50"/>
        <v>0</v>
      </c>
      <c r="I250" s="4">
        <f t="shared" si="51"/>
        <v>0</v>
      </c>
    </row>
    <row r="251" spans="3:10">
      <c r="C251" s="2" t="s">
        <v>193</v>
      </c>
      <c r="E251" s="57">
        <f>+E249+E220+E214+E213+E212</f>
        <v>727441754.95999992</v>
      </c>
      <c r="F251" s="57">
        <f t="shared" ref="F251:I251" si="56">+F249+F220+F214+F213+F212</f>
        <v>5455702.3135999711</v>
      </c>
      <c r="G251" s="57">
        <f t="shared" si="56"/>
        <v>721986052.75639987</v>
      </c>
      <c r="H251" s="57">
        <f t="shared" si="56"/>
        <v>1835380.7735999713</v>
      </c>
      <c r="I251" s="57">
        <f t="shared" si="56"/>
        <v>723821433.52999985</v>
      </c>
    </row>
    <row r="252" spans="3:10">
      <c r="E252" s="3"/>
      <c r="F252" s="3"/>
      <c r="G252" s="3"/>
      <c r="H252" s="4">
        <f t="shared" si="50"/>
        <v>0</v>
      </c>
      <c r="I252" s="4">
        <f t="shared" si="51"/>
        <v>0</v>
      </c>
    </row>
    <row r="253" spans="3:10">
      <c r="C253" s="2" t="s">
        <v>194</v>
      </c>
      <c r="E253" s="3"/>
      <c r="F253" s="3"/>
      <c r="G253" s="3"/>
      <c r="H253" s="4">
        <f t="shared" si="50"/>
        <v>0</v>
      </c>
      <c r="I253" s="4">
        <f t="shared" si="51"/>
        <v>0</v>
      </c>
    </row>
    <row r="254" spans="3:10">
      <c r="C254" s="2" t="s">
        <v>195</v>
      </c>
      <c r="E254" s="3"/>
      <c r="F254" s="3"/>
      <c r="G254" s="3"/>
      <c r="H254" s="4">
        <f t="shared" si="50"/>
        <v>0</v>
      </c>
      <c r="I254" s="4">
        <f t="shared" si="51"/>
        <v>0</v>
      </c>
    </row>
    <row r="255" spans="3:10">
      <c r="C255" s="2" t="s">
        <v>196</v>
      </c>
      <c r="E255" s="3">
        <v>4075249.41</v>
      </c>
      <c r="F255" s="3">
        <v>61128.410000000149</v>
      </c>
      <c r="G255" s="3">
        <v>4014121</v>
      </c>
      <c r="H255" s="4">
        <f t="shared" si="50"/>
        <v>61128.410000000149</v>
      </c>
      <c r="I255" s="4">
        <f t="shared" si="51"/>
        <v>4075249.41</v>
      </c>
    </row>
    <row r="256" spans="3:10">
      <c r="C256" s="2" t="s">
        <v>197</v>
      </c>
      <c r="E256" s="3">
        <v>119941517.16000001</v>
      </c>
      <c r="F256" s="3">
        <v>1679181.1600000113</v>
      </c>
      <c r="G256" s="3">
        <v>118262336</v>
      </c>
      <c r="H256" s="4">
        <f t="shared" si="50"/>
        <v>1679181.1600000113</v>
      </c>
      <c r="I256" s="4">
        <f t="shared" si="51"/>
        <v>119941517.16000001</v>
      </c>
    </row>
    <row r="257" spans="3:10">
      <c r="C257" s="2" t="s">
        <v>198</v>
      </c>
      <c r="E257" s="3">
        <v>8108248.54</v>
      </c>
      <c r="F257" s="3">
        <v>121623.54000000004</v>
      </c>
      <c r="G257" s="3">
        <v>7986625</v>
      </c>
      <c r="H257" s="4">
        <f t="shared" si="50"/>
        <v>121623.54000000004</v>
      </c>
      <c r="I257" s="4">
        <f t="shared" si="51"/>
        <v>8108248.54</v>
      </c>
    </row>
    <row r="258" spans="3:10">
      <c r="C258" s="2" t="s">
        <v>199</v>
      </c>
      <c r="E258" s="3">
        <v>3995568.91</v>
      </c>
      <c r="F258" s="3">
        <v>55937.910000000149</v>
      </c>
      <c r="G258" s="3">
        <v>3939631</v>
      </c>
      <c r="H258" s="4">
        <f t="shared" si="50"/>
        <v>55937.910000000149</v>
      </c>
      <c r="I258" s="4">
        <f t="shared" si="51"/>
        <v>3995568.91</v>
      </c>
    </row>
    <row r="259" spans="3:10">
      <c r="C259" s="2" t="s">
        <v>200</v>
      </c>
      <c r="E259" s="3">
        <v>-1066415.0200000005</v>
      </c>
      <c r="F259" s="3">
        <v>-2.0000000484287739E-2</v>
      </c>
      <c r="G259" s="3">
        <v>-1066415</v>
      </c>
      <c r="H259" s="4">
        <f t="shared" si="50"/>
        <v>-2.0000000484287739E-2</v>
      </c>
      <c r="I259" s="4">
        <f t="shared" si="51"/>
        <v>-1066415.0200000005</v>
      </c>
    </row>
    <row r="260" spans="3:10">
      <c r="C260" s="2" t="s">
        <v>201</v>
      </c>
      <c r="E260" s="3">
        <v>5128125.17</v>
      </c>
      <c r="F260" s="3">
        <v>73537.169999999925</v>
      </c>
      <c r="G260" s="3">
        <v>5054588</v>
      </c>
      <c r="H260" s="4">
        <f t="shared" si="50"/>
        <v>73537.169999999925</v>
      </c>
      <c r="I260" s="4">
        <f t="shared" si="51"/>
        <v>5128125.17</v>
      </c>
    </row>
    <row r="261" spans="3:10">
      <c r="C261" s="2" t="s">
        <v>202</v>
      </c>
      <c r="E261" s="3">
        <v>0</v>
      </c>
      <c r="F261" s="3">
        <v>0</v>
      </c>
      <c r="G261" s="3">
        <v>0</v>
      </c>
      <c r="H261" s="4">
        <f t="shared" si="50"/>
        <v>0</v>
      </c>
      <c r="I261" s="4">
        <f t="shared" si="51"/>
        <v>0</v>
      </c>
    </row>
    <row r="262" spans="3:10">
      <c r="C262" s="2" t="s">
        <v>203</v>
      </c>
      <c r="E262" s="3">
        <v>0</v>
      </c>
      <c r="F262" s="3">
        <v>0</v>
      </c>
      <c r="G262" s="3">
        <v>0</v>
      </c>
      <c r="H262" s="4">
        <f t="shared" si="50"/>
        <v>0</v>
      </c>
      <c r="I262" s="4">
        <f t="shared" si="51"/>
        <v>0</v>
      </c>
    </row>
    <row r="263" spans="3:10">
      <c r="C263" s="2" t="s">
        <v>204</v>
      </c>
      <c r="E263" s="3">
        <v>58098.22</v>
      </c>
      <c r="F263" s="3">
        <v>833.22000000000116</v>
      </c>
      <c r="G263" s="3">
        <v>57265</v>
      </c>
      <c r="H263" s="4">
        <f t="shared" si="50"/>
        <v>833.22000000000116</v>
      </c>
      <c r="I263" s="4">
        <f t="shared" si="51"/>
        <v>58098.22</v>
      </c>
    </row>
    <row r="264" spans="3:10">
      <c r="C264" s="2" t="s">
        <v>205</v>
      </c>
      <c r="E264" s="3">
        <v>6077645.7400000002</v>
      </c>
      <c r="F264" s="3">
        <v>91164.740000000224</v>
      </c>
      <c r="G264" s="3">
        <v>5986481</v>
      </c>
      <c r="H264" s="4">
        <f t="shared" si="50"/>
        <v>91164.740000000224</v>
      </c>
      <c r="I264" s="4">
        <f t="shared" si="51"/>
        <v>6077645.7400000002</v>
      </c>
    </row>
    <row r="265" spans="3:10">
      <c r="C265" s="2" t="s">
        <v>206</v>
      </c>
      <c r="E265" s="3">
        <v>965.85</v>
      </c>
      <c r="F265" s="3">
        <v>14.850000000000023</v>
      </c>
      <c r="G265" s="3">
        <v>951</v>
      </c>
      <c r="H265" s="4">
        <f t="shared" si="50"/>
        <v>14.850000000000023</v>
      </c>
      <c r="I265" s="4">
        <f t="shared" si="51"/>
        <v>965.85</v>
      </c>
    </row>
    <row r="266" spans="3:10">
      <c r="C266" s="2" t="s">
        <v>207</v>
      </c>
      <c r="E266" s="3">
        <v>0</v>
      </c>
      <c r="F266" s="3">
        <v>0</v>
      </c>
      <c r="G266" s="3">
        <v>0</v>
      </c>
      <c r="H266" s="4">
        <f t="shared" si="50"/>
        <v>0</v>
      </c>
      <c r="I266" s="4">
        <f t="shared" si="51"/>
        <v>0</v>
      </c>
    </row>
    <row r="267" spans="3:10">
      <c r="C267" s="2" t="s">
        <v>208</v>
      </c>
      <c r="E267" s="3">
        <v>79809.010000000009</v>
      </c>
      <c r="F267" s="3">
        <v>1117.0100000000093</v>
      </c>
      <c r="G267" s="3">
        <v>78692</v>
      </c>
      <c r="H267" s="4">
        <f t="shared" si="50"/>
        <v>1117.0100000000093</v>
      </c>
      <c r="I267" s="4">
        <f t="shared" si="51"/>
        <v>79809.010000000009</v>
      </c>
    </row>
    <row r="268" spans="3:10">
      <c r="C268" s="2" t="s">
        <v>209</v>
      </c>
      <c r="E268" s="57">
        <f>+SUM(E255:E267)</f>
        <v>146398812.98999998</v>
      </c>
      <c r="F268" s="57">
        <f t="shared" ref="F268:I268" si="57">+SUM(F255:F267)</f>
        <v>2084537.9900000114</v>
      </c>
      <c r="G268" s="57">
        <f t="shared" si="57"/>
        <v>144314275</v>
      </c>
      <c r="H268" s="57">
        <f t="shared" si="57"/>
        <v>2084537.9900000114</v>
      </c>
      <c r="I268" s="57">
        <f t="shared" si="57"/>
        <v>146398812.98999998</v>
      </c>
      <c r="J268" s="4">
        <f>+E268-I268</f>
        <v>0</v>
      </c>
    </row>
    <row r="269" spans="3:10">
      <c r="E269" s="3"/>
      <c r="F269" s="3"/>
      <c r="G269" s="3"/>
      <c r="H269" s="4">
        <f t="shared" si="50"/>
        <v>0</v>
      </c>
      <c r="I269" s="4">
        <f t="shared" si="51"/>
        <v>0</v>
      </c>
    </row>
    <row r="270" spans="3:10">
      <c r="C270" s="2" t="s">
        <v>210</v>
      </c>
      <c r="E270" s="3">
        <v>1352873.19</v>
      </c>
      <c r="F270" s="3">
        <v>20293.189999999944</v>
      </c>
      <c r="G270" s="3">
        <v>1332580</v>
      </c>
      <c r="H270" s="4">
        <f t="shared" si="50"/>
        <v>20293.189999999944</v>
      </c>
      <c r="I270" s="4">
        <f t="shared" si="51"/>
        <v>1352873.19</v>
      </c>
    </row>
    <row r="271" spans="3:10">
      <c r="C271" s="2" t="s">
        <v>211</v>
      </c>
      <c r="E271" s="3">
        <v>1989377.4100000001</v>
      </c>
      <c r="F271" s="3">
        <v>29840.410000000149</v>
      </c>
      <c r="G271" s="3">
        <v>1959537</v>
      </c>
      <c r="H271" s="4">
        <f t="shared" si="50"/>
        <v>29840.410000000149</v>
      </c>
      <c r="I271" s="4">
        <f t="shared" si="51"/>
        <v>1989377.4100000001</v>
      </c>
    </row>
    <row r="272" spans="3:10">
      <c r="C272" s="2" t="s">
        <v>212</v>
      </c>
      <c r="E272" s="3">
        <v>14866979.07</v>
      </c>
      <c r="F272" s="3">
        <v>213192.0700000003</v>
      </c>
      <c r="G272" s="3">
        <v>14653787</v>
      </c>
      <c r="H272" s="4">
        <f t="shared" si="50"/>
        <v>213192.0700000003</v>
      </c>
      <c r="I272" s="4">
        <f t="shared" si="51"/>
        <v>14866979.07</v>
      </c>
    </row>
    <row r="273" spans="3:11">
      <c r="C273" s="2" t="s">
        <v>213</v>
      </c>
      <c r="E273" s="3">
        <v>4380927.99</v>
      </c>
      <c r="F273" s="3">
        <v>65713.990000000224</v>
      </c>
      <c r="G273" s="3">
        <v>4315214</v>
      </c>
      <c r="H273" s="4">
        <f t="shared" si="50"/>
        <v>65713.990000000224</v>
      </c>
      <c r="I273" s="4">
        <f t="shared" si="51"/>
        <v>4380927.99</v>
      </c>
    </row>
    <row r="274" spans="3:11">
      <c r="C274" s="2" t="s">
        <v>214</v>
      </c>
      <c r="E274" s="3">
        <v>1406936.23</v>
      </c>
      <c r="F274" s="3">
        <v>21104.229999999981</v>
      </c>
      <c r="G274" s="3">
        <v>1385832</v>
      </c>
      <c r="H274" s="4">
        <f t="shared" si="50"/>
        <v>21104.229999999981</v>
      </c>
      <c r="I274" s="4">
        <f t="shared" si="51"/>
        <v>1406936.23</v>
      </c>
    </row>
    <row r="275" spans="3:11">
      <c r="C275" s="2" t="s">
        <v>215</v>
      </c>
      <c r="E275" s="57">
        <f>+SUM(E270:E274)</f>
        <v>23997093.890000004</v>
      </c>
      <c r="F275" s="57">
        <f t="shared" ref="F275:I275" si="58">+SUM(F270:F274)</f>
        <v>350143.8900000006</v>
      </c>
      <c r="G275" s="57">
        <f t="shared" si="58"/>
        <v>23646950</v>
      </c>
      <c r="H275" s="57">
        <f t="shared" si="58"/>
        <v>350143.8900000006</v>
      </c>
      <c r="I275" s="57">
        <f t="shared" si="58"/>
        <v>23997093.890000004</v>
      </c>
      <c r="J275" s="4">
        <f>+E275-I275</f>
        <v>0</v>
      </c>
    </row>
    <row r="276" spans="3:11">
      <c r="E276" s="3"/>
      <c r="F276" s="3"/>
      <c r="G276" s="3"/>
      <c r="H276" s="4">
        <f t="shared" si="50"/>
        <v>0</v>
      </c>
      <c r="I276" s="4">
        <f t="shared" si="51"/>
        <v>0</v>
      </c>
    </row>
    <row r="277" spans="3:11">
      <c r="C277" s="2" t="s">
        <v>216</v>
      </c>
      <c r="E277" s="57">
        <f>+E275+E268</f>
        <v>170395906.88</v>
      </c>
      <c r="F277" s="57">
        <f t="shared" ref="F277:I277" si="59">+F275+F268</f>
        <v>2434681.880000012</v>
      </c>
      <c r="G277" s="57">
        <f t="shared" si="59"/>
        <v>167961225</v>
      </c>
      <c r="H277" s="57">
        <f t="shared" si="59"/>
        <v>2434681.880000012</v>
      </c>
      <c r="I277" s="57">
        <f t="shared" si="59"/>
        <v>170395906.88</v>
      </c>
    </row>
    <row r="278" spans="3:11">
      <c r="E278" s="3"/>
      <c r="F278" s="3"/>
      <c r="G278" s="3"/>
      <c r="H278" s="4">
        <f t="shared" ref="H278:H340" si="60">+F278</f>
        <v>0</v>
      </c>
      <c r="I278" s="4">
        <f t="shared" ref="I278:I340" si="61">+G278+H278</f>
        <v>0</v>
      </c>
    </row>
    <row r="279" spans="3:11">
      <c r="C279" s="2" t="s">
        <v>217</v>
      </c>
      <c r="E279" s="3"/>
      <c r="F279" s="3"/>
      <c r="G279" s="3"/>
      <c r="H279" s="4">
        <f t="shared" si="60"/>
        <v>0</v>
      </c>
      <c r="I279" s="4">
        <f t="shared" si="61"/>
        <v>0</v>
      </c>
    </row>
    <row r="280" spans="3:11">
      <c r="C280" s="2" t="s">
        <v>218</v>
      </c>
      <c r="E280" s="3">
        <v>0</v>
      </c>
      <c r="F280" s="3">
        <v>0</v>
      </c>
      <c r="G280" s="3">
        <v>0</v>
      </c>
      <c r="H280" s="4">
        <f t="shared" si="60"/>
        <v>0</v>
      </c>
      <c r="I280" s="4">
        <f t="shared" si="61"/>
        <v>0</v>
      </c>
    </row>
    <row r="281" spans="3:11">
      <c r="C281" s="2" t="s">
        <v>219</v>
      </c>
      <c r="E281" s="3">
        <v>7033579.0000000009</v>
      </c>
      <c r="F281" s="3">
        <v>105504.00000000093</v>
      </c>
      <c r="G281" s="3">
        <v>6928075</v>
      </c>
      <c r="H281" s="4">
        <f t="shared" si="60"/>
        <v>105504.00000000093</v>
      </c>
      <c r="I281" s="4">
        <f t="shared" si="61"/>
        <v>7033579.0000000009</v>
      </c>
    </row>
    <row r="282" spans="3:11">
      <c r="C282" s="2" t="s">
        <v>220</v>
      </c>
      <c r="E282" s="3">
        <v>125459372.98999999</v>
      </c>
      <c r="F282" s="3">
        <v>1756430.9899999946</v>
      </c>
      <c r="G282" s="3">
        <v>123694379</v>
      </c>
      <c r="H282" s="4">
        <f t="shared" si="60"/>
        <v>1756430.9899999946</v>
      </c>
      <c r="I282" s="4">
        <f t="shared" si="61"/>
        <v>125450809.98999999</v>
      </c>
    </row>
    <row r="283" spans="3:11">
      <c r="C283" s="2" t="s">
        <v>221</v>
      </c>
      <c r="E283" s="3">
        <v>63261.100000000006</v>
      </c>
      <c r="F283" s="3">
        <v>949.10000000000582</v>
      </c>
      <c r="G283" s="3">
        <v>62312</v>
      </c>
      <c r="H283" s="4">
        <f t="shared" si="60"/>
        <v>949.10000000000582</v>
      </c>
      <c r="I283" s="4">
        <f t="shared" si="61"/>
        <v>63261.100000000006</v>
      </c>
    </row>
    <row r="284" spans="3:11">
      <c r="C284" s="2" t="s">
        <v>222</v>
      </c>
      <c r="E284" s="3">
        <v>793609.8600000001</v>
      </c>
      <c r="F284" s="3">
        <v>11903.860000000102</v>
      </c>
      <c r="G284" s="3">
        <v>781706</v>
      </c>
      <c r="H284" s="4">
        <f t="shared" si="60"/>
        <v>11903.860000000102</v>
      </c>
      <c r="I284" s="4">
        <f t="shared" si="61"/>
        <v>793609.8600000001</v>
      </c>
    </row>
    <row r="285" spans="3:11">
      <c r="C285" s="2" t="s">
        <v>223</v>
      </c>
      <c r="E285" s="57">
        <f>+SUM(E280:E284)</f>
        <v>133349822.94999999</v>
      </c>
      <c r="F285" s="57">
        <f t="shared" ref="F285:I285" si="62">+SUM(F280:F284)</f>
        <v>1874787.9499999958</v>
      </c>
      <c r="G285" s="57">
        <f>+SUM(G280:G284)</f>
        <v>131466472</v>
      </c>
      <c r="H285" s="57">
        <f t="shared" si="62"/>
        <v>1874787.9499999958</v>
      </c>
      <c r="I285" s="57">
        <f t="shared" si="62"/>
        <v>133341259.94999999</v>
      </c>
      <c r="J285" s="4">
        <f>+E285-I285</f>
        <v>8563</v>
      </c>
      <c r="K285" s="2" t="s">
        <v>425</v>
      </c>
    </row>
    <row r="286" spans="3:11">
      <c r="E286" s="3"/>
      <c r="F286" s="3"/>
      <c r="G286" s="3"/>
      <c r="H286" s="4">
        <f t="shared" si="60"/>
        <v>0</v>
      </c>
      <c r="I286" s="4">
        <f t="shared" si="61"/>
        <v>0</v>
      </c>
    </row>
    <row r="287" spans="3:11">
      <c r="C287" s="2" t="s">
        <v>224</v>
      </c>
      <c r="E287" s="3">
        <v>2897.7000000000003</v>
      </c>
      <c r="F287" s="3">
        <v>43.700000000000273</v>
      </c>
      <c r="G287" s="3">
        <v>2854</v>
      </c>
      <c r="H287" s="4">
        <f t="shared" si="60"/>
        <v>43.700000000000273</v>
      </c>
      <c r="I287" s="4">
        <f t="shared" si="61"/>
        <v>2897.7000000000003</v>
      </c>
    </row>
    <row r="288" spans="3:11">
      <c r="C288" s="2" t="s">
        <v>225</v>
      </c>
      <c r="E288" s="57">
        <f>+E287</f>
        <v>2897.7000000000003</v>
      </c>
      <c r="F288" s="57">
        <f t="shared" ref="F288:I288" si="63">+F287</f>
        <v>43.700000000000273</v>
      </c>
      <c r="G288" s="57">
        <f t="shared" si="63"/>
        <v>2854</v>
      </c>
      <c r="H288" s="57">
        <f t="shared" si="63"/>
        <v>43.700000000000273</v>
      </c>
      <c r="I288" s="57">
        <f t="shared" si="63"/>
        <v>2897.7000000000003</v>
      </c>
      <c r="J288" s="4">
        <f>+E288-I288</f>
        <v>0</v>
      </c>
    </row>
    <row r="289" spans="3:11">
      <c r="E289" s="3"/>
      <c r="F289" s="3"/>
      <c r="G289" s="3"/>
      <c r="H289" s="4">
        <f t="shared" si="60"/>
        <v>0</v>
      </c>
      <c r="I289" s="4">
        <f t="shared" si="61"/>
        <v>0</v>
      </c>
    </row>
    <row r="290" spans="3:11">
      <c r="C290" s="2" t="s">
        <v>226</v>
      </c>
      <c r="E290" s="57">
        <f>+E288+E285+E277</f>
        <v>303748627.52999997</v>
      </c>
      <c r="F290" s="57">
        <f t="shared" ref="F290:I290" si="64">+F288+F285+F277</f>
        <v>4309513.5300000077</v>
      </c>
      <c r="G290" s="57">
        <f>+G288+G285+G277</f>
        <v>299430551</v>
      </c>
      <c r="H290" s="57">
        <f t="shared" si="64"/>
        <v>4309513.5300000077</v>
      </c>
      <c r="I290" s="57">
        <f t="shared" si="64"/>
        <v>303740064.52999997</v>
      </c>
    </row>
    <row r="291" spans="3:11">
      <c r="E291" s="3"/>
      <c r="F291" s="3"/>
      <c r="G291" s="3"/>
      <c r="H291" s="4">
        <f t="shared" si="60"/>
        <v>0</v>
      </c>
      <c r="I291" s="4">
        <f t="shared" si="61"/>
        <v>0</v>
      </c>
    </row>
    <row r="292" spans="3:11">
      <c r="C292" s="2" t="s">
        <v>227</v>
      </c>
      <c r="E292" s="3"/>
      <c r="F292" s="3"/>
      <c r="G292" s="3"/>
      <c r="H292" s="4">
        <f t="shared" si="60"/>
        <v>0</v>
      </c>
      <c r="I292" s="4">
        <f t="shared" si="61"/>
        <v>0</v>
      </c>
    </row>
    <row r="293" spans="3:11">
      <c r="C293" s="2" t="s">
        <v>228</v>
      </c>
      <c r="E293" s="3">
        <v>2017555.06</v>
      </c>
      <c r="F293" s="3">
        <v>30263.060000000056</v>
      </c>
      <c r="G293" s="3">
        <v>1987292</v>
      </c>
      <c r="H293" s="4">
        <f t="shared" si="60"/>
        <v>30263.060000000056</v>
      </c>
      <c r="I293" s="4">
        <f t="shared" si="61"/>
        <v>2017555.06</v>
      </c>
    </row>
    <row r="294" spans="3:11">
      <c r="C294" s="2" t="s">
        <v>229</v>
      </c>
      <c r="E294" s="3">
        <v>584141.72</v>
      </c>
      <c r="F294" s="3">
        <v>8761.7199999999721</v>
      </c>
      <c r="G294" s="3">
        <v>575380</v>
      </c>
      <c r="H294" s="4">
        <f t="shared" si="60"/>
        <v>8761.7199999999721</v>
      </c>
      <c r="I294" s="4">
        <f t="shared" si="61"/>
        <v>584141.72</v>
      </c>
    </row>
    <row r="295" spans="3:11">
      <c r="C295" s="2" t="s">
        <v>230</v>
      </c>
      <c r="E295" s="3">
        <v>1829245.4900000002</v>
      </c>
      <c r="F295" s="3">
        <v>27438.490000000224</v>
      </c>
      <c r="G295" s="3">
        <v>1801807</v>
      </c>
      <c r="H295" s="4">
        <f t="shared" si="60"/>
        <v>27438.490000000224</v>
      </c>
      <c r="I295" s="4">
        <f t="shared" si="61"/>
        <v>1829245.4900000002</v>
      </c>
    </row>
    <row r="296" spans="3:11">
      <c r="C296" s="2" t="s">
        <v>231</v>
      </c>
      <c r="E296" s="3">
        <v>244494.76</v>
      </c>
      <c r="F296" s="3">
        <v>3667.7600000000093</v>
      </c>
      <c r="G296" s="3">
        <v>240827</v>
      </c>
      <c r="H296" s="4">
        <f t="shared" si="60"/>
        <v>3667.7600000000093</v>
      </c>
      <c r="I296" s="4">
        <f t="shared" si="61"/>
        <v>244494.76</v>
      </c>
    </row>
    <row r="297" spans="3:11">
      <c r="C297" s="2" t="s">
        <v>232</v>
      </c>
      <c r="E297" s="3">
        <v>21867.99</v>
      </c>
      <c r="F297" s="3">
        <v>327.9900000000016</v>
      </c>
      <c r="G297" s="3">
        <v>21540</v>
      </c>
      <c r="H297" s="4">
        <f t="shared" si="60"/>
        <v>327.9900000000016</v>
      </c>
      <c r="I297" s="4">
        <f t="shared" si="61"/>
        <v>21867.99</v>
      </c>
    </row>
    <row r="298" spans="3:11">
      <c r="C298" s="2" t="s">
        <v>233</v>
      </c>
      <c r="E298" s="3">
        <v>15.85</v>
      </c>
      <c r="F298" s="3">
        <v>-0.15000000000000036</v>
      </c>
      <c r="G298" s="3">
        <v>16</v>
      </c>
      <c r="H298" s="4">
        <f t="shared" si="60"/>
        <v>-0.15000000000000036</v>
      </c>
      <c r="I298" s="4">
        <f t="shared" si="61"/>
        <v>15.85</v>
      </c>
    </row>
    <row r="299" spans="3:11">
      <c r="C299" s="2" t="s">
        <v>234</v>
      </c>
      <c r="E299" s="3">
        <v>83552774.820000023</v>
      </c>
      <c r="F299" s="3">
        <v>-0.17999997735023499</v>
      </c>
      <c r="G299" s="3">
        <v>83552775</v>
      </c>
      <c r="H299" s="4">
        <f t="shared" si="60"/>
        <v>-0.17999997735023499</v>
      </c>
      <c r="I299" s="4">
        <f t="shared" si="61"/>
        <v>83552774.820000023</v>
      </c>
    </row>
    <row r="300" spans="3:11">
      <c r="C300" s="2" t="s">
        <v>235</v>
      </c>
      <c r="E300" s="3">
        <v>167304.17000000001</v>
      </c>
      <c r="F300" s="3">
        <v>0.17000000001280569</v>
      </c>
      <c r="G300" s="3">
        <v>167304</v>
      </c>
      <c r="H300" s="4">
        <f t="shared" si="60"/>
        <v>0.17000000001280569</v>
      </c>
      <c r="I300" s="4">
        <f t="shared" si="61"/>
        <v>167304.17000000001</v>
      </c>
    </row>
    <row r="301" spans="3:11">
      <c r="C301" s="2" t="s">
        <v>236</v>
      </c>
      <c r="E301" s="3">
        <v>98580</v>
      </c>
      <c r="F301" s="3">
        <v>1479</v>
      </c>
      <c r="G301" s="3">
        <v>97101</v>
      </c>
      <c r="H301" s="4">
        <f t="shared" si="60"/>
        <v>1479</v>
      </c>
      <c r="I301" s="4">
        <f t="shared" si="61"/>
        <v>98580</v>
      </c>
    </row>
    <row r="302" spans="3:11">
      <c r="C302" s="2" t="s">
        <v>408</v>
      </c>
      <c r="E302" s="3">
        <v>-688801.43000000017</v>
      </c>
      <c r="F302" s="3">
        <v>-688801.43000000017</v>
      </c>
      <c r="G302" s="3">
        <v>0</v>
      </c>
      <c r="H302" s="4">
        <v>0</v>
      </c>
      <c r="I302" s="4">
        <v>0</v>
      </c>
      <c r="J302" s="4">
        <f>+E302-I302</f>
        <v>-688801.43000000017</v>
      </c>
      <c r="K302" s="2" t="s">
        <v>427</v>
      </c>
    </row>
    <row r="303" spans="3:11">
      <c r="C303" s="2" t="s">
        <v>237</v>
      </c>
      <c r="E303" s="3">
        <v>1106052.75</v>
      </c>
      <c r="F303" s="3">
        <v>16590.75</v>
      </c>
      <c r="G303" s="3">
        <v>1152078</v>
      </c>
      <c r="H303" s="4">
        <f t="shared" si="60"/>
        <v>16590.75</v>
      </c>
      <c r="I303" s="4">
        <f>+G303+H303</f>
        <v>1168668.75</v>
      </c>
      <c r="J303" s="4">
        <f>+E303-I303</f>
        <v>-62616</v>
      </c>
      <c r="K303" s="2" t="s">
        <v>426</v>
      </c>
    </row>
    <row r="304" spans="3:11">
      <c r="C304" s="2" t="s">
        <v>238</v>
      </c>
      <c r="E304" s="3">
        <v>250</v>
      </c>
      <c r="F304" s="3">
        <v>4</v>
      </c>
      <c r="G304" s="3">
        <v>246</v>
      </c>
      <c r="H304" s="4">
        <f t="shared" si="60"/>
        <v>4</v>
      </c>
      <c r="I304" s="4">
        <f t="shared" si="61"/>
        <v>250</v>
      </c>
    </row>
    <row r="305" spans="3:11">
      <c r="C305" s="2" t="s">
        <v>239</v>
      </c>
      <c r="E305" s="57">
        <f>+SUM(E293:E304)</f>
        <v>88933481.180000022</v>
      </c>
      <c r="F305" s="57">
        <f t="shared" ref="F305:I305" si="65">+SUM(F293:F304)</f>
        <v>-600268.81999997725</v>
      </c>
      <c r="G305" s="57">
        <f t="shared" si="65"/>
        <v>89596366</v>
      </c>
      <c r="H305" s="57">
        <f t="shared" si="65"/>
        <v>88532.610000022934</v>
      </c>
      <c r="I305" s="57">
        <f t="shared" si="65"/>
        <v>89684898.610000029</v>
      </c>
      <c r="J305" s="4">
        <f>+E305-I305</f>
        <v>-751417.43000000715</v>
      </c>
      <c r="K305" s="2" t="s">
        <v>424</v>
      </c>
    </row>
    <row r="306" spans="3:11">
      <c r="E306" s="3"/>
      <c r="F306" s="3"/>
      <c r="G306" s="3"/>
      <c r="H306" s="4">
        <f t="shared" si="60"/>
        <v>0</v>
      </c>
      <c r="I306" s="4">
        <f t="shared" si="61"/>
        <v>0</v>
      </c>
      <c r="J306" s="4"/>
    </row>
    <row r="307" spans="3:11">
      <c r="C307" s="2" t="s">
        <v>240</v>
      </c>
      <c r="E307" s="3"/>
      <c r="F307" s="3"/>
      <c r="G307" s="3"/>
      <c r="H307" s="4">
        <f t="shared" si="60"/>
        <v>0</v>
      </c>
      <c r="I307" s="4">
        <f t="shared" si="61"/>
        <v>0</v>
      </c>
    </row>
    <row r="308" spans="3:11">
      <c r="C308" s="2" t="s">
        <v>241</v>
      </c>
      <c r="E308" s="3">
        <v>15020.86</v>
      </c>
      <c r="F308" s="3">
        <v>224.86000000000058</v>
      </c>
      <c r="G308" s="3">
        <v>14796</v>
      </c>
      <c r="H308" s="4">
        <f t="shared" si="60"/>
        <v>224.86000000000058</v>
      </c>
      <c r="I308" s="4">
        <f t="shared" si="61"/>
        <v>15020.86</v>
      </c>
    </row>
    <row r="309" spans="3:11">
      <c r="C309" s="2" t="s">
        <v>242</v>
      </c>
      <c r="E309" s="3">
        <v>223521.62</v>
      </c>
      <c r="F309" s="3">
        <v>3352.6199999999953</v>
      </c>
      <c r="G309" s="3">
        <v>220169</v>
      </c>
      <c r="H309" s="4">
        <f t="shared" si="60"/>
        <v>3352.6199999999953</v>
      </c>
      <c r="I309" s="4">
        <f t="shared" si="61"/>
        <v>223521.62</v>
      </c>
    </row>
    <row r="310" spans="3:11">
      <c r="C310" s="2" t="s">
        <v>243</v>
      </c>
      <c r="E310" s="3">
        <v>513673.12</v>
      </c>
      <c r="F310" s="3">
        <v>7705.1199999999953</v>
      </c>
      <c r="G310" s="3">
        <v>505968</v>
      </c>
      <c r="H310" s="4">
        <f t="shared" si="60"/>
        <v>7705.1199999999953</v>
      </c>
      <c r="I310" s="4">
        <f t="shared" si="61"/>
        <v>513673.12</v>
      </c>
    </row>
    <row r="311" spans="3:11">
      <c r="C311" s="2" t="s">
        <v>244</v>
      </c>
      <c r="E311" s="3">
        <v>5877447.3799999999</v>
      </c>
      <c r="F311" s="3">
        <v>88161.379999999888</v>
      </c>
      <c r="G311" s="3">
        <v>5789286</v>
      </c>
      <c r="H311" s="4">
        <f t="shared" si="60"/>
        <v>88161.379999999888</v>
      </c>
      <c r="I311" s="4">
        <f t="shared" si="61"/>
        <v>5877447.3799999999</v>
      </c>
    </row>
    <row r="312" spans="3:11">
      <c r="C312" s="2" t="s">
        <v>245</v>
      </c>
      <c r="E312" s="3">
        <v>117.13999999999999</v>
      </c>
      <c r="F312" s="3">
        <v>2.1399999999999864</v>
      </c>
      <c r="G312" s="3">
        <v>115</v>
      </c>
      <c r="H312" s="4">
        <f t="shared" si="60"/>
        <v>2.1399999999999864</v>
      </c>
      <c r="I312" s="4">
        <f t="shared" si="61"/>
        <v>117.13999999999999</v>
      </c>
    </row>
    <row r="313" spans="3:11">
      <c r="C313" s="2" t="s">
        <v>246</v>
      </c>
      <c r="E313" s="3">
        <v>9240.2800000000007</v>
      </c>
      <c r="F313" s="3">
        <v>138.28000000000065</v>
      </c>
      <c r="G313" s="3">
        <v>9102</v>
      </c>
      <c r="H313" s="4">
        <f t="shared" si="60"/>
        <v>138.28000000000065</v>
      </c>
      <c r="I313" s="4">
        <f t="shared" si="61"/>
        <v>9240.2800000000007</v>
      </c>
    </row>
    <row r="314" spans="3:11">
      <c r="C314" s="2" t="s">
        <v>247</v>
      </c>
      <c r="E314" s="3">
        <v>1399065.02</v>
      </c>
      <c r="F314" s="3">
        <v>20986.020000000019</v>
      </c>
      <c r="G314" s="3">
        <v>1378079</v>
      </c>
      <c r="H314" s="4">
        <f t="shared" si="60"/>
        <v>20986.020000000019</v>
      </c>
      <c r="I314" s="4">
        <f t="shared" si="61"/>
        <v>1399065.02</v>
      </c>
    </row>
    <row r="315" spans="3:11">
      <c r="C315" s="2" t="s">
        <v>248</v>
      </c>
      <c r="E315" s="57">
        <f>+SUM(E308:E314)</f>
        <v>8038085.4199999999</v>
      </c>
      <c r="F315" s="57">
        <f t="shared" ref="F315:I315" si="66">+SUM(F308:F314)</f>
        <v>120570.4199999999</v>
      </c>
      <c r="G315" s="57">
        <f t="shared" si="66"/>
        <v>7917515</v>
      </c>
      <c r="H315" s="57">
        <f t="shared" si="66"/>
        <v>120570.4199999999</v>
      </c>
      <c r="I315" s="57">
        <f t="shared" si="66"/>
        <v>8038085.4199999999</v>
      </c>
      <c r="J315" s="4">
        <f>+E315-I315</f>
        <v>0</v>
      </c>
    </row>
    <row r="316" spans="3:11">
      <c r="E316" s="3"/>
      <c r="F316" s="3"/>
      <c r="G316" s="3"/>
      <c r="H316" s="4">
        <f t="shared" si="60"/>
        <v>0</v>
      </c>
      <c r="I316" s="4">
        <f t="shared" si="61"/>
        <v>0</v>
      </c>
    </row>
    <row r="317" spans="3:11">
      <c r="C317" s="2" t="s">
        <v>249</v>
      </c>
      <c r="E317" s="57">
        <f>+E315+E305</f>
        <v>96971566.600000024</v>
      </c>
      <c r="F317" s="57">
        <f t="shared" ref="F317:I317" si="67">+F315+F305</f>
        <v>-479698.39999997732</v>
      </c>
      <c r="G317" s="57">
        <f t="shared" si="67"/>
        <v>97513881</v>
      </c>
      <c r="H317" s="57">
        <f t="shared" si="67"/>
        <v>209103.03000002285</v>
      </c>
      <c r="I317" s="57">
        <f t="shared" si="67"/>
        <v>97722984.030000031</v>
      </c>
    </row>
    <row r="318" spans="3:11">
      <c r="E318" s="3"/>
      <c r="F318" s="3"/>
      <c r="G318" s="3"/>
      <c r="H318" s="4">
        <f t="shared" si="60"/>
        <v>0</v>
      </c>
      <c r="I318" s="4">
        <f t="shared" si="61"/>
        <v>0</v>
      </c>
    </row>
    <row r="319" spans="3:11">
      <c r="C319" s="2" t="s">
        <v>250</v>
      </c>
      <c r="E319" s="3"/>
      <c r="F319" s="3"/>
      <c r="G319" s="3"/>
      <c r="H319" s="4">
        <f t="shared" si="60"/>
        <v>0</v>
      </c>
      <c r="I319" s="4">
        <f t="shared" si="61"/>
        <v>0</v>
      </c>
    </row>
    <row r="320" spans="3:11">
      <c r="C320" s="2" t="s">
        <v>251</v>
      </c>
      <c r="E320" s="3">
        <v>1451741.1800000002</v>
      </c>
      <c r="F320" s="3">
        <v>1452.1800000001676</v>
      </c>
      <c r="G320" s="3">
        <v>1450289</v>
      </c>
      <c r="H320" s="4">
        <f t="shared" si="60"/>
        <v>1452.1800000001676</v>
      </c>
      <c r="I320" s="4">
        <f t="shared" si="61"/>
        <v>1451741.1800000002</v>
      </c>
    </row>
    <row r="321" spans="3:10">
      <c r="C321" s="2" t="s">
        <v>252</v>
      </c>
      <c r="E321" s="3">
        <v>2863.7200000000003</v>
      </c>
      <c r="F321" s="3">
        <v>2.7200000000002547</v>
      </c>
      <c r="G321" s="3">
        <v>2861</v>
      </c>
      <c r="H321" s="4">
        <f t="shared" si="60"/>
        <v>2.7200000000002547</v>
      </c>
      <c r="I321" s="4">
        <f t="shared" si="61"/>
        <v>2863.7200000000003</v>
      </c>
    </row>
    <row r="322" spans="3:10">
      <c r="C322" s="2" t="s">
        <v>253</v>
      </c>
      <c r="E322" s="3">
        <v>370025.66000000003</v>
      </c>
      <c r="F322" s="3">
        <v>369.6600000000326</v>
      </c>
      <c r="G322" s="3">
        <v>369656</v>
      </c>
      <c r="H322" s="4">
        <f t="shared" si="60"/>
        <v>369.6600000000326</v>
      </c>
      <c r="I322" s="4">
        <f t="shared" si="61"/>
        <v>370025.66000000003</v>
      </c>
    </row>
    <row r="323" spans="3:10">
      <c r="C323" s="2" t="s">
        <v>254</v>
      </c>
      <c r="E323" s="3">
        <v>723606.94000000006</v>
      </c>
      <c r="F323" s="3">
        <v>723.94000000006054</v>
      </c>
      <c r="G323" s="3">
        <v>722883</v>
      </c>
      <c r="H323" s="4">
        <f t="shared" si="60"/>
        <v>723.94000000006054</v>
      </c>
      <c r="I323" s="4">
        <f t="shared" si="61"/>
        <v>723606.94000000006</v>
      </c>
    </row>
    <row r="324" spans="3:10">
      <c r="C324" s="2" t="s">
        <v>255</v>
      </c>
      <c r="E324" s="3">
        <v>362840.37</v>
      </c>
      <c r="F324" s="3">
        <v>362.36999999999534</v>
      </c>
      <c r="G324" s="3">
        <v>362478</v>
      </c>
      <c r="H324" s="4">
        <f t="shared" si="60"/>
        <v>362.36999999999534</v>
      </c>
      <c r="I324" s="4">
        <f t="shared" si="61"/>
        <v>362840.37</v>
      </c>
    </row>
    <row r="325" spans="3:10">
      <c r="C325" s="2" t="s">
        <v>256</v>
      </c>
      <c r="E325" s="3">
        <v>32898.18</v>
      </c>
      <c r="F325" s="3">
        <v>33.180000000000291</v>
      </c>
      <c r="G325" s="3">
        <v>32865</v>
      </c>
      <c r="H325" s="4">
        <f t="shared" si="60"/>
        <v>33.180000000000291</v>
      </c>
      <c r="I325" s="4">
        <f t="shared" si="61"/>
        <v>32898.18</v>
      </c>
    </row>
    <row r="326" spans="3:10">
      <c r="C326" s="2" t="s">
        <v>257</v>
      </c>
      <c r="E326" s="3">
        <v>1216051.4099999999</v>
      </c>
      <c r="F326" s="3">
        <v>1216.4099999999162</v>
      </c>
      <c r="G326" s="3">
        <v>1214835</v>
      </c>
      <c r="H326" s="4">
        <f t="shared" si="60"/>
        <v>1216.4099999999162</v>
      </c>
      <c r="I326" s="4">
        <f t="shared" si="61"/>
        <v>1216051.4099999999</v>
      </c>
    </row>
    <row r="327" spans="3:10">
      <c r="C327" s="2" t="s">
        <v>258</v>
      </c>
      <c r="E327" s="3">
        <v>159098.14000000001</v>
      </c>
      <c r="F327" s="3">
        <v>159.14000000001397</v>
      </c>
      <c r="G327" s="3">
        <v>158939</v>
      </c>
      <c r="H327" s="4">
        <f t="shared" si="60"/>
        <v>159.14000000001397</v>
      </c>
      <c r="I327" s="4">
        <f t="shared" si="61"/>
        <v>159098.14000000001</v>
      </c>
    </row>
    <row r="328" spans="3:10">
      <c r="C328" s="2" t="s">
        <v>259</v>
      </c>
      <c r="E328" s="3">
        <v>5777410.3990000002</v>
      </c>
      <c r="F328" s="3">
        <v>5777.3990000002086</v>
      </c>
      <c r="G328" s="3">
        <v>5771633</v>
      </c>
      <c r="H328" s="4">
        <f t="shared" si="60"/>
        <v>5777.3990000002086</v>
      </c>
      <c r="I328" s="4">
        <f t="shared" si="61"/>
        <v>5777410.3990000002</v>
      </c>
    </row>
    <row r="329" spans="3:10">
      <c r="C329" s="2" t="s">
        <v>260</v>
      </c>
      <c r="E329" s="3">
        <v>1105284.1499999999</v>
      </c>
      <c r="F329" s="3">
        <v>1105.1499999999069</v>
      </c>
      <c r="G329" s="3">
        <v>1104179</v>
      </c>
      <c r="H329" s="4">
        <f t="shared" si="60"/>
        <v>1105.1499999999069</v>
      </c>
      <c r="I329" s="4">
        <f t="shared" si="61"/>
        <v>1105284.1499999999</v>
      </c>
    </row>
    <row r="330" spans="3:10">
      <c r="C330" s="2" t="s">
        <v>261</v>
      </c>
      <c r="E330" s="57">
        <f>+SUM(E320:E329)</f>
        <v>11201820.149</v>
      </c>
      <c r="F330" s="57">
        <f t="shared" ref="F330:I330" si="68">+SUM(F320:F329)</f>
        <v>11202.149000000303</v>
      </c>
      <c r="G330" s="57">
        <f t="shared" si="68"/>
        <v>11190618</v>
      </c>
      <c r="H330" s="57">
        <f t="shared" si="68"/>
        <v>11202.149000000303</v>
      </c>
      <c r="I330" s="57">
        <f t="shared" si="68"/>
        <v>11201820.149</v>
      </c>
      <c r="J330" s="4">
        <f>+E330-I330</f>
        <v>0</v>
      </c>
    </row>
    <row r="331" spans="3:10">
      <c r="E331" s="3"/>
      <c r="F331" s="3"/>
      <c r="G331" s="3"/>
      <c r="H331" s="4">
        <f t="shared" si="60"/>
        <v>0</v>
      </c>
      <c r="I331" s="4">
        <f t="shared" si="61"/>
        <v>0</v>
      </c>
    </row>
    <row r="332" spans="3:10">
      <c r="C332" s="2" t="s">
        <v>262</v>
      </c>
      <c r="E332" s="3">
        <v>57090.82</v>
      </c>
      <c r="F332" s="3">
        <v>56.819999999999709</v>
      </c>
      <c r="G332" s="3">
        <v>57034</v>
      </c>
      <c r="H332" s="4">
        <f t="shared" si="60"/>
        <v>56.819999999999709</v>
      </c>
      <c r="I332" s="4">
        <f t="shared" si="61"/>
        <v>57090.82</v>
      </c>
    </row>
    <row r="333" spans="3:10">
      <c r="C333" s="2" t="s">
        <v>263</v>
      </c>
      <c r="E333" s="3">
        <v>14905.810000000001</v>
      </c>
      <c r="F333" s="3">
        <v>14.81000000000131</v>
      </c>
      <c r="G333" s="3">
        <v>14891</v>
      </c>
      <c r="H333" s="4">
        <f t="shared" si="60"/>
        <v>14.81000000000131</v>
      </c>
      <c r="I333" s="4">
        <f t="shared" si="61"/>
        <v>14905.810000000001</v>
      </c>
    </row>
    <row r="334" spans="3:10">
      <c r="C334" s="2" t="s">
        <v>264</v>
      </c>
      <c r="E334" s="3">
        <v>952821.98</v>
      </c>
      <c r="F334" s="3">
        <v>952.97999999998137</v>
      </c>
      <c r="G334" s="3">
        <v>951869</v>
      </c>
      <c r="H334" s="4">
        <f t="shared" si="60"/>
        <v>952.97999999998137</v>
      </c>
      <c r="I334" s="4">
        <f t="shared" si="61"/>
        <v>952821.98</v>
      </c>
    </row>
    <row r="335" spans="3:10">
      <c r="C335" s="2" t="s">
        <v>265</v>
      </c>
      <c r="E335" s="3">
        <v>29277229.737999998</v>
      </c>
      <c r="F335" s="3">
        <v>29276.737999998033</v>
      </c>
      <c r="G335" s="3">
        <v>29247953</v>
      </c>
      <c r="H335" s="4">
        <f t="shared" si="60"/>
        <v>29276.737999998033</v>
      </c>
      <c r="I335" s="4">
        <f t="shared" si="61"/>
        <v>29277229.737999998</v>
      </c>
    </row>
    <row r="336" spans="3:10">
      <c r="C336" s="2" t="s">
        <v>266</v>
      </c>
      <c r="E336" s="3">
        <v>0</v>
      </c>
      <c r="F336" s="3">
        <v>0</v>
      </c>
      <c r="G336" s="3">
        <v>0</v>
      </c>
      <c r="H336" s="4">
        <f t="shared" si="60"/>
        <v>0</v>
      </c>
      <c r="I336" s="4">
        <f t="shared" si="61"/>
        <v>0</v>
      </c>
    </row>
    <row r="337" spans="3:10">
      <c r="C337" s="2" t="s">
        <v>267</v>
      </c>
      <c r="E337" s="3">
        <v>400808.07</v>
      </c>
      <c r="F337" s="3">
        <v>401.07000000000698</v>
      </c>
      <c r="G337" s="3">
        <v>400407</v>
      </c>
      <c r="H337" s="4">
        <f t="shared" si="60"/>
        <v>401.07000000000698</v>
      </c>
      <c r="I337" s="4">
        <f t="shared" si="61"/>
        <v>400808.07</v>
      </c>
    </row>
    <row r="338" spans="3:10">
      <c r="C338" s="2" t="s">
        <v>268</v>
      </c>
      <c r="E338" s="3">
        <v>33645.07</v>
      </c>
      <c r="F338" s="3">
        <v>34.069999999999709</v>
      </c>
      <c r="G338" s="3">
        <v>33611</v>
      </c>
      <c r="H338" s="4">
        <f t="shared" si="60"/>
        <v>34.069999999999709</v>
      </c>
      <c r="I338" s="4">
        <f t="shared" si="61"/>
        <v>33645.07</v>
      </c>
    </row>
    <row r="339" spans="3:10">
      <c r="C339" s="2" t="s">
        <v>269</v>
      </c>
      <c r="E339" s="3">
        <v>7710.4000000000005</v>
      </c>
      <c r="F339" s="3">
        <v>7.4000000000005457</v>
      </c>
      <c r="G339" s="3">
        <v>7703</v>
      </c>
      <c r="H339" s="4">
        <f t="shared" si="60"/>
        <v>7.4000000000005457</v>
      </c>
      <c r="I339" s="4">
        <f t="shared" si="61"/>
        <v>7710.4000000000005</v>
      </c>
    </row>
    <row r="340" spans="3:10">
      <c r="C340" s="2" t="s">
        <v>270</v>
      </c>
      <c r="E340" s="3">
        <v>7686.97</v>
      </c>
      <c r="F340" s="3">
        <v>7.9700000000002547</v>
      </c>
      <c r="G340" s="3">
        <v>7679</v>
      </c>
      <c r="H340" s="4">
        <f t="shared" si="60"/>
        <v>7.9700000000002547</v>
      </c>
      <c r="I340" s="4">
        <f t="shared" si="61"/>
        <v>7686.97</v>
      </c>
    </row>
    <row r="341" spans="3:10">
      <c r="C341" s="2" t="s">
        <v>271</v>
      </c>
      <c r="E341" s="3">
        <v>41552.770000000004</v>
      </c>
      <c r="F341" s="3">
        <v>41.770000000004075</v>
      </c>
      <c r="G341" s="3">
        <v>41511</v>
      </c>
      <c r="H341" s="4">
        <f t="shared" ref="H341:H395" si="69">+F341</f>
        <v>41.770000000004075</v>
      </c>
      <c r="I341" s="4">
        <f t="shared" ref="I341:I395" si="70">+G341+H341</f>
        <v>41552.770000000004</v>
      </c>
    </row>
    <row r="342" spans="3:10">
      <c r="C342" s="2" t="s">
        <v>272</v>
      </c>
      <c r="E342" s="3">
        <v>27546.43</v>
      </c>
      <c r="F342" s="3">
        <v>27.430000000000291</v>
      </c>
      <c r="G342" s="3">
        <v>27519</v>
      </c>
      <c r="H342" s="4">
        <f t="shared" si="69"/>
        <v>27.430000000000291</v>
      </c>
      <c r="I342" s="4">
        <f t="shared" si="70"/>
        <v>27546.43</v>
      </c>
    </row>
    <row r="343" spans="3:10">
      <c r="C343" s="2" t="s">
        <v>273</v>
      </c>
      <c r="E343" s="57">
        <f>+SUM(E332:E342)</f>
        <v>30820998.057999995</v>
      </c>
      <c r="F343" s="57">
        <f t="shared" ref="F343:I343" si="71">+SUM(F332:F342)</f>
        <v>30821.057999998029</v>
      </c>
      <c r="G343" s="57">
        <f t="shared" si="71"/>
        <v>30790177</v>
      </c>
      <c r="H343" s="57">
        <f t="shared" si="71"/>
        <v>30821.057999998029</v>
      </c>
      <c r="I343" s="57">
        <f t="shared" si="71"/>
        <v>30820998.057999995</v>
      </c>
      <c r="J343" s="4">
        <f>+E343-I343</f>
        <v>0</v>
      </c>
    </row>
    <row r="344" spans="3:10">
      <c r="E344" s="3"/>
      <c r="F344" s="3"/>
      <c r="G344" s="3"/>
      <c r="H344" s="4">
        <f t="shared" si="69"/>
        <v>0</v>
      </c>
      <c r="I344" s="4">
        <f t="shared" si="70"/>
        <v>0</v>
      </c>
    </row>
    <row r="345" spans="3:10">
      <c r="C345" s="2" t="s">
        <v>274</v>
      </c>
      <c r="E345" s="57">
        <f>+E343+E330</f>
        <v>42022818.206999995</v>
      </c>
      <c r="F345" s="57">
        <f t="shared" ref="F345:I345" si="72">+F343+F330</f>
        <v>42023.206999998336</v>
      </c>
      <c r="G345" s="57">
        <f t="shared" si="72"/>
        <v>41980795</v>
      </c>
      <c r="H345" s="57">
        <f t="shared" si="72"/>
        <v>42023.206999998336</v>
      </c>
      <c r="I345" s="57">
        <f t="shared" si="72"/>
        <v>42022818.206999995</v>
      </c>
    </row>
    <row r="346" spans="3:10">
      <c r="E346" s="3"/>
      <c r="F346" s="3"/>
      <c r="G346" s="3"/>
    </row>
    <row r="347" spans="3:10">
      <c r="C347" s="2" t="s">
        <v>275</v>
      </c>
      <c r="E347" s="3"/>
      <c r="F347" s="3"/>
      <c r="G347" s="3"/>
      <c r="H347" s="4">
        <f t="shared" si="69"/>
        <v>0</v>
      </c>
      <c r="I347" s="4">
        <f t="shared" si="70"/>
        <v>0</v>
      </c>
    </row>
    <row r="348" spans="3:10">
      <c r="C348" s="2" t="s">
        <v>276</v>
      </c>
      <c r="E348" s="3">
        <v>19725.86</v>
      </c>
      <c r="F348" s="3">
        <v>-0.13999999999941792</v>
      </c>
      <c r="G348" s="3">
        <v>19726</v>
      </c>
      <c r="H348" s="4">
        <f t="shared" si="69"/>
        <v>-0.13999999999941792</v>
      </c>
      <c r="I348" s="4">
        <f t="shared" si="70"/>
        <v>19725.86</v>
      </c>
    </row>
    <row r="349" spans="3:10">
      <c r="C349" s="2" t="s">
        <v>277</v>
      </c>
      <c r="E349" s="3">
        <v>377832.44000000006</v>
      </c>
      <c r="F349" s="3">
        <v>4.440000000060536</v>
      </c>
      <c r="G349" s="3">
        <v>377828</v>
      </c>
      <c r="H349" s="4">
        <f t="shared" si="69"/>
        <v>4.440000000060536</v>
      </c>
      <c r="I349" s="4">
        <f t="shared" si="70"/>
        <v>377832.44000000006</v>
      </c>
    </row>
    <row r="350" spans="3:10">
      <c r="C350" s="2" t="s">
        <v>278</v>
      </c>
      <c r="E350" s="3">
        <v>4647076.08</v>
      </c>
      <c r="F350" s="3">
        <v>57.080000000074506</v>
      </c>
      <c r="G350" s="3">
        <v>4647019</v>
      </c>
      <c r="H350" s="4">
        <f t="shared" si="69"/>
        <v>57.080000000074506</v>
      </c>
      <c r="I350" s="4">
        <f t="shared" si="70"/>
        <v>4647076.08</v>
      </c>
    </row>
    <row r="351" spans="3:10">
      <c r="C351" s="2" t="s">
        <v>279</v>
      </c>
      <c r="E351" s="3">
        <v>0</v>
      </c>
      <c r="F351" s="3">
        <v>0</v>
      </c>
      <c r="G351" s="3">
        <v>0</v>
      </c>
      <c r="H351" s="4">
        <f t="shared" si="69"/>
        <v>0</v>
      </c>
      <c r="I351" s="4">
        <f t="shared" si="70"/>
        <v>0</v>
      </c>
    </row>
    <row r="352" spans="3:10">
      <c r="C352" s="2" t="s">
        <v>280</v>
      </c>
      <c r="E352" s="3">
        <v>-57939.54</v>
      </c>
      <c r="F352" s="3">
        <v>-0.54000000000087311</v>
      </c>
      <c r="G352" s="3">
        <v>-57939</v>
      </c>
      <c r="H352" s="4">
        <f t="shared" si="69"/>
        <v>-0.54000000000087311</v>
      </c>
      <c r="I352" s="4">
        <f t="shared" si="70"/>
        <v>-57939.54</v>
      </c>
    </row>
    <row r="353" spans="3:16">
      <c r="C353" s="2" t="s">
        <v>281</v>
      </c>
      <c r="E353" s="3">
        <v>23591.24</v>
      </c>
      <c r="F353" s="3">
        <v>0.24000000000160071</v>
      </c>
      <c r="G353" s="3">
        <v>23591</v>
      </c>
      <c r="H353" s="4">
        <f t="shared" si="69"/>
        <v>0.24000000000160071</v>
      </c>
      <c r="I353" s="4">
        <f t="shared" si="70"/>
        <v>23591.24</v>
      </c>
    </row>
    <row r="354" spans="3:16">
      <c r="C354" s="2" t="s">
        <v>282</v>
      </c>
      <c r="E354" s="57">
        <f>+SUM(E348:E353)</f>
        <v>5010286.08</v>
      </c>
      <c r="F354" s="57">
        <f t="shared" ref="F354:I354" si="73">+SUM(F348:F353)</f>
        <v>61.080000000136351</v>
      </c>
      <c r="G354" s="57">
        <f t="shared" si="73"/>
        <v>5010225</v>
      </c>
      <c r="H354" s="57">
        <f t="shared" si="73"/>
        <v>61.080000000136351</v>
      </c>
      <c r="I354" s="57">
        <f t="shared" si="73"/>
        <v>5010286.08</v>
      </c>
      <c r="J354" s="4">
        <f>+E354-I354</f>
        <v>0</v>
      </c>
    </row>
    <row r="355" spans="3:16">
      <c r="E355" s="3"/>
      <c r="F355" s="3"/>
      <c r="G355" s="3"/>
      <c r="H355" s="4">
        <f t="shared" si="69"/>
        <v>0</v>
      </c>
      <c r="I355" s="4">
        <f t="shared" si="70"/>
        <v>0</v>
      </c>
    </row>
    <row r="356" spans="3:16">
      <c r="C356" s="2" t="s">
        <v>283</v>
      </c>
      <c r="E356" s="3"/>
      <c r="F356" s="3"/>
      <c r="G356" s="3"/>
      <c r="H356" s="4">
        <f t="shared" si="69"/>
        <v>0</v>
      </c>
      <c r="I356" s="4">
        <f t="shared" si="70"/>
        <v>0</v>
      </c>
    </row>
    <row r="357" spans="3:16">
      <c r="C357" s="2" t="s">
        <v>284</v>
      </c>
      <c r="E357" s="3">
        <v>33552.620000000003</v>
      </c>
      <c r="F357" s="3">
        <v>0.62000000000261934</v>
      </c>
      <c r="G357" s="3">
        <v>33552</v>
      </c>
      <c r="H357" s="4">
        <f t="shared" si="69"/>
        <v>0.62000000000261934</v>
      </c>
      <c r="I357" s="4">
        <f t="shared" si="70"/>
        <v>33552.620000000003</v>
      </c>
    </row>
    <row r="358" spans="3:16">
      <c r="C358" s="2" t="s">
        <v>285</v>
      </c>
      <c r="E358" s="3">
        <v>1718933.79</v>
      </c>
      <c r="F358" s="3">
        <v>20.790000000037253</v>
      </c>
      <c r="G358" s="3">
        <v>1718931</v>
      </c>
      <c r="H358" s="4">
        <f t="shared" si="69"/>
        <v>20.790000000037253</v>
      </c>
      <c r="I358" s="4">
        <f t="shared" si="70"/>
        <v>1718951.79</v>
      </c>
    </row>
    <row r="359" spans="3:16">
      <c r="C359" s="2" t="s">
        <v>286</v>
      </c>
      <c r="E359" s="3">
        <v>0</v>
      </c>
      <c r="F359" s="3">
        <v>0</v>
      </c>
      <c r="G359" s="3">
        <v>0</v>
      </c>
      <c r="H359" s="4">
        <f t="shared" si="69"/>
        <v>0</v>
      </c>
      <c r="I359" s="4">
        <f t="shared" si="70"/>
        <v>0</v>
      </c>
    </row>
    <row r="360" spans="3:16">
      <c r="C360" s="2" t="s">
        <v>287</v>
      </c>
      <c r="E360" s="3">
        <v>23919.599999999999</v>
      </c>
      <c r="F360" s="3">
        <v>0.59999999999854481</v>
      </c>
      <c r="G360" s="3">
        <v>23919</v>
      </c>
      <c r="H360" s="4">
        <f t="shared" si="69"/>
        <v>0.59999999999854481</v>
      </c>
      <c r="I360" s="4">
        <f t="shared" si="70"/>
        <v>23919.599999999999</v>
      </c>
    </row>
    <row r="361" spans="3:16">
      <c r="C361" s="2" t="s">
        <v>288</v>
      </c>
      <c r="E361" s="57">
        <f>+SUM(E357:E360)</f>
        <v>1776406.0100000002</v>
      </c>
      <c r="F361" s="57">
        <f t="shared" ref="F361:I361" si="74">+SUM(F357:F360)</f>
        <v>22.010000000038417</v>
      </c>
      <c r="G361" s="57">
        <f t="shared" si="74"/>
        <v>1776402</v>
      </c>
      <c r="H361" s="57">
        <f t="shared" si="74"/>
        <v>22.010000000038417</v>
      </c>
      <c r="I361" s="57">
        <f t="shared" si="74"/>
        <v>1776424.0100000002</v>
      </c>
      <c r="J361" s="4">
        <f>+E361-I361</f>
        <v>-18</v>
      </c>
      <c r="M361" s="6" t="s">
        <v>428</v>
      </c>
      <c r="P361" s="59"/>
    </row>
    <row r="362" spans="3:16">
      <c r="E362" s="3"/>
      <c r="F362" s="3"/>
      <c r="G362" s="3"/>
      <c r="H362" s="4">
        <f t="shared" si="69"/>
        <v>0</v>
      </c>
      <c r="I362" s="4">
        <f t="shared" si="70"/>
        <v>0</v>
      </c>
    </row>
    <row r="363" spans="3:16">
      <c r="C363" s="2" t="s">
        <v>289</v>
      </c>
      <c r="E363" s="3"/>
      <c r="F363" s="3"/>
      <c r="G363" s="3"/>
      <c r="H363" s="4">
        <f t="shared" si="69"/>
        <v>0</v>
      </c>
      <c r="I363" s="4">
        <f t="shared" si="70"/>
        <v>0</v>
      </c>
    </row>
    <row r="364" spans="3:16">
      <c r="C364" s="2" t="s">
        <v>290</v>
      </c>
      <c r="E364" s="3">
        <v>0</v>
      </c>
      <c r="F364" s="3">
        <v>0</v>
      </c>
      <c r="G364" s="3">
        <v>0</v>
      </c>
      <c r="H364" s="4">
        <f t="shared" si="69"/>
        <v>0</v>
      </c>
      <c r="I364" s="4">
        <f t="shared" si="70"/>
        <v>0</v>
      </c>
    </row>
    <row r="365" spans="3:16">
      <c r="C365" s="2" t="s">
        <v>291</v>
      </c>
      <c r="E365" s="3">
        <v>9329.2200000000012</v>
      </c>
      <c r="F365" s="3">
        <v>0.11421320356203069</v>
      </c>
      <c r="G365" s="3">
        <v>9329.1057867964391</v>
      </c>
      <c r="H365" s="4">
        <f t="shared" si="69"/>
        <v>0.11421320356203069</v>
      </c>
      <c r="I365" s="4">
        <f t="shared" si="70"/>
        <v>9329.2200000000012</v>
      </c>
    </row>
    <row r="366" spans="3:16">
      <c r="C366" s="2" t="s">
        <v>292</v>
      </c>
      <c r="E366" s="3">
        <v>0</v>
      </c>
      <c r="F366" s="3">
        <v>0</v>
      </c>
      <c r="G366" s="3">
        <v>0</v>
      </c>
      <c r="H366" s="4">
        <f t="shared" si="69"/>
        <v>0</v>
      </c>
      <c r="I366" s="4">
        <f t="shared" si="70"/>
        <v>0</v>
      </c>
    </row>
    <row r="367" spans="3:16">
      <c r="C367" s="2" t="s">
        <v>293</v>
      </c>
      <c r="E367" s="3">
        <v>0</v>
      </c>
      <c r="F367" s="3">
        <v>0</v>
      </c>
      <c r="G367" s="3">
        <v>0</v>
      </c>
      <c r="H367" s="4">
        <f t="shared" si="69"/>
        <v>0</v>
      </c>
      <c r="I367" s="4">
        <f t="shared" si="70"/>
        <v>0</v>
      </c>
    </row>
    <row r="368" spans="3:16">
      <c r="C368" s="2" t="s">
        <v>294</v>
      </c>
      <c r="E368" s="57">
        <f>+SUM(E364:E367)</f>
        <v>9329.2200000000012</v>
      </c>
      <c r="F368" s="57">
        <f t="shared" ref="F368:I368" si="75">+SUM(F364:F367)</f>
        <v>0.11421320356203069</v>
      </c>
      <c r="G368" s="57">
        <f t="shared" si="75"/>
        <v>9329.1057867964391</v>
      </c>
      <c r="H368" s="57">
        <f t="shared" si="75"/>
        <v>0.11421320356203069</v>
      </c>
      <c r="I368" s="57">
        <f t="shared" si="75"/>
        <v>9329.2200000000012</v>
      </c>
      <c r="J368" s="4">
        <f>+E368-I368</f>
        <v>0</v>
      </c>
    </row>
    <row r="369" spans="3:10">
      <c r="E369" s="3"/>
      <c r="F369" s="3"/>
      <c r="G369" s="3"/>
      <c r="H369" s="4">
        <f t="shared" si="69"/>
        <v>0</v>
      </c>
      <c r="I369" s="4">
        <f t="shared" si="70"/>
        <v>0</v>
      </c>
    </row>
    <row r="370" spans="3:10">
      <c r="C370" s="2" t="s">
        <v>295</v>
      </c>
      <c r="E370" s="3"/>
      <c r="F370" s="3"/>
      <c r="G370" s="3"/>
      <c r="H370" s="4">
        <f t="shared" si="69"/>
        <v>0</v>
      </c>
      <c r="I370" s="4">
        <f t="shared" si="70"/>
        <v>0</v>
      </c>
    </row>
    <row r="371" spans="3:10">
      <c r="C371" s="2" t="s">
        <v>296</v>
      </c>
      <c r="E371" s="3">
        <v>12085338.379999999</v>
      </c>
      <c r="F371" s="3">
        <v>169194.37999999896</v>
      </c>
      <c r="G371" s="3">
        <v>11916144</v>
      </c>
      <c r="H371" s="4">
        <f t="shared" si="69"/>
        <v>169194.37999999896</v>
      </c>
      <c r="I371" s="4">
        <f t="shared" si="70"/>
        <v>12085338.379999999</v>
      </c>
    </row>
    <row r="372" spans="3:10">
      <c r="C372" s="2" t="s">
        <v>297</v>
      </c>
      <c r="E372" s="3">
        <v>851202.11</v>
      </c>
      <c r="F372" s="3">
        <v>11917.109999999986</v>
      </c>
      <c r="G372" s="3">
        <v>839285</v>
      </c>
      <c r="H372" s="4">
        <f t="shared" si="69"/>
        <v>11917.109999999986</v>
      </c>
      <c r="I372" s="4">
        <f t="shared" si="70"/>
        <v>851202.11</v>
      </c>
    </row>
    <row r="373" spans="3:10">
      <c r="C373" s="2" t="s">
        <v>298</v>
      </c>
      <c r="E373" s="3">
        <v>-1721098.6</v>
      </c>
      <c r="F373" s="3">
        <v>-24095.380399999907</v>
      </c>
      <c r="G373" s="3">
        <v>-1697003.2196000002</v>
      </c>
      <c r="H373" s="4">
        <f t="shared" si="69"/>
        <v>-24095.380399999907</v>
      </c>
      <c r="I373" s="4">
        <f t="shared" si="70"/>
        <v>-1721098.6</v>
      </c>
    </row>
    <row r="374" spans="3:10">
      <c r="C374" s="2" t="s">
        <v>299</v>
      </c>
      <c r="E374" s="3">
        <v>5942942.2400000002</v>
      </c>
      <c r="F374" s="3">
        <v>83201.191360000521</v>
      </c>
      <c r="G374" s="3">
        <v>5859741.0486399997</v>
      </c>
      <c r="H374" s="4">
        <f t="shared" si="69"/>
        <v>83201.191360000521</v>
      </c>
      <c r="I374" s="4">
        <f t="shared" si="70"/>
        <v>5942942.2400000002</v>
      </c>
    </row>
    <row r="375" spans="3:10">
      <c r="C375" s="2" t="s">
        <v>300</v>
      </c>
      <c r="E375" s="3">
        <v>1112072.69</v>
      </c>
      <c r="F375" s="3">
        <v>15569.017660000129</v>
      </c>
      <c r="G375" s="3">
        <v>1096503.6723399998</v>
      </c>
      <c r="H375" s="4">
        <f t="shared" si="69"/>
        <v>15569.017660000129</v>
      </c>
      <c r="I375" s="4">
        <f t="shared" si="70"/>
        <v>1112072.69</v>
      </c>
    </row>
    <row r="376" spans="3:10">
      <c r="C376" s="2" t="s">
        <v>301</v>
      </c>
      <c r="E376" s="3">
        <v>1893284.88</v>
      </c>
      <c r="F376" s="3">
        <v>26505.988320000004</v>
      </c>
      <c r="G376" s="3">
        <v>1866778.8916799999</v>
      </c>
      <c r="H376" s="4">
        <f t="shared" si="69"/>
        <v>26505.988320000004</v>
      </c>
      <c r="I376" s="4">
        <f t="shared" si="70"/>
        <v>1893284.88</v>
      </c>
    </row>
    <row r="377" spans="3:10">
      <c r="C377" s="2" t="s">
        <v>302</v>
      </c>
      <c r="E377" s="3">
        <v>996411.95</v>
      </c>
      <c r="F377" s="3">
        <v>13949.767300000065</v>
      </c>
      <c r="G377" s="3">
        <v>982462.18269999989</v>
      </c>
      <c r="H377" s="4">
        <f t="shared" si="69"/>
        <v>13949.767300000065</v>
      </c>
      <c r="I377" s="4">
        <f t="shared" si="70"/>
        <v>996411.95</v>
      </c>
    </row>
    <row r="378" spans="3:10">
      <c r="C378" s="2" t="s">
        <v>303</v>
      </c>
      <c r="E378" s="3">
        <v>0</v>
      </c>
      <c r="F378" s="3">
        <v>0</v>
      </c>
      <c r="G378" s="3">
        <v>0</v>
      </c>
      <c r="H378" s="4">
        <f t="shared" si="69"/>
        <v>0</v>
      </c>
      <c r="I378" s="4">
        <f t="shared" si="70"/>
        <v>0</v>
      </c>
    </row>
    <row r="379" spans="3:10">
      <c r="C379" s="2" t="s">
        <v>304</v>
      </c>
      <c r="E379" s="3">
        <v>162570.53</v>
      </c>
      <c r="F379" s="3">
        <v>2275.9874199999904</v>
      </c>
      <c r="G379" s="3">
        <v>160294.54258000001</v>
      </c>
      <c r="H379" s="4">
        <f t="shared" si="69"/>
        <v>2275.9874199999904</v>
      </c>
      <c r="I379" s="4">
        <f t="shared" si="70"/>
        <v>162570.53</v>
      </c>
    </row>
    <row r="380" spans="3:10">
      <c r="C380" s="2" t="s">
        <v>305</v>
      </c>
      <c r="E380" s="3">
        <v>979706.19</v>
      </c>
      <c r="F380" s="3">
        <v>0.18999999994412065</v>
      </c>
      <c r="G380" s="3">
        <v>979706</v>
      </c>
      <c r="H380" s="4">
        <f t="shared" si="69"/>
        <v>0.18999999994412065</v>
      </c>
      <c r="I380" s="4">
        <f t="shared" si="70"/>
        <v>979706.19</v>
      </c>
    </row>
    <row r="381" spans="3:10">
      <c r="C381" s="2" t="s">
        <v>306</v>
      </c>
      <c r="E381" s="3">
        <v>2306638.44</v>
      </c>
      <c r="F381" s="3">
        <f>E381-G381</f>
        <v>16594.669999999925</v>
      </c>
      <c r="G381" s="3">
        <v>2290043.77</v>
      </c>
      <c r="H381" s="4">
        <v>0</v>
      </c>
      <c r="I381" s="4">
        <f t="shared" si="70"/>
        <v>2290043.77</v>
      </c>
      <c r="J381" s="2" t="s">
        <v>418</v>
      </c>
    </row>
    <row r="382" spans="3:10">
      <c r="C382" s="2" t="s">
        <v>307</v>
      </c>
      <c r="E382" s="3">
        <v>105335.46</v>
      </c>
      <c r="F382" s="3">
        <v>1474.6964399999997</v>
      </c>
      <c r="G382" s="3">
        <v>103860.76356000001</v>
      </c>
      <c r="H382" s="4">
        <f t="shared" si="69"/>
        <v>1474.6964399999997</v>
      </c>
      <c r="I382" s="4">
        <f t="shared" si="70"/>
        <v>105335.46</v>
      </c>
    </row>
    <row r="383" spans="3:10">
      <c r="C383" s="2" t="s">
        <v>308</v>
      </c>
      <c r="E383" s="3">
        <v>592234.80000000005</v>
      </c>
      <c r="F383" s="3">
        <v>8291.2872000000207</v>
      </c>
      <c r="G383" s="3">
        <v>583943.51280000003</v>
      </c>
      <c r="H383" s="4">
        <f t="shared" si="69"/>
        <v>8291.2872000000207</v>
      </c>
      <c r="I383" s="4">
        <f t="shared" si="70"/>
        <v>592234.80000000005</v>
      </c>
    </row>
    <row r="384" spans="3:10">
      <c r="C384" s="2" t="s">
        <v>309</v>
      </c>
      <c r="E384" s="3">
        <v>69509.84</v>
      </c>
      <c r="F384" s="3">
        <v>972.83999999999651</v>
      </c>
      <c r="G384" s="3">
        <v>68537</v>
      </c>
      <c r="H384" s="4">
        <f t="shared" si="69"/>
        <v>972.83999999999651</v>
      </c>
      <c r="I384" s="4">
        <f t="shared" si="70"/>
        <v>69509.84</v>
      </c>
    </row>
    <row r="385" spans="3:10">
      <c r="C385" s="2" t="s">
        <v>310</v>
      </c>
      <c r="E385" s="57">
        <f>+SUM(E371:E384)</f>
        <v>25376148.910000004</v>
      </c>
      <c r="F385" s="57">
        <f t="shared" ref="F385:I385" si="76">+SUM(F371:F384)</f>
        <v>325851.7452999996</v>
      </c>
      <c r="G385" s="57">
        <f t="shared" si="76"/>
        <v>25050297.164699998</v>
      </c>
      <c r="H385" s="57">
        <f t="shared" si="76"/>
        <v>309257.07529999968</v>
      </c>
      <c r="I385" s="57">
        <f t="shared" si="76"/>
        <v>25359554.240000002</v>
      </c>
      <c r="J385" s="4">
        <f>+E385-I385</f>
        <v>16594.670000001788</v>
      </c>
    </row>
    <row r="386" spans="3:10">
      <c r="E386" s="3"/>
      <c r="F386" s="3"/>
      <c r="G386" s="3"/>
      <c r="H386" s="4">
        <f t="shared" si="69"/>
        <v>0</v>
      </c>
      <c r="I386" s="4">
        <f t="shared" si="70"/>
        <v>0</v>
      </c>
    </row>
    <row r="387" spans="3:10">
      <c r="C387" s="2" t="s">
        <v>311</v>
      </c>
      <c r="E387" s="3">
        <v>2265242.65</v>
      </c>
      <c r="F387" s="3">
        <v>31713.397100000177</v>
      </c>
      <c r="G387" s="3">
        <v>2233529.2528999997</v>
      </c>
      <c r="H387" s="4">
        <f t="shared" si="69"/>
        <v>31713.397100000177</v>
      </c>
      <c r="I387" s="4">
        <f t="shared" si="70"/>
        <v>2265242.65</v>
      </c>
      <c r="J387" s="4">
        <f>+E387-I387</f>
        <v>0</v>
      </c>
    </row>
    <row r="388" spans="3:10">
      <c r="C388" s="2" t="s">
        <v>312</v>
      </c>
      <c r="E388" s="3">
        <v>0</v>
      </c>
      <c r="F388" s="3">
        <v>0</v>
      </c>
      <c r="G388" s="3">
        <v>0</v>
      </c>
      <c r="H388" s="4">
        <f t="shared" si="69"/>
        <v>0</v>
      </c>
      <c r="I388" s="4">
        <f t="shared" si="70"/>
        <v>0</v>
      </c>
    </row>
    <row r="389" spans="3:10">
      <c r="C389" s="2" t="s">
        <v>313</v>
      </c>
      <c r="E389" s="57">
        <f>+SUM(E387:E388)+E385</f>
        <v>27641391.560000002</v>
      </c>
      <c r="F389" s="57">
        <f t="shared" ref="F389:H389" si="77">+SUM(F387:F388)+F385</f>
        <v>357565.14239999978</v>
      </c>
      <c r="G389" s="57">
        <f t="shared" si="77"/>
        <v>27283826.417599998</v>
      </c>
      <c r="H389" s="57">
        <f t="shared" si="77"/>
        <v>340970.47239999985</v>
      </c>
      <c r="I389" s="57">
        <f>+SUM(I387:I388)+I385</f>
        <v>27624796.890000001</v>
      </c>
    </row>
    <row r="390" spans="3:10">
      <c r="E390" s="3"/>
      <c r="F390" s="3"/>
      <c r="G390" s="3"/>
      <c r="H390" s="4">
        <f t="shared" si="69"/>
        <v>0</v>
      </c>
      <c r="I390" s="4">
        <f t="shared" si="70"/>
        <v>0</v>
      </c>
    </row>
    <row r="391" spans="3:10">
      <c r="C391" s="2" t="s">
        <v>314</v>
      </c>
      <c r="E391" s="57">
        <f>E389+E368+E361+E354+E345+E317+E290</f>
        <v>477180425.20700002</v>
      </c>
      <c r="F391" s="57">
        <f t="shared" ref="F391:I391" si="78">F389+F368+F361+F354+F345+F317+F290</f>
        <v>4229486.6836132323</v>
      </c>
      <c r="G391" s="57">
        <f t="shared" si="78"/>
        <v>473005009.52338678</v>
      </c>
      <c r="H391" s="60">
        <f t="shared" si="78"/>
        <v>4901693.4436132321</v>
      </c>
      <c r="I391" s="60">
        <f t="shared" si="78"/>
        <v>477906702.96700001</v>
      </c>
    </row>
    <row r="392" spans="3:10">
      <c r="E392" s="3"/>
      <c r="F392" s="3"/>
      <c r="G392" s="3"/>
    </row>
    <row r="393" spans="3:10">
      <c r="C393" s="2" t="s">
        <v>315</v>
      </c>
      <c r="E393" s="3">
        <f>(E391-(E256+E257+E258+E259+E281+E282))-(E295+E299+E300+E301+E302+E314)</f>
        <v>127350385.55699997</v>
      </c>
      <c r="F393" s="3">
        <f t="shared" ref="F393:I393" si="79">(F391-(F256+F257+F258+F259+F281+F282))-(F295+F299+F300+F301+F302+F314)</f>
        <v>1149707.0336132031</v>
      </c>
      <c r="G393" s="3">
        <f t="shared" si="79"/>
        <v>126263312.52338678</v>
      </c>
      <c r="H393" s="4">
        <f t="shared" si="79"/>
        <v>1133112.3636132027</v>
      </c>
      <c r="I393" s="4">
        <f t="shared" si="79"/>
        <v>127396424.88699995</v>
      </c>
    </row>
    <row r="394" spans="3:10">
      <c r="E394" s="3"/>
      <c r="F394" s="3"/>
      <c r="G394" s="3"/>
      <c r="H394" s="4">
        <f t="shared" si="69"/>
        <v>0</v>
      </c>
      <c r="I394" s="4">
        <f t="shared" si="70"/>
        <v>0</v>
      </c>
    </row>
    <row r="395" spans="3:10">
      <c r="C395" s="2" t="s">
        <v>316</v>
      </c>
      <c r="E395" s="3"/>
      <c r="F395" s="3"/>
      <c r="G395" s="3"/>
      <c r="H395" s="4">
        <f t="shared" si="69"/>
        <v>0</v>
      </c>
      <c r="I395" s="4">
        <f t="shared" si="70"/>
        <v>0</v>
      </c>
    </row>
    <row r="396" spans="3:10">
      <c r="C396" s="2" t="s">
        <v>113</v>
      </c>
      <c r="E396" s="3">
        <v>36372558.359999999</v>
      </c>
      <c r="F396" s="3">
        <v>545588.3599999994</v>
      </c>
      <c r="G396" s="3">
        <v>35826970</v>
      </c>
      <c r="H396" s="4">
        <f t="shared" ref="H396:H450" si="80">+F396</f>
        <v>545588.3599999994</v>
      </c>
      <c r="I396" s="4">
        <f t="shared" ref="I396:I450" si="81">+G396+H396</f>
        <v>36372558.359999999</v>
      </c>
    </row>
    <row r="397" spans="3:10">
      <c r="C397" s="2" t="s">
        <v>317</v>
      </c>
      <c r="E397" s="3">
        <v>25079616.02</v>
      </c>
      <c r="F397" s="3">
        <v>376194.01999999955</v>
      </c>
      <c r="G397" s="3">
        <v>24703422</v>
      </c>
      <c r="H397" s="4">
        <f t="shared" si="80"/>
        <v>376194.01999999955</v>
      </c>
      <c r="I397" s="4">
        <f t="shared" si="81"/>
        <v>25079616.02</v>
      </c>
    </row>
    <row r="398" spans="3:10">
      <c r="C398" s="2" t="s">
        <v>318</v>
      </c>
      <c r="E398" s="3">
        <v>279198.36</v>
      </c>
      <c r="F398" s="3">
        <v>4188.359999999986</v>
      </c>
      <c r="G398" s="3">
        <v>275010</v>
      </c>
      <c r="H398" s="4">
        <f t="shared" si="80"/>
        <v>4188.359999999986</v>
      </c>
      <c r="I398" s="4">
        <f t="shared" si="81"/>
        <v>279198.36</v>
      </c>
    </row>
    <row r="399" spans="3:10">
      <c r="C399" s="2" t="s">
        <v>115</v>
      </c>
      <c r="E399" s="3">
        <v>41318811.469999999</v>
      </c>
      <c r="F399" s="3">
        <v>41318.469999998808</v>
      </c>
      <c r="G399" s="3">
        <v>41277493</v>
      </c>
      <c r="H399" s="4">
        <f t="shared" si="80"/>
        <v>41318.469999998808</v>
      </c>
      <c r="I399" s="4">
        <f t="shared" si="81"/>
        <v>41318811.469999999</v>
      </c>
    </row>
    <row r="400" spans="3:10">
      <c r="C400" s="2" t="s">
        <v>116</v>
      </c>
      <c r="E400" s="3">
        <v>8666811.4700000007</v>
      </c>
      <c r="F400" s="3">
        <v>173336.47000000067</v>
      </c>
      <c r="G400" s="3">
        <v>8493475</v>
      </c>
      <c r="H400" s="4">
        <f t="shared" si="80"/>
        <v>173336.47000000067</v>
      </c>
      <c r="I400" s="4">
        <f t="shared" si="81"/>
        <v>8666811.4700000007</v>
      </c>
    </row>
    <row r="401" spans="3:11">
      <c r="C401" s="2" t="s">
        <v>319</v>
      </c>
      <c r="E401" s="57">
        <f>+SUM(E396:E400)</f>
        <v>111716995.67999999</v>
      </c>
      <c r="F401" s="57">
        <f t="shared" ref="F401:I401" si="82">+SUM(F396:F400)</f>
        <v>1140625.6799999983</v>
      </c>
      <c r="G401" s="57">
        <f t="shared" si="82"/>
        <v>110576370</v>
      </c>
      <c r="H401" s="57">
        <f t="shared" si="82"/>
        <v>1140625.6799999983</v>
      </c>
      <c r="I401" s="57">
        <f t="shared" si="82"/>
        <v>111716995.67999999</v>
      </c>
      <c r="J401" s="4">
        <f>+E401-I401</f>
        <v>0</v>
      </c>
    </row>
    <row r="402" spans="3:11">
      <c r="E402" s="3"/>
      <c r="F402" s="3"/>
      <c r="G402" s="3"/>
      <c r="H402" s="4">
        <f t="shared" si="80"/>
        <v>0</v>
      </c>
      <c r="I402" s="4">
        <f t="shared" si="81"/>
        <v>0</v>
      </c>
    </row>
    <row r="403" spans="3:11">
      <c r="C403" s="2" t="s">
        <v>320</v>
      </c>
      <c r="E403" s="3"/>
      <c r="F403" s="3"/>
      <c r="G403" s="3"/>
      <c r="H403" s="4">
        <f t="shared" si="80"/>
        <v>0</v>
      </c>
      <c r="I403" s="4">
        <f t="shared" si="81"/>
        <v>0</v>
      </c>
    </row>
    <row r="404" spans="3:11">
      <c r="C404" s="2" t="s">
        <v>321</v>
      </c>
      <c r="E404" s="3">
        <v>5958426.4699999997</v>
      </c>
      <c r="F404" s="3">
        <v>119168.46999999974</v>
      </c>
      <c r="G404" s="3">
        <v>5839258</v>
      </c>
      <c r="H404" s="4">
        <f t="shared" si="80"/>
        <v>119168.46999999974</v>
      </c>
      <c r="I404" s="4">
        <f t="shared" si="81"/>
        <v>5958426.4699999997</v>
      </c>
    </row>
    <row r="405" spans="3:11">
      <c r="C405" s="2" t="s">
        <v>103</v>
      </c>
      <c r="E405" s="3">
        <v>0</v>
      </c>
      <c r="F405" s="3">
        <v>0</v>
      </c>
      <c r="G405" s="3">
        <v>0</v>
      </c>
      <c r="H405" s="4">
        <f t="shared" si="80"/>
        <v>0</v>
      </c>
      <c r="I405" s="4">
        <f t="shared" si="81"/>
        <v>0</v>
      </c>
    </row>
    <row r="406" spans="3:11">
      <c r="C406" s="2" t="s">
        <v>104</v>
      </c>
      <c r="E406" s="3">
        <v>38616</v>
      </c>
      <c r="F406" s="3">
        <v>579</v>
      </c>
      <c r="G406" s="3">
        <v>38037</v>
      </c>
      <c r="H406" s="4">
        <f t="shared" si="80"/>
        <v>579</v>
      </c>
      <c r="I406" s="4">
        <f t="shared" si="81"/>
        <v>38616</v>
      </c>
    </row>
    <row r="407" spans="3:11">
      <c r="C407" s="2" t="s">
        <v>105</v>
      </c>
      <c r="E407" s="3">
        <v>0</v>
      </c>
      <c r="F407" s="3">
        <v>0</v>
      </c>
      <c r="G407" s="3">
        <v>0</v>
      </c>
      <c r="H407" s="4">
        <f t="shared" si="80"/>
        <v>0</v>
      </c>
      <c r="I407" s="4">
        <f t="shared" si="81"/>
        <v>0</v>
      </c>
    </row>
    <row r="408" spans="3:11">
      <c r="C408" s="2" t="s">
        <v>106</v>
      </c>
      <c r="E408" s="3">
        <v>0</v>
      </c>
      <c r="F408" s="3">
        <v>0</v>
      </c>
      <c r="G408" s="3">
        <v>0</v>
      </c>
      <c r="H408" s="4">
        <f t="shared" si="80"/>
        <v>0</v>
      </c>
      <c r="I408" s="4">
        <f t="shared" si="81"/>
        <v>0</v>
      </c>
    </row>
    <row r="409" spans="3:11">
      <c r="C409" s="2" t="s">
        <v>322</v>
      </c>
      <c r="E409" s="57">
        <f>+SUM(E404:E408)</f>
        <v>5997042.4699999997</v>
      </c>
      <c r="F409" s="57">
        <f t="shared" ref="F409:I409" si="83">+SUM(F404:F408)</f>
        <v>119747.46999999974</v>
      </c>
      <c r="G409" s="57">
        <f t="shared" si="83"/>
        <v>5877295</v>
      </c>
      <c r="H409" s="57">
        <f t="shared" si="83"/>
        <v>119747.46999999974</v>
      </c>
      <c r="I409" s="57">
        <f t="shared" si="83"/>
        <v>5997042.4699999997</v>
      </c>
      <c r="J409" s="4">
        <f>+E409-I409</f>
        <v>0</v>
      </c>
    </row>
    <row r="410" spans="3:11">
      <c r="E410" s="3"/>
      <c r="F410" s="3"/>
      <c r="G410" s="3"/>
      <c r="H410" s="4">
        <f t="shared" si="80"/>
        <v>0</v>
      </c>
      <c r="I410" s="4">
        <f t="shared" si="81"/>
        <v>0</v>
      </c>
    </row>
    <row r="411" spans="3:11">
      <c r="C411" s="2" t="s">
        <v>323</v>
      </c>
      <c r="E411" s="3"/>
      <c r="F411" s="3"/>
      <c r="G411" s="3"/>
      <c r="H411" s="4">
        <f t="shared" si="80"/>
        <v>0</v>
      </c>
      <c r="I411" s="4">
        <f t="shared" si="81"/>
        <v>0</v>
      </c>
    </row>
    <row r="412" spans="3:11">
      <c r="C412" s="2" t="s">
        <v>324</v>
      </c>
      <c r="E412" s="3">
        <v>8269621.5899999999</v>
      </c>
      <c r="F412" s="3">
        <v>124044.58999999985</v>
      </c>
      <c r="G412" s="3">
        <v>8148717</v>
      </c>
      <c r="H412" s="4">
        <f t="shared" si="80"/>
        <v>124044.58999999985</v>
      </c>
      <c r="I412" s="4">
        <f t="shared" si="81"/>
        <v>8272761.5899999999</v>
      </c>
    </row>
    <row r="413" spans="3:11">
      <c r="C413" s="2" t="s">
        <v>325</v>
      </c>
      <c r="E413" s="57">
        <f>+E412</f>
        <v>8269621.5899999999</v>
      </c>
      <c r="F413" s="57">
        <f t="shared" ref="F413:I413" si="84">+F412</f>
        <v>124044.58999999985</v>
      </c>
      <c r="G413" s="57">
        <f t="shared" si="84"/>
        <v>8148717</v>
      </c>
      <c r="H413" s="57">
        <f t="shared" si="84"/>
        <v>124044.58999999985</v>
      </c>
      <c r="I413" s="57">
        <f t="shared" si="84"/>
        <v>8272761.5899999999</v>
      </c>
      <c r="J413" s="4">
        <f>+E413-I413</f>
        <v>-3140</v>
      </c>
      <c r="K413" s="2" t="s">
        <v>429</v>
      </c>
    </row>
    <row r="414" spans="3:11">
      <c r="E414" s="3"/>
      <c r="F414" s="3"/>
      <c r="G414" s="3"/>
      <c r="H414" s="4">
        <f t="shared" si="80"/>
        <v>0</v>
      </c>
      <c r="I414" s="4">
        <f t="shared" si="81"/>
        <v>0</v>
      </c>
    </row>
    <row r="415" spans="3:11" ht="15.75" thickBot="1">
      <c r="C415" s="2" t="s">
        <v>326</v>
      </c>
      <c r="E415" s="58">
        <f>+E413+E409+E401</f>
        <v>125983659.73999999</v>
      </c>
      <c r="F415" s="58">
        <f t="shared" ref="F415:I415" si="85">+F413+F409+F401</f>
        <v>1384417.7399999979</v>
      </c>
      <c r="G415" s="58">
        <f t="shared" si="85"/>
        <v>124602382</v>
      </c>
      <c r="H415" s="58">
        <f t="shared" si="85"/>
        <v>1384417.7399999979</v>
      </c>
      <c r="I415" s="58">
        <f t="shared" si="85"/>
        <v>125986799.73999999</v>
      </c>
      <c r="J415" s="4">
        <f>+E415-I415</f>
        <v>-3140</v>
      </c>
    </row>
    <row r="416" spans="3:11" ht="15.75" thickTop="1">
      <c r="E416" s="3"/>
      <c r="F416" s="3"/>
      <c r="G416" s="3"/>
      <c r="H416" s="4">
        <f t="shared" si="80"/>
        <v>0</v>
      </c>
      <c r="I416" s="4">
        <f t="shared" si="81"/>
        <v>0</v>
      </c>
    </row>
    <row r="417" spans="3:10">
      <c r="C417" s="2" t="s">
        <v>327</v>
      </c>
      <c r="E417" s="3"/>
      <c r="F417" s="3"/>
      <c r="G417" s="3"/>
      <c r="H417" s="4">
        <f t="shared" si="80"/>
        <v>0</v>
      </c>
      <c r="I417" s="4">
        <f t="shared" si="81"/>
        <v>0</v>
      </c>
    </row>
    <row r="418" spans="3:10">
      <c r="C418" s="2" t="s">
        <v>328</v>
      </c>
      <c r="E418" s="3"/>
      <c r="F418" s="3"/>
      <c r="G418" s="3"/>
      <c r="H418" s="4">
        <f t="shared" si="80"/>
        <v>0</v>
      </c>
      <c r="I418" s="4">
        <f t="shared" si="81"/>
        <v>0</v>
      </c>
    </row>
    <row r="419" spans="3:10">
      <c r="C419" s="2" t="s">
        <v>329</v>
      </c>
      <c r="E419" s="3">
        <v>2175630.2199999997</v>
      </c>
      <c r="F419" s="3">
        <f>+E419-G419</f>
        <v>19580.219999999739</v>
      </c>
      <c r="G419" s="3">
        <v>2156050</v>
      </c>
      <c r="H419" s="4">
        <f t="shared" si="80"/>
        <v>19580.219999999739</v>
      </c>
      <c r="I419" s="4">
        <f t="shared" si="81"/>
        <v>2175630.2199999997</v>
      </c>
    </row>
    <row r="420" spans="3:10">
      <c r="C420" s="2" t="s">
        <v>330</v>
      </c>
      <c r="E420" s="3">
        <v>9842.0199999999986</v>
      </c>
      <c r="F420" s="3">
        <f>+E420-G420</f>
        <v>89.019999999998618</v>
      </c>
      <c r="G420" s="3">
        <v>9753</v>
      </c>
      <c r="H420" s="4">
        <f t="shared" si="80"/>
        <v>89.019999999998618</v>
      </c>
      <c r="I420" s="4">
        <f t="shared" si="81"/>
        <v>9842.0199999999986</v>
      </c>
    </row>
    <row r="421" spans="3:10">
      <c r="C421" s="2" t="s">
        <v>331</v>
      </c>
      <c r="E421" s="3">
        <v>16812.34</v>
      </c>
      <c r="F421" s="3">
        <f>+E421-G421</f>
        <v>151.34000000000015</v>
      </c>
      <c r="G421" s="3">
        <v>16661</v>
      </c>
      <c r="H421" s="4">
        <f t="shared" si="80"/>
        <v>151.34000000000015</v>
      </c>
      <c r="I421" s="4">
        <f t="shared" si="81"/>
        <v>16812.34</v>
      </c>
    </row>
    <row r="422" spans="3:10">
      <c r="C422" s="2" t="s">
        <v>332</v>
      </c>
      <c r="E422" s="57">
        <f>+SUM(E419:E421)</f>
        <v>2202284.5799999996</v>
      </c>
      <c r="F422" s="57">
        <f t="shared" ref="F422:I422" si="86">+SUM(F419:F421)</f>
        <v>19820.579999999736</v>
      </c>
      <c r="G422" s="57">
        <f t="shared" si="86"/>
        <v>2182464</v>
      </c>
      <c r="H422" s="57">
        <f t="shared" si="86"/>
        <v>19820.579999999736</v>
      </c>
      <c r="I422" s="57">
        <f t="shared" si="86"/>
        <v>2202284.5799999996</v>
      </c>
      <c r="J422" s="4">
        <f>+E422-I422</f>
        <v>0</v>
      </c>
    </row>
    <row r="423" spans="3:10">
      <c r="E423" s="3"/>
      <c r="F423" s="3"/>
      <c r="G423" s="3"/>
      <c r="H423" s="4">
        <f t="shared" si="80"/>
        <v>0</v>
      </c>
      <c r="I423" s="4">
        <f t="shared" si="81"/>
        <v>0</v>
      </c>
    </row>
    <row r="424" spans="3:10">
      <c r="C424" s="2" t="s">
        <v>333</v>
      </c>
      <c r="E424" s="3">
        <v>13561918.630000001</v>
      </c>
      <c r="F424" s="3">
        <v>271238.63000000082</v>
      </c>
      <c r="G424" s="3">
        <v>13290680</v>
      </c>
      <c r="H424" s="4">
        <f t="shared" si="80"/>
        <v>271238.63000000082</v>
      </c>
      <c r="I424" s="4">
        <f t="shared" si="81"/>
        <v>13561918.630000001</v>
      </c>
    </row>
    <row r="425" spans="3:10">
      <c r="C425" s="2" t="s">
        <v>334</v>
      </c>
      <c r="E425" s="3">
        <v>0</v>
      </c>
      <c r="F425" s="3">
        <v>0</v>
      </c>
      <c r="G425" s="3">
        <v>0</v>
      </c>
      <c r="H425" s="4">
        <f t="shared" si="80"/>
        <v>0</v>
      </c>
      <c r="I425" s="4">
        <f t="shared" si="81"/>
        <v>0</v>
      </c>
    </row>
    <row r="426" spans="3:10">
      <c r="C426" s="2" t="s">
        <v>335</v>
      </c>
      <c r="E426" s="3">
        <v>0</v>
      </c>
      <c r="F426" s="3">
        <v>0</v>
      </c>
      <c r="G426" s="3">
        <v>0</v>
      </c>
      <c r="H426" s="4">
        <f t="shared" si="80"/>
        <v>0</v>
      </c>
      <c r="I426" s="4">
        <f t="shared" si="81"/>
        <v>0</v>
      </c>
    </row>
    <row r="427" spans="3:10">
      <c r="C427" s="2" t="s">
        <v>336</v>
      </c>
      <c r="E427" s="3">
        <v>55851.05</v>
      </c>
      <c r="F427" s="3">
        <v>1117.0500000000029</v>
      </c>
      <c r="G427" s="3">
        <v>54734</v>
      </c>
      <c r="H427" s="4">
        <f t="shared" si="80"/>
        <v>1117.0500000000029</v>
      </c>
      <c r="I427" s="4">
        <f t="shared" si="81"/>
        <v>55851.05</v>
      </c>
    </row>
    <row r="428" spans="3:10">
      <c r="C428" s="2" t="s">
        <v>337</v>
      </c>
      <c r="E428" s="3">
        <v>0</v>
      </c>
      <c r="F428" s="3">
        <v>0</v>
      </c>
      <c r="G428" s="3">
        <v>0</v>
      </c>
      <c r="H428" s="4">
        <f t="shared" si="80"/>
        <v>0</v>
      </c>
      <c r="I428" s="4">
        <f t="shared" si="81"/>
        <v>0</v>
      </c>
    </row>
    <row r="429" spans="3:10">
      <c r="C429" s="2" t="s">
        <v>338</v>
      </c>
      <c r="E429" s="3">
        <v>5475377.7300000004</v>
      </c>
      <c r="F429" s="3">
        <v>82130.730000000447</v>
      </c>
      <c r="G429" s="3">
        <v>5393247</v>
      </c>
      <c r="H429" s="4">
        <f t="shared" si="80"/>
        <v>82130.730000000447</v>
      </c>
      <c r="I429" s="4">
        <f t="shared" si="81"/>
        <v>5475377.7300000004</v>
      </c>
    </row>
    <row r="430" spans="3:10">
      <c r="C430" s="2" t="s">
        <v>339</v>
      </c>
      <c r="E430" s="3">
        <v>19396.63</v>
      </c>
      <c r="F430" s="3">
        <v>-0.36999999999898137</v>
      </c>
      <c r="G430" s="3">
        <v>19397</v>
      </c>
      <c r="H430" s="4">
        <f t="shared" si="80"/>
        <v>-0.36999999999898137</v>
      </c>
      <c r="I430" s="4">
        <f t="shared" si="81"/>
        <v>19396.63</v>
      </c>
    </row>
    <row r="431" spans="3:10">
      <c r="C431" s="2" t="s">
        <v>340</v>
      </c>
      <c r="E431" s="3">
        <v>0</v>
      </c>
      <c r="F431" s="3">
        <v>0</v>
      </c>
      <c r="G431" s="3">
        <v>0</v>
      </c>
      <c r="H431" s="4">
        <f t="shared" si="80"/>
        <v>0</v>
      </c>
      <c r="I431" s="4">
        <f t="shared" si="81"/>
        <v>0</v>
      </c>
    </row>
    <row r="432" spans="3:10">
      <c r="C432" s="2" t="s">
        <v>341</v>
      </c>
      <c r="E432" s="3">
        <v>14713.97</v>
      </c>
      <c r="F432" s="3">
        <v>131.96999999999935</v>
      </c>
      <c r="G432" s="3">
        <v>14582</v>
      </c>
      <c r="H432" s="4">
        <f t="shared" si="80"/>
        <v>131.96999999999935</v>
      </c>
      <c r="I432" s="4">
        <f t="shared" si="81"/>
        <v>14713.97</v>
      </c>
    </row>
    <row r="433" spans="3:10">
      <c r="C433" s="2" t="s">
        <v>342</v>
      </c>
      <c r="E433" s="3">
        <v>106067.30000000005</v>
      </c>
      <c r="F433" s="3">
        <v>2121.3000000000466</v>
      </c>
      <c r="G433" s="3">
        <v>103946</v>
      </c>
      <c r="H433" s="4">
        <f t="shared" si="80"/>
        <v>2121.3000000000466</v>
      </c>
      <c r="I433" s="4">
        <f t="shared" si="81"/>
        <v>106067.30000000005</v>
      </c>
    </row>
    <row r="434" spans="3:10">
      <c r="C434" s="2" t="s">
        <v>343</v>
      </c>
      <c r="E434" s="57">
        <f>+SUM(E422:E433)</f>
        <v>21435609.890000001</v>
      </c>
      <c r="F434" s="57">
        <f t="shared" ref="F434:I434" si="87">+SUM(F422:F433)</f>
        <v>376559.890000001</v>
      </c>
      <c r="G434" s="57">
        <f t="shared" si="87"/>
        <v>21059050</v>
      </c>
      <c r="H434" s="57">
        <f t="shared" si="87"/>
        <v>376559.890000001</v>
      </c>
      <c r="I434" s="57">
        <f t="shared" si="87"/>
        <v>21435609.890000001</v>
      </c>
      <c r="J434" s="4">
        <f>+E434-I434</f>
        <v>0</v>
      </c>
    </row>
    <row r="435" spans="3:10">
      <c r="E435" s="3"/>
      <c r="F435" s="3"/>
      <c r="G435" s="3"/>
      <c r="H435" s="4">
        <f t="shared" si="80"/>
        <v>0</v>
      </c>
      <c r="I435" s="4">
        <f t="shared" si="81"/>
        <v>0</v>
      </c>
    </row>
    <row r="436" spans="3:10">
      <c r="C436" s="2" t="s">
        <v>344</v>
      </c>
      <c r="E436" s="3">
        <v>-567697.8600000001</v>
      </c>
      <c r="F436" s="3">
        <v>-8515.8600000001024</v>
      </c>
      <c r="G436" s="3">
        <v>-559182</v>
      </c>
      <c r="H436" s="4">
        <f>+F436</f>
        <v>-8515.8600000001024</v>
      </c>
      <c r="I436" s="4">
        <f t="shared" si="81"/>
        <v>-567697.8600000001</v>
      </c>
      <c r="J436" s="4">
        <f>+E436-I436</f>
        <v>0</v>
      </c>
    </row>
    <row r="437" spans="3:10">
      <c r="C437" s="2" t="s">
        <v>345</v>
      </c>
      <c r="E437" s="3">
        <v>-3835072.13</v>
      </c>
      <c r="F437" s="3">
        <v>-57526.129999999888</v>
      </c>
      <c r="G437" s="3">
        <v>-3777546</v>
      </c>
      <c r="H437" s="4">
        <f t="shared" si="80"/>
        <v>-57526.129999999888</v>
      </c>
      <c r="I437" s="4">
        <f t="shared" si="81"/>
        <v>-3835072.13</v>
      </c>
      <c r="J437" s="4">
        <f t="shared" ref="J437:J453" si="88">+E437-I437</f>
        <v>0</v>
      </c>
    </row>
    <row r="438" spans="3:10">
      <c r="C438" s="2" t="s">
        <v>346</v>
      </c>
      <c r="E438" s="3">
        <v>-1363411.52</v>
      </c>
      <c r="F438" s="3">
        <v>-1363.5200000000186</v>
      </c>
      <c r="G438" s="3">
        <v>-1362048</v>
      </c>
      <c r="H438" s="4">
        <f t="shared" si="80"/>
        <v>-1363.5200000000186</v>
      </c>
      <c r="I438" s="4">
        <f t="shared" si="81"/>
        <v>-1363411.52</v>
      </c>
      <c r="J438" s="4">
        <f t="shared" si="88"/>
        <v>0</v>
      </c>
    </row>
    <row r="439" spans="3:10">
      <c r="C439" s="2" t="s">
        <v>347</v>
      </c>
      <c r="E439" s="3">
        <v>-136388.51</v>
      </c>
      <c r="F439" s="3">
        <v>-2727.5100000000093</v>
      </c>
      <c r="G439" s="3">
        <v>-133661</v>
      </c>
      <c r="H439" s="4">
        <f t="shared" si="80"/>
        <v>-2727.5100000000093</v>
      </c>
      <c r="I439" s="4">
        <f t="shared" si="81"/>
        <v>-136388.51</v>
      </c>
      <c r="J439" s="4">
        <f t="shared" si="88"/>
        <v>0</v>
      </c>
    </row>
    <row r="440" spans="3:10">
      <c r="C440" s="2" t="s">
        <v>348</v>
      </c>
      <c r="E440" s="3">
        <v>-136479.04000000001</v>
      </c>
      <c r="F440" s="3">
        <v>-2730.0400000000081</v>
      </c>
      <c r="G440" s="3">
        <v>-133749</v>
      </c>
      <c r="H440" s="4">
        <f t="shared" si="80"/>
        <v>-2730.0400000000081</v>
      </c>
      <c r="I440" s="4">
        <f t="shared" si="81"/>
        <v>-136479.04000000001</v>
      </c>
      <c r="J440" s="4">
        <f t="shared" si="88"/>
        <v>0</v>
      </c>
    </row>
    <row r="441" spans="3:10">
      <c r="E441" s="3"/>
      <c r="F441" s="3"/>
      <c r="G441" s="3"/>
      <c r="H441" s="4">
        <f t="shared" si="80"/>
        <v>0</v>
      </c>
      <c r="I441" s="4">
        <f t="shared" si="81"/>
        <v>0</v>
      </c>
      <c r="J441" s="4">
        <f t="shared" si="88"/>
        <v>0</v>
      </c>
    </row>
    <row r="442" spans="3:10">
      <c r="C442" s="2" t="s">
        <v>349</v>
      </c>
      <c r="E442" s="3">
        <v>1839861.6099999999</v>
      </c>
      <c r="F442" s="3">
        <v>-0.39000000013038516</v>
      </c>
      <c r="G442" s="3">
        <v>1839862</v>
      </c>
      <c r="H442" s="4">
        <f>+F442</f>
        <v>-0.39000000013038516</v>
      </c>
      <c r="I442" s="4">
        <f t="shared" si="81"/>
        <v>1839861.6099999999</v>
      </c>
      <c r="J442" s="4">
        <f t="shared" si="88"/>
        <v>0</v>
      </c>
    </row>
    <row r="443" spans="3:10">
      <c r="E443" s="3"/>
      <c r="F443" s="3"/>
      <c r="G443" s="3"/>
      <c r="H443" s="4">
        <f t="shared" si="80"/>
        <v>0</v>
      </c>
      <c r="I443" s="4">
        <f t="shared" si="81"/>
        <v>0</v>
      </c>
      <c r="J443" s="4">
        <f t="shared" si="88"/>
        <v>0</v>
      </c>
    </row>
    <row r="444" spans="3:10">
      <c r="C444" s="2" t="s">
        <v>350</v>
      </c>
      <c r="E444" s="3"/>
      <c r="F444" s="3"/>
      <c r="G444" s="3"/>
      <c r="H444" s="4">
        <f t="shared" si="80"/>
        <v>0</v>
      </c>
      <c r="I444" s="4">
        <f t="shared" si="81"/>
        <v>0</v>
      </c>
      <c r="J444" s="4">
        <f t="shared" si="88"/>
        <v>0</v>
      </c>
    </row>
    <row r="445" spans="3:10">
      <c r="C445" s="2" t="s">
        <v>351</v>
      </c>
      <c r="E445" s="3">
        <v>-15351</v>
      </c>
      <c r="F445" s="3">
        <v>0</v>
      </c>
      <c r="G445" s="3">
        <v>-15351</v>
      </c>
      <c r="H445" s="4">
        <f t="shared" si="80"/>
        <v>0</v>
      </c>
      <c r="I445" s="4">
        <f t="shared" si="81"/>
        <v>-15351</v>
      </c>
      <c r="J445" s="4">
        <f t="shared" si="88"/>
        <v>0</v>
      </c>
    </row>
    <row r="446" spans="3:10">
      <c r="C446" s="2" t="s">
        <v>352</v>
      </c>
      <c r="E446" s="3">
        <v>0</v>
      </c>
      <c r="F446" s="3">
        <v>0</v>
      </c>
      <c r="G446" s="3">
        <v>0</v>
      </c>
      <c r="H446" s="4">
        <f t="shared" si="80"/>
        <v>0</v>
      </c>
      <c r="I446" s="4">
        <f t="shared" si="81"/>
        <v>0</v>
      </c>
      <c r="J446" s="4">
        <f t="shared" si="88"/>
        <v>0</v>
      </c>
    </row>
    <row r="447" spans="3:10">
      <c r="C447" s="2" t="s">
        <v>353</v>
      </c>
      <c r="E447" s="3">
        <v>-180721.49000000002</v>
      </c>
      <c r="F447" s="3">
        <v>-2530.4900000000198</v>
      </c>
      <c r="G447" s="3">
        <v>-178191</v>
      </c>
      <c r="H447" s="4">
        <f t="shared" si="80"/>
        <v>-2530.4900000000198</v>
      </c>
      <c r="I447" s="4">
        <f t="shared" si="81"/>
        <v>-180721.49000000002</v>
      </c>
      <c r="J447" s="4">
        <f t="shared" si="88"/>
        <v>0</v>
      </c>
    </row>
    <row r="448" spans="3:10">
      <c r="C448" s="2" t="s">
        <v>354</v>
      </c>
      <c r="E448" s="3">
        <v>2069335.87</v>
      </c>
      <c r="F448" s="3">
        <v>31039.870000000112</v>
      </c>
      <c r="G448" s="3">
        <v>2038296</v>
      </c>
      <c r="H448" s="4">
        <f t="shared" si="80"/>
        <v>31039.870000000112</v>
      </c>
      <c r="I448" s="4">
        <f t="shared" si="81"/>
        <v>2069335.87</v>
      </c>
      <c r="J448" s="4">
        <f t="shared" si="88"/>
        <v>0</v>
      </c>
    </row>
    <row r="449" spans="3:11">
      <c r="C449" s="2" t="s">
        <v>355</v>
      </c>
      <c r="E449" s="3">
        <v>4507849.62</v>
      </c>
      <c r="F449" s="3">
        <f>+E449-G449</f>
        <v>0</v>
      </c>
      <c r="G449" s="3">
        <v>4507849.62</v>
      </c>
      <c r="H449" s="4">
        <v>0</v>
      </c>
      <c r="I449" s="4">
        <f>+E449</f>
        <v>4507849.62</v>
      </c>
      <c r="J449" s="4">
        <f t="shared" si="88"/>
        <v>0</v>
      </c>
    </row>
    <row r="450" spans="3:11">
      <c r="C450" s="2" t="s">
        <v>356</v>
      </c>
      <c r="E450" s="3">
        <v>-289.13</v>
      </c>
      <c r="F450" s="3">
        <v>-7.1299999999999955</v>
      </c>
      <c r="G450" s="3">
        <v>-282</v>
      </c>
      <c r="H450" s="4">
        <f t="shared" si="80"/>
        <v>-7.1299999999999955</v>
      </c>
      <c r="I450" s="4">
        <f t="shared" si="81"/>
        <v>-289.13</v>
      </c>
      <c r="J450" s="4">
        <f t="shared" si="88"/>
        <v>0</v>
      </c>
    </row>
    <row r="451" spans="3:11">
      <c r="C451" s="2" t="s">
        <v>431</v>
      </c>
      <c r="E451" s="13">
        <f>290215.27+4932777.06</f>
        <v>5222992.33</v>
      </c>
      <c r="F451" s="3">
        <v>5222992.33</v>
      </c>
      <c r="G451" s="3">
        <v>0</v>
      </c>
      <c r="H451" s="4">
        <v>0</v>
      </c>
      <c r="I451" s="4">
        <v>0</v>
      </c>
      <c r="J451" s="4">
        <f t="shared" si="88"/>
        <v>5222992.33</v>
      </c>
      <c r="K451" s="2" t="s">
        <v>419</v>
      </c>
    </row>
    <row r="452" spans="3:11">
      <c r="C452" s="2" t="s">
        <v>357</v>
      </c>
      <c r="E452" s="3">
        <v>684535.59000000008</v>
      </c>
      <c r="F452" s="3">
        <v>15059.590000000084</v>
      </c>
      <c r="G452" s="3">
        <v>669476</v>
      </c>
      <c r="H452" s="4">
        <v>0</v>
      </c>
      <c r="I452" s="4">
        <f>+G452+H452</f>
        <v>669476</v>
      </c>
      <c r="J452" s="4">
        <f t="shared" si="88"/>
        <v>15059.590000000084</v>
      </c>
      <c r="K452" s="2" t="s">
        <v>420</v>
      </c>
    </row>
    <row r="453" spans="3:11">
      <c r="C453" s="2" t="s">
        <v>358</v>
      </c>
      <c r="E453" s="57">
        <f>+SUM(E445:E452)</f>
        <v>12288351.789999999</v>
      </c>
      <c r="F453" s="57">
        <f t="shared" ref="F453:I453" si="89">+SUM(F445:F452)</f>
        <v>5266554.17</v>
      </c>
      <c r="G453" s="57">
        <f t="shared" si="89"/>
        <v>7021797.6200000001</v>
      </c>
      <c r="H453" s="57">
        <f t="shared" si="89"/>
        <v>28502.250000000091</v>
      </c>
      <c r="I453" s="57">
        <f t="shared" si="89"/>
        <v>7050299.8700000001</v>
      </c>
      <c r="J453" s="4">
        <f t="shared" si="88"/>
        <v>5238051.919999999</v>
      </c>
    </row>
    <row r="454" spans="3:11">
      <c r="E454" s="3"/>
      <c r="F454" s="3"/>
      <c r="G454" s="3"/>
    </row>
    <row r="455" spans="3:11">
      <c r="E455" s="3"/>
      <c r="F455" s="3"/>
      <c r="G455" s="3"/>
    </row>
    <row r="456" spans="3:11">
      <c r="C456" s="65" t="s">
        <v>433</v>
      </c>
      <c r="E456" s="3"/>
      <c r="F456" s="3"/>
      <c r="G456" s="3"/>
    </row>
    <row r="457" spans="3:11">
      <c r="C457" s="66" t="s">
        <v>434</v>
      </c>
      <c r="E457" s="68">
        <v>-2143873.2999999998</v>
      </c>
      <c r="F457" s="68">
        <f>E457-G457</f>
        <v>-886776.29999999981</v>
      </c>
      <c r="G457" s="70">
        <v>-1257097</v>
      </c>
      <c r="H457" s="4">
        <v>-243261</v>
      </c>
      <c r="I457" s="4">
        <f t="shared" ref="I457:I461" si="90">+G457+H457</f>
        <v>-1500358</v>
      </c>
      <c r="J457" s="4">
        <f t="shared" ref="J457:J461" si="91">+E457-I457</f>
        <v>-643515.29999999981</v>
      </c>
    </row>
    <row r="458" spans="3:11">
      <c r="C458" s="66" t="s">
        <v>435</v>
      </c>
      <c r="E458" s="68">
        <v>-4143717</v>
      </c>
      <c r="F458" s="68">
        <f>E458-G458</f>
        <v>-1877580</v>
      </c>
      <c r="G458" s="70">
        <v>-2266137</v>
      </c>
      <c r="H458" s="4">
        <v>-968632</v>
      </c>
      <c r="I458" s="4">
        <f t="shared" si="90"/>
        <v>-3234769</v>
      </c>
      <c r="J458" s="4">
        <f t="shared" si="91"/>
        <v>-908948</v>
      </c>
    </row>
    <row r="459" spans="3:11">
      <c r="C459" s="66" t="s">
        <v>436</v>
      </c>
      <c r="E459" s="68">
        <v>8216488.4500000002</v>
      </c>
      <c r="F459" s="68">
        <f>E459-G459</f>
        <v>505682.45000000019</v>
      </c>
      <c r="G459" s="70">
        <v>7710806</v>
      </c>
      <c r="H459" s="4">
        <v>195366</v>
      </c>
      <c r="I459" s="4">
        <f t="shared" si="90"/>
        <v>7906172</v>
      </c>
      <c r="J459" s="4">
        <f t="shared" si="91"/>
        <v>310316.45000000019</v>
      </c>
    </row>
    <row r="460" spans="3:11">
      <c r="C460" s="66" t="s">
        <v>437</v>
      </c>
      <c r="E460" s="68">
        <v>0</v>
      </c>
      <c r="F460" s="68">
        <f>E460-G460</f>
        <v>0</v>
      </c>
      <c r="G460" s="70">
        <v>0</v>
      </c>
      <c r="I460" s="4">
        <f t="shared" si="90"/>
        <v>0</v>
      </c>
      <c r="J460" s="4">
        <f t="shared" si="91"/>
        <v>0</v>
      </c>
    </row>
    <row r="461" spans="3:11">
      <c r="C461" s="67" t="s">
        <v>438</v>
      </c>
      <c r="E461" s="68">
        <v>0</v>
      </c>
      <c r="F461" s="68">
        <f>E461-G461</f>
        <v>0</v>
      </c>
      <c r="G461" s="71">
        <v>0</v>
      </c>
      <c r="I461" s="4">
        <f t="shared" si="90"/>
        <v>0</v>
      </c>
      <c r="J461" s="4">
        <f t="shared" si="91"/>
        <v>0</v>
      </c>
    </row>
    <row r="462" spans="3:11">
      <c r="C462" s="65" t="s">
        <v>439</v>
      </c>
      <c r="E462" s="69">
        <f>SUM(E456:E461)</f>
        <v>1928898.1500000004</v>
      </c>
      <c r="F462" s="69">
        <f>SUM(F456:F461)</f>
        <v>-2258673.8499999996</v>
      </c>
      <c r="G462" s="69">
        <f>SUM(G456:G461)</f>
        <v>4187572</v>
      </c>
      <c r="H462" s="69">
        <f t="shared" ref="H462:I462" si="92">SUM(H456:H461)</f>
        <v>-1016527</v>
      </c>
      <c r="I462" s="69">
        <f t="shared" si="92"/>
        <v>3171045</v>
      </c>
    </row>
    <row r="465" spans="3:5">
      <c r="C465" s="2" t="s">
        <v>440</v>
      </c>
      <c r="E465" s="72">
        <v>5.0097000000000003E-2</v>
      </c>
    </row>
    <row r="466" spans="3:5">
      <c r="C466" s="2" t="s">
        <v>441</v>
      </c>
      <c r="E466" s="72">
        <v>0.21</v>
      </c>
    </row>
  </sheetData>
  <mergeCells count="4">
    <mergeCell ref="A1:I1"/>
    <mergeCell ref="A4:I4"/>
    <mergeCell ref="A3:I3"/>
    <mergeCell ref="A2:I2"/>
  </mergeCells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wMDc1MDY8L1VzZXJOYW1lPjxEYXRlVGltZT41LzcvMjAyMyA4OjE0OjA3IFBNPC9EYXRlVGltZT48TGFiZWxTdHJpbmc+VW5jYXRlZ29yaXplZDwvTGFiZWxTdHJpbmc+PC9pdGVtPjwvbGFiZWxIaXN0b3J5Pg=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41B0FF79-0D06-4D7B-8A6B-31E5557B55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ECE780-2335-4282-A477-832529D8739D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FAF58ECC-F8A0-4FCB-8541-3574C96E5EAE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b6888f76-1100-40b0-929b-1efe9044426d"/>
    <ds:schemaRef ds:uri="http://purl.org/dc/elements/1.1/"/>
    <ds:schemaRef ds:uri="http://schemas.openxmlformats.org/package/2006/metadata/core-properties"/>
    <ds:schemaRef ds:uri="f88ffb1c-9230-4705-a789-27bae69f5829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323FE43-C462-497E-98C4-90D7555AD4D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54DB3EF-9F3E-4D86-B11C-9945F7B047F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Support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s007506</dc:creator>
  <cp:lastModifiedBy>Jaclyn Cost</cp:lastModifiedBy>
  <dcterms:created xsi:type="dcterms:W3CDTF">2023-05-07T20:11:32Z</dcterms:created>
  <dcterms:modified xsi:type="dcterms:W3CDTF">2025-10-01T18:22:00Z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4275fe3e-a3b9-4eb0-8ae8-bffdc1a89cac</vt:lpwstr>
  </property>
  <property fmtid="{D5CDD505-2E9C-101B-9397-08002B2CF9AE}" pid="3" name="bjClsUserRVM">
    <vt:lpwstr>[]</vt:lpwstr>
  </property>
  <property fmtid="{D5CDD505-2E9C-101B-9397-08002B2CF9AE}" pid="4" name="bjSaver">
    <vt:lpwstr>6A8SrxgYPnHPzBbfLtJelfLhT12u1Hz3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{90ECE780-2335-4282-A477-832529D8739D}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