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Staff/Staff Set 2/Attachments/"/>
    </mc:Choice>
  </mc:AlternateContent>
  <xr:revisionPtr revIDLastSave="1" documentId="13_ncr:1_{034174FE-07CA-4BD7-9B0C-377BBF443070}" xr6:coauthVersionLast="47" xr6:coauthVersionMax="47" xr10:uidLastSave="{3F19902F-5897-407A-AD0B-4FC118AD1C84}"/>
  <bookViews>
    <workbookView xWindow="-110" yWindow="-110" windowWidth="19420" windowHeight="10300" activeTab="3" xr2:uid="{00000000-000D-0000-FFFF-FFFF00000000}"/>
  </bookViews>
  <sheets>
    <sheet name="Summary" sheetId="23" r:id="rId1"/>
    <sheet name="Sch 1" sheetId="8" r:id="rId2"/>
    <sheet name="Sch 2" sheetId="9" r:id="rId3"/>
    <sheet name="2 P1" sheetId="10" r:id="rId4"/>
    <sheet name="2 P2" sheetId="11" r:id="rId5"/>
    <sheet name="2 P3" sheetId="12" r:id="rId6"/>
    <sheet name="Sch 3" sheetId="13" r:id="rId7"/>
    <sheet name="3 P1" sheetId="14" r:id="rId8"/>
    <sheet name="3 P2" sheetId="15" r:id="rId9"/>
    <sheet name="Sch 4" sheetId="1" r:id="rId10"/>
    <sheet name="Sch 5" sheetId="4" r:id="rId11"/>
    <sheet name="Sch 6" sheetId="5" r:id="rId12"/>
    <sheet name="Sch 7" sheetId="6" r:id="rId13"/>
    <sheet name="Sch 8" sheetId="7" r:id="rId14"/>
    <sheet name="Sch 9" sheetId="18" r:id="rId15"/>
    <sheet name="Sch 10" sheetId="19" r:id="rId16"/>
    <sheet name="Allocation Factors" sheetId="3" r:id="rId17"/>
    <sheet name="Olive Hill - Vanceburg" sheetId="20" r:id="rId18"/>
    <sheet name="CWC" sheetId="28" r:id="rId19"/>
  </sheets>
  <definedNames>
    <definedName name="AllocFactors">#REF!</definedName>
    <definedName name="Begin_Print1">#REF!</definedName>
    <definedName name="Begin_Print2">#REF!</definedName>
    <definedName name="End_of_Report">#REF!</definedName>
    <definedName name="End_Print1">#REF!</definedName>
    <definedName name="End_Print2">#REF!</definedName>
    <definedName name="NvsASD">"V2013-03-31"</definedName>
    <definedName name="NvsAutoDrillOk">"VN"</definedName>
    <definedName name="NvsElapsedTime">0.000115740738692693</definedName>
    <definedName name="NvsEndTime">41370.633587963</definedName>
    <definedName name="NvsInstanceHook">"""nvsMacro"""</definedName>
    <definedName name="NvsInstLang">"VENG"</definedName>
    <definedName name="NvsInstSpec">"%,FBUSINESS_UNIT,V117"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ReqBU">"VX999"</definedName>
    <definedName name="NvsReqBUOnly">"VN"</definedName>
    <definedName name="NvsTransLed">"VN"</definedName>
    <definedName name="NvsTreeASD">"V2099-01-01"</definedName>
    <definedName name="NvsValTbl.ACCOUNT">"GL_ACCOUNT_TBL"</definedName>
    <definedName name="NvsValTbl.CURRENCY_CD">"CURRENCY_CD_TBL"</definedName>
    <definedName name="_xlnm.Print_Area" localSheetId="3">'2 P1'!$A$1:$L$24</definedName>
    <definedName name="_xlnm.Print_Area" localSheetId="5">'2 P3'!$A$1:$K$20</definedName>
    <definedName name="_xlnm.Print_Area" localSheetId="7">'3 P1'!$A$1:$T$39</definedName>
    <definedName name="_xlnm.Print_Area" localSheetId="8">'3 P2'!$A$1:$F$43</definedName>
    <definedName name="_xlnm.Print_Area" localSheetId="16">'Allocation Factors'!$A$1:$L$40</definedName>
    <definedName name="_xlnm.Print_Area" localSheetId="18">CWC!$A$1:$J$55</definedName>
    <definedName name="_xlnm.Print_Area" localSheetId="1">'Sch 1'!$A$1:$J$53</definedName>
    <definedName name="_xlnm.Print_Area" localSheetId="15">'Sch 10'!$B$1:$P$43</definedName>
    <definedName name="_xlnm.Print_Area" localSheetId="6">'Sch 3'!$A$1:$AE$39</definedName>
    <definedName name="_xlnm.Print_Area" localSheetId="9">'Sch 4'!$A$1:$I$527</definedName>
    <definedName name="_xlnm.Print_Area" localSheetId="10">'Sch 5'!$A$1:$BF$516</definedName>
    <definedName name="_xlnm.Print_Area" localSheetId="11">'Sch 6'!$A$1:$N$59</definedName>
    <definedName name="_xlnm.Print_Area" localSheetId="13">'Sch 8'!$A$1:$AG$57</definedName>
    <definedName name="_xlnm.Print_Area" localSheetId="14">'Sch 9'!$B$1:$Q$46</definedName>
    <definedName name="_xlnm.Print_Area" localSheetId="0">Summary!$A$1:$F$23</definedName>
    <definedName name="_xlnm.Print_Titles" localSheetId="8">'3 P2'!$1:$9</definedName>
    <definedName name="_xlnm.Print_Titles" localSheetId="1">'Sch 1'!$1:$9</definedName>
    <definedName name="_xlnm.Print_Titles" localSheetId="9">'Sch 4'!$1:$5</definedName>
    <definedName name="_xlnm.Print_Titles" localSheetId="10">'Sch 5'!$A:$B,'Sch 5'!$1:$4</definedName>
    <definedName name="search_directory_name">"R:\fcm90prd\nvision\rpts\Fin_Reports\"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0" l="1"/>
  <c r="C38" i="10"/>
  <c r="C39" i="10"/>
  <c r="C40" i="10"/>
  <c r="C41" i="10"/>
  <c r="C42" i="10"/>
  <c r="C43" i="10"/>
  <c r="C44" i="10"/>
  <c r="C45" i="10"/>
  <c r="C46" i="10"/>
  <c r="C47" i="10"/>
  <c r="C48" i="10"/>
  <c r="C49" i="10"/>
  <c r="C36" i="10"/>
  <c r="C28" i="10"/>
  <c r="C29" i="10"/>
  <c r="C30" i="10"/>
  <c r="C31" i="10"/>
  <c r="C32" i="10"/>
  <c r="C33" i="10"/>
  <c r="C34" i="10"/>
  <c r="E37" i="10"/>
  <c r="G36" i="10"/>
  <c r="G34" i="10"/>
  <c r="AW31" i="4"/>
  <c r="G37" i="10"/>
  <c r="E38" i="10"/>
  <c r="E33" i="10"/>
  <c r="G33" i="10"/>
  <c r="C202" i="1"/>
  <c r="C204" i="1"/>
  <c r="A12" i="28"/>
  <c r="A14" i="28"/>
  <c r="A16" i="28"/>
  <c r="A18" i="28"/>
  <c r="A20" i="28"/>
  <c r="A22" i="28"/>
  <c r="A24" i="28"/>
  <c r="A26" i="28"/>
  <c r="A28" i="28"/>
  <c r="A30" i="28"/>
  <c r="A32" i="28"/>
  <c r="A34" i="28"/>
  <c r="F14" i="23"/>
  <c r="E32" i="10"/>
  <c r="G38" i="10"/>
  <c r="E39" i="10"/>
  <c r="E31" i="10"/>
  <c r="G32" i="10"/>
  <c r="AX178" i="4"/>
  <c r="AX175" i="4"/>
  <c r="AW178" i="4"/>
  <c r="AW175" i="4"/>
  <c r="AA17" i="13"/>
  <c r="G39" i="10"/>
  <c r="E40" i="10"/>
  <c r="E30" i="10"/>
  <c r="E29" i="10"/>
  <c r="E28" i="10"/>
  <c r="G31" i="10"/>
  <c r="A338" i="4"/>
  <c r="A339" i="4"/>
  <c r="A340" i="4"/>
  <c r="A182" i="1"/>
  <c r="A183" i="1"/>
  <c r="A184" i="1"/>
  <c r="A185" i="1"/>
  <c r="A186" i="1"/>
  <c r="A187" i="1"/>
  <c r="A188" i="1"/>
  <c r="A189" i="1"/>
  <c r="E42" i="7"/>
  <c r="G28" i="10"/>
  <c r="G40" i="10"/>
  <c r="E41" i="10"/>
  <c r="E42" i="10"/>
  <c r="G29" i="10"/>
  <c r="G30" i="10"/>
  <c r="C515" i="1"/>
  <c r="C509" i="4"/>
  <c r="C508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2" i="4"/>
  <c r="C481" i="4"/>
  <c r="C480" i="4"/>
  <c r="C479" i="4"/>
  <c r="C478" i="4"/>
  <c r="C477" i="4"/>
  <c r="C476" i="4"/>
  <c r="C475" i="4"/>
  <c r="C474" i="4"/>
  <c r="C473" i="4"/>
  <c r="C470" i="4"/>
  <c r="C469" i="4"/>
  <c r="C468" i="4"/>
  <c r="C461" i="4"/>
  <c r="C457" i="4"/>
  <c r="C456" i="4"/>
  <c r="C455" i="4"/>
  <c r="C454" i="4"/>
  <c r="C453" i="4"/>
  <c r="C449" i="4"/>
  <c r="C448" i="4"/>
  <c r="C447" i="4"/>
  <c r="C446" i="4"/>
  <c r="C445" i="4"/>
  <c r="C440" i="4"/>
  <c r="C439" i="4"/>
  <c r="C438" i="4"/>
  <c r="C437" i="4"/>
  <c r="C436" i="4"/>
  <c r="C430" i="4"/>
  <c r="C429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09" i="4"/>
  <c r="C408" i="4"/>
  <c r="C407" i="4"/>
  <c r="C406" i="4"/>
  <c r="C402" i="4"/>
  <c r="C401" i="4"/>
  <c r="C400" i="4"/>
  <c r="C399" i="4"/>
  <c r="C395" i="4"/>
  <c r="C394" i="4"/>
  <c r="C393" i="4"/>
  <c r="C392" i="4"/>
  <c r="C391" i="4"/>
  <c r="C390" i="4"/>
  <c r="C384" i="4"/>
  <c r="C383" i="4"/>
  <c r="C382" i="4"/>
  <c r="C381" i="4"/>
  <c r="C380" i="4"/>
  <c r="C379" i="4"/>
  <c r="C378" i="4"/>
  <c r="C377" i="4"/>
  <c r="C376" i="4"/>
  <c r="C375" i="4"/>
  <c r="C374" i="4"/>
  <c r="C371" i="4"/>
  <c r="C370" i="4"/>
  <c r="C369" i="4"/>
  <c r="C368" i="4"/>
  <c r="C367" i="4"/>
  <c r="C366" i="4"/>
  <c r="C365" i="4"/>
  <c r="C364" i="4"/>
  <c r="C363" i="4"/>
  <c r="C362" i="4"/>
  <c r="C356" i="4"/>
  <c r="C355" i="4"/>
  <c r="C354" i="4"/>
  <c r="C353" i="4"/>
  <c r="C352" i="4"/>
  <c r="C351" i="4"/>
  <c r="C350" i="4"/>
  <c r="C346" i="4"/>
  <c r="C345" i="4"/>
  <c r="C344" i="4"/>
  <c r="C343" i="4"/>
  <c r="C342" i="4"/>
  <c r="C340" i="4"/>
  <c r="C339" i="4"/>
  <c r="C338" i="4"/>
  <c r="C337" i="4"/>
  <c r="C336" i="4"/>
  <c r="C335" i="4"/>
  <c r="C329" i="4"/>
  <c r="C326" i="4"/>
  <c r="C325" i="4"/>
  <c r="C323" i="4"/>
  <c r="C322" i="4"/>
  <c r="C316" i="4"/>
  <c r="C315" i="4"/>
  <c r="C314" i="4"/>
  <c r="C313" i="4"/>
  <c r="C312" i="4"/>
  <c r="C309" i="4"/>
  <c r="C308" i="4"/>
  <c r="C307" i="4"/>
  <c r="C306" i="4"/>
  <c r="C305" i="4"/>
  <c r="C304" i="4"/>
  <c r="C303" i="4"/>
  <c r="C302" i="4"/>
  <c r="C300" i="4"/>
  <c r="C299" i="4"/>
  <c r="C298" i="4"/>
  <c r="C297" i="4"/>
  <c r="C288" i="4"/>
  <c r="C287" i="4"/>
  <c r="C286" i="4"/>
  <c r="C285" i="4"/>
  <c r="C284" i="4"/>
  <c r="C282" i="4"/>
  <c r="C281" i="4"/>
  <c r="C280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1" i="4"/>
  <c r="C260" i="4"/>
  <c r="C259" i="4"/>
  <c r="C258" i="4"/>
  <c r="C257" i="4"/>
  <c r="C256" i="4"/>
  <c r="C255" i="4"/>
  <c r="C248" i="4"/>
  <c r="C247" i="4"/>
  <c r="C246" i="4"/>
  <c r="C245" i="4"/>
  <c r="C244" i="4"/>
  <c r="C243" i="4"/>
  <c r="C242" i="4"/>
  <c r="C236" i="4"/>
  <c r="C235" i="4"/>
  <c r="C231" i="4"/>
  <c r="C230" i="4"/>
  <c r="C229" i="4"/>
  <c r="C228" i="4"/>
  <c r="C227" i="4"/>
  <c r="C223" i="4"/>
  <c r="C222" i="4"/>
  <c r="C221" i="4"/>
  <c r="C220" i="4"/>
  <c r="C214" i="4"/>
  <c r="C213" i="4"/>
  <c r="C210" i="4"/>
  <c r="C209" i="4"/>
  <c r="C206" i="4"/>
  <c r="C205" i="4"/>
  <c r="C202" i="4"/>
  <c r="C201" i="4"/>
  <c r="C198" i="4"/>
  <c r="C197" i="4"/>
  <c r="C189" i="4"/>
  <c r="C186" i="4"/>
  <c r="C185" i="4"/>
  <c r="C184" i="4"/>
  <c r="C183" i="4"/>
  <c r="C182" i="4"/>
  <c r="C177" i="4"/>
  <c r="C176" i="4"/>
  <c r="C169" i="4"/>
  <c r="C168" i="4"/>
  <c r="C165" i="4"/>
  <c r="C164" i="4"/>
  <c r="C163" i="4"/>
  <c r="C161" i="4"/>
  <c r="C157" i="4"/>
  <c r="C156" i="4"/>
  <c r="C153" i="4"/>
  <c r="C151" i="4"/>
  <c r="C149" i="4"/>
  <c r="C148" i="4"/>
  <c r="C147" i="4"/>
  <c r="C146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09" i="4"/>
  <c r="C108" i="4"/>
  <c r="C103" i="4"/>
  <c r="C102" i="4"/>
  <c r="C101" i="4"/>
  <c r="C100" i="4"/>
  <c r="C99" i="4"/>
  <c r="C98" i="4"/>
  <c r="C97" i="4"/>
  <c r="C93" i="4"/>
  <c r="C92" i="4"/>
  <c r="C91" i="4"/>
  <c r="C90" i="4"/>
  <c r="C89" i="4"/>
  <c r="C88" i="4"/>
  <c r="C87" i="4"/>
  <c r="C86" i="4"/>
  <c r="C82" i="4"/>
  <c r="C81" i="4"/>
  <c r="C80" i="4"/>
  <c r="C79" i="4"/>
  <c r="C78" i="4"/>
  <c r="C77" i="4"/>
  <c r="C73" i="4"/>
  <c r="C69" i="4"/>
  <c r="C66" i="4"/>
  <c r="C61" i="4"/>
  <c r="C60" i="4"/>
  <c r="C22" i="4"/>
  <c r="AZ2" i="4"/>
  <c r="BA2" i="4"/>
  <c r="BB2" i="4"/>
  <c r="BC2" i="4"/>
  <c r="BD2" i="4"/>
  <c r="BE2" i="4"/>
  <c r="BF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I2" i="4"/>
  <c r="AJ2" i="4"/>
  <c r="AK2" i="4"/>
  <c r="AL2" i="4"/>
  <c r="AM2" i="4"/>
  <c r="AN2" i="4"/>
  <c r="AO2" i="4"/>
  <c r="AP2" i="4"/>
  <c r="AQ2" i="4"/>
  <c r="AR2" i="4"/>
  <c r="AS2" i="4"/>
  <c r="AT2" i="4"/>
  <c r="AU2" i="4"/>
  <c r="AV2" i="4"/>
  <c r="G42" i="10"/>
  <c r="E43" i="10"/>
  <c r="G41" i="10"/>
  <c r="G34" i="13"/>
  <c r="E44" i="10"/>
  <c r="G43" i="10"/>
  <c r="D9" i="23"/>
  <c r="E45" i="10"/>
  <c r="G44" i="10"/>
  <c r="G17" i="13"/>
  <c r="E46" i="10"/>
  <c r="G45" i="10"/>
  <c r="C16" i="28"/>
  <c r="E47" i="10"/>
  <c r="G46" i="10"/>
  <c r="AU71" i="4"/>
  <c r="G47" i="10"/>
  <c r="E48" i="10"/>
  <c r="H10" i="28"/>
  <c r="G44" i="28"/>
  <c r="G35" i="28"/>
  <c r="G26" i="28"/>
  <c r="G24" i="28"/>
  <c r="G22" i="28"/>
  <c r="G20" i="28"/>
  <c r="G16" i="28"/>
  <c r="G14" i="28"/>
  <c r="G12" i="28"/>
  <c r="E49" i="10"/>
  <c r="G48" i="10"/>
  <c r="AU512" i="4"/>
  <c r="G49" i="10"/>
  <c r="L301" i="4"/>
  <c r="C301" i="4"/>
  <c r="AX162" i="4"/>
  <c r="AW162" i="4"/>
  <c r="AW155" i="4"/>
  <c r="C155" i="4"/>
  <c r="AW154" i="4"/>
  <c r="C154" i="4"/>
  <c r="AW152" i="4"/>
  <c r="C152" i="4"/>
  <c r="AW150" i="4"/>
  <c r="C150" i="4"/>
  <c r="AW72" i="4"/>
  <c r="C72" i="4"/>
  <c r="AW71" i="4"/>
  <c r="C71" i="4"/>
  <c r="AW70" i="4"/>
  <c r="C70" i="4"/>
  <c r="AW68" i="4"/>
  <c r="C68" i="4"/>
  <c r="C162" i="4"/>
  <c r="C178" i="4"/>
  <c r="C175" i="4"/>
  <c r="Q254" i="4"/>
  <c r="AW67" i="4"/>
  <c r="C67" i="4"/>
  <c r="AX507" i="4"/>
  <c r="AX34" i="4"/>
  <c r="AX501" i="4"/>
  <c r="AX29" i="4"/>
  <c r="AX471" i="4"/>
  <c r="AX483" i="4"/>
  <c r="AX26" i="4"/>
  <c r="AX462" i="4"/>
  <c r="AX458" i="4"/>
  <c r="AX450" i="4"/>
  <c r="AX441" i="4"/>
  <c r="AX442" i="4"/>
  <c r="AX49" i="4"/>
  <c r="AX427" i="4"/>
  <c r="AX431" i="4"/>
  <c r="AX21" i="4"/>
  <c r="AX410" i="4"/>
  <c r="AX19" i="4"/>
  <c r="AX403" i="4"/>
  <c r="AX20" i="4"/>
  <c r="AX396" i="4"/>
  <c r="AX18" i="4"/>
  <c r="AX385" i="4"/>
  <c r="AX372" i="4"/>
  <c r="AX357" i="4"/>
  <c r="AX347" i="4"/>
  <c r="AX330" i="4"/>
  <c r="AX327" i="4"/>
  <c r="AX317" i="4"/>
  <c r="AX310" i="4"/>
  <c r="AX289" i="4"/>
  <c r="AX277" i="4"/>
  <c r="AX262" i="4"/>
  <c r="AX249" i="4"/>
  <c r="AX237" i="4"/>
  <c r="AX232" i="4"/>
  <c r="AX224" i="4"/>
  <c r="AX46" i="4"/>
  <c r="AX215" i="4"/>
  <c r="AX211" i="4"/>
  <c r="AX207" i="4"/>
  <c r="AX203" i="4"/>
  <c r="AX199" i="4"/>
  <c r="AX190" i="4"/>
  <c r="AX187" i="4"/>
  <c r="AX170" i="4"/>
  <c r="AX166" i="4"/>
  <c r="AX143" i="4"/>
  <c r="AX125" i="4"/>
  <c r="AX110" i="4"/>
  <c r="AX104" i="4"/>
  <c r="AX94" i="4"/>
  <c r="AX83" i="4"/>
  <c r="AX62" i="4"/>
  <c r="AX52" i="4"/>
  <c r="AX51" i="4"/>
  <c r="AX50" i="4"/>
  <c r="AX48" i="4"/>
  <c r="AX47" i="4"/>
  <c r="AX40" i="4"/>
  <c r="AX36" i="4"/>
  <c r="AX35" i="4"/>
  <c r="AX28" i="4"/>
  <c r="AX9" i="4"/>
  <c r="AX8" i="4"/>
  <c r="AX7" i="4"/>
  <c r="D254" i="4"/>
  <c r="AX359" i="4"/>
  <c r="AX16" i="4"/>
  <c r="AX179" i="4"/>
  <c r="AX192" i="4"/>
  <c r="AX291" i="4"/>
  <c r="AX10" i="4"/>
  <c r="AX387" i="4"/>
  <c r="AX17" i="4"/>
  <c r="AX74" i="4"/>
  <c r="AX106" i="4"/>
  <c r="AX319" i="4"/>
  <c r="AX332" i="4"/>
  <c r="AX15" i="4"/>
  <c r="AX217" i="4"/>
  <c r="AX158" i="4"/>
  <c r="AX464" i="4"/>
  <c r="AX25" i="4"/>
  <c r="AX11" i="4"/>
  <c r="AX23" i="4"/>
  <c r="AX12" i="4"/>
  <c r="AX293" i="4"/>
  <c r="AX172" i="4"/>
  <c r="AX43" i="4"/>
  <c r="AX44" i="4"/>
  <c r="AX433" i="4"/>
  <c r="AX45" i="4"/>
  <c r="AX53" i="4"/>
  <c r="AX194" i="4"/>
  <c r="AX251" i="4"/>
  <c r="M254" i="4"/>
  <c r="C254" i="4"/>
  <c r="AY40" i="4"/>
  <c r="V40" i="4"/>
  <c r="BD40" i="4"/>
  <c r="K40" i="4"/>
  <c r="L40" i="4"/>
  <c r="D40" i="4"/>
  <c r="M40" i="4"/>
  <c r="N40" i="4"/>
  <c r="O40" i="4"/>
  <c r="P40" i="4"/>
  <c r="Q40" i="4"/>
  <c r="R40" i="4"/>
  <c r="W40" i="4"/>
  <c r="X40" i="4"/>
  <c r="Y40" i="4"/>
  <c r="Z40" i="4"/>
  <c r="AA40" i="4"/>
  <c r="AB40" i="4"/>
  <c r="AC40" i="4"/>
  <c r="AD40" i="4"/>
  <c r="S40" i="4"/>
  <c r="AE40" i="4"/>
  <c r="AF40" i="4"/>
  <c r="AG40" i="4"/>
  <c r="AH40" i="4"/>
  <c r="AI40" i="4"/>
  <c r="AJ40" i="4"/>
  <c r="AK40" i="4"/>
  <c r="AL40" i="4"/>
  <c r="AM40" i="4"/>
  <c r="E40" i="4"/>
  <c r="F40" i="4"/>
  <c r="AV40" i="4"/>
  <c r="AN40" i="4"/>
  <c r="AO40" i="4"/>
  <c r="AP40" i="4"/>
  <c r="G40" i="4"/>
  <c r="BE40" i="4"/>
  <c r="BA40" i="4"/>
  <c r="AQ40" i="4"/>
  <c r="BC40" i="4"/>
  <c r="AZ40" i="4"/>
  <c r="BB40" i="4"/>
  <c r="I40" i="4"/>
  <c r="U40" i="4"/>
  <c r="AW40" i="4"/>
  <c r="BF40" i="4"/>
  <c r="T40" i="4"/>
  <c r="AR40" i="4"/>
  <c r="AS40" i="4"/>
  <c r="AT40" i="4"/>
  <c r="AU40" i="4"/>
  <c r="J40" i="4"/>
  <c r="G36" i="3"/>
  <c r="J337" i="1"/>
  <c r="V51" i="4"/>
  <c r="BD51" i="4"/>
  <c r="K51" i="4"/>
  <c r="L51" i="4"/>
  <c r="D51" i="4"/>
  <c r="M51" i="4"/>
  <c r="N51" i="4"/>
  <c r="O51" i="4"/>
  <c r="P51" i="4"/>
  <c r="Q51" i="4"/>
  <c r="R51" i="4"/>
  <c r="W51" i="4"/>
  <c r="X51" i="4"/>
  <c r="Y51" i="4"/>
  <c r="Z51" i="4"/>
  <c r="AA51" i="4"/>
  <c r="AB51" i="4"/>
  <c r="AC51" i="4"/>
  <c r="AD51" i="4"/>
  <c r="S51" i="4"/>
  <c r="AE51" i="4"/>
  <c r="AF51" i="4"/>
  <c r="AG51" i="4"/>
  <c r="AH51" i="4"/>
  <c r="AI51" i="4"/>
  <c r="AJ51" i="4"/>
  <c r="AK51" i="4"/>
  <c r="AL51" i="4"/>
  <c r="AM51" i="4"/>
  <c r="E51" i="4"/>
  <c r="F51" i="4"/>
  <c r="AV51" i="4"/>
  <c r="AN51" i="4"/>
  <c r="AO51" i="4"/>
  <c r="AP51" i="4"/>
  <c r="G51" i="4"/>
  <c r="BE51" i="4"/>
  <c r="BA51" i="4"/>
  <c r="AQ51" i="4"/>
  <c r="BC51" i="4"/>
  <c r="AZ51" i="4"/>
  <c r="BB51" i="4"/>
  <c r="I51" i="4"/>
  <c r="U51" i="4"/>
  <c r="AW51" i="4"/>
  <c r="BF51" i="4"/>
  <c r="T51" i="4"/>
  <c r="AR51" i="4"/>
  <c r="AS51" i="4"/>
  <c r="AT51" i="4"/>
  <c r="AU51" i="4"/>
  <c r="AY51" i="4"/>
  <c r="H51" i="4"/>
  <c r="BG51" i="4"/>
  <c r="J51" i="4"/>
  <c r="C51" i="4"/>
  <c r="AW166" i="4"/>
  <c r="AY507" i="4"/>
  <c r="AY34" i="4"/>
  <c r="AY501" i="4"/>
  <c r="AY29" i="4"/>
  <c r="AY471" i="4"/>
  <c r="AY483" i="4"/>
  <c r="AY26" i="4"/>
  <c r="AY462" i="4"/>
  <c r="AY458" i="4"/>
  <c r="AY450" i="4"/>
  <c r="AY441" i="4"/>
  <c r="AY442" i="4"/>
  <c r="AY49" i="4"/>
  <c r="AY427" i="4"/>
  <c r="AY431" i="4"/>
  <c r="AY410" i="4"/>
  <c r="AY19" i="4"/>
  <c r="AY403" i="4"/>
  <c r="AY20" i="4"/>
  <c r="AY396" i="4"/>
  <c r="AY18" i="4"/>
  <c r="AY385" i="4"/>
  <c r="AY372" i="4"/>
  <c r="AY357" i="4"/>
  <c r="AY347" i="4"/>
  <c r="AY330" i="4"/>
  <c r="AY327" i="4"/>
  <c r="AY317" i="4"/>
  <c r="AY310" i="4"/>
  <c r="AY289" i="4"/>
  <c r="AY277" i="4"/>
  <c r="AY262" i="4"/>
  <c r="AY11" i="4"/>
  <c r="AY249" i="4"/>
  <c r="AY237" i="4"/>
  <c r="AY232" i="4"/>
  <c r="AY224" i="4"/>
  <c r="AY46" i="4"/>
  <c r="AY215" i="4"/>
  <c r="AY211" i="4"/>
  <c r="AY207" i="4"/>
  <c r="AY203" i="4"/>
  <c r="AY199" i="4"/>
  <c r="AY190" i="4"/>
  <c r="AY187" i="4"/>
  <c r="AY179" i="4"/>
  <c r="AY170" i="4"/>
  <c r="AY166" i="4"/>
  <c r="AY158" i="4"/>
  <c r="AY143" i="4"/>
  <c r="AY125" i="4"/>
  <c r="AY110" i="4"/>
  <c r="AY104" i="4"/>
  <c r="AY94" i="4"/>
  <c r="AY83" i="4"/>
  <c r="AY74" i="4"/>
  <c r="AY62" i="4"/>
  <c r="AY52" i="4"/>
  <c r="AY50" i="4"/>
  <c r="AY48" i="4"/>
  <c r="AY47" i="4"/>
  <c r="AY36" i="4"/>
  <c r="AY35" i="4"/>
  <c r="AY28" i="4"/>
  <c r="AY9" i="4"/>
  <c r="AY8" i="4"/>
  <c r="AY7" i="4"/>
  <c r="BF507" i="4"/>
  <c r="BF34" i="4"/>
  <c r="BF501" i="4"/>
  <c r="BF29" i="4"/>
  <c r="BF471" i="4"/>
  <c r="BF483" i="4"/>
  <c r="BF26" i="4"/>
  <c r="BF462" i="4"/>
  <c r="BF458" i="4"/>
  <c r="BF450" i="4"/>
  <c r="BF441" i="4"/>
  <c r="BF442" i="4"/>
  <c r="BF49" i="4"/>
  <c r="BF427" i="4"/>
  <c r="BF431" i="4"/>
  <c r="BF410" i="4"/>
  <c r="BF19" i="4"/>
  <c r="BF403" i="4"/>
  <c r="BF20" i="4"/>
  <c r="BF396" i="4"/>
  <c r="BF18" i="4"/>
  <c r="BF385" i="4"/>
  <c r="BF372" i="4"/>
  <c r="BF357" i="4"/>
  <c r="BF347" i="4"/>
  <c r="BF330" i="4"/>
  <c r="BF327" i="4"/>
  <c r="BF317" i="4"/>
  <c r="BF310" i="4"/>
  <c r="BF289" i="4"/>
  <c r="BF277" i="4"/>
  <c r="BF262" i="4"/>
  <c r="BF11" i="4"/>
  <c r="BF249" i="4"/>
  <c r="BF237" i="4"/>
  <c r="BF232" i="4"/>
  <c r="BF224" i="4"/>
  <c r="BF46" i="4"/>
  <c r="BF215" i="4"/>
  <c r="BF211" i="4"/>
  <c r="BF207" i="4"/>
  <c r="BF203" i="4"/>
  <c r="BF199" i="4"/>
  <c r="BF190" i="4"/>
  <c r="BF187" i="4"/>
  <c r="BF179" i="4"/>
  <c r="BF170" i="4"/>
  <c r="BF166" i="4"/>
  <c r="BF158" i="4"/>
  <c r="BF143" i="4"/>
  <c r="BF125" i="4"/>
  <c r="BF110" i="4"/>
  <c r="BF104" i="4"/>
  <c r="BF94" i="4"/>
  <c r="BF83" i="4"/>
  <c r="BF74" i="4"/>
  <c r="BF62" i="4"/>
  <c r="BF52" i="4"/>
  <c r="BF50" i="4"/>
  <c r="BF48" i="4"/>
  <c r="BF47" i="4"/>
  <c r="BF36" i="4"/>
  <c r="BF35" i="4"/>
  <c r="BF28" i="4"/>
  <c r="BF9" i="4"/>
  <c r="BF8" i="4"/>
  <c r="BF7" i="4"/>
  <c r="AW507" i="4"/>
  <c r="AW34" i="4"/>
  <c r="AW501" i="4"/>
  <c r="AW29" i="4"/>
  <c r="AW471" i="4"/>
  <c r="AW483" i="4"/>
  <c r="AW26" i="4"/>
  <c r="AW462" i="4"/>
  <c r="AW458" i="4"/>
  <c r="AW450" i="4"/>
  <c r="AW441" i="4"/>
  <c r="AW442" i="4"/>
  <c r="AW49" i="4"/>
  <c r="AW427" i="4"/>
  <c r="AW431" i="4"/>
  <c r="AW21" i="4"/>
  <c r="AW410" i="4"/>
  <c r="AW19" i="4"/>
  <c r="AW403" i="4"/>
  <c r="AW20" i="4"/>
  <c r="AW396" i="4"/>
  <c r="AW18" i="4"/>
  <c r="AW385" i="4"/>
  <c r="AW372" i="4"/>
  <c r="AW357" i="4"/>
  <c r="AW347" i="4"/>
  <c r="AW330" i="4"/>
  <c r="AW327" i="4"/>
  <c r="AW317" i="4"/>
  <c r="AW310" i="4"/>
  <c r="AW289" i="4"/>
  <c r="AW277" i="4"/>
  <c r="AW262" i="4"/>
  <c r="AW249" i="4"/>
  <c r="AW237" i="4"/>
  <c r="AW232" i="4"/>
  <c r="AW224" i="4"/>
  <c r="AW46" i="4"/>
  <c r="AW215" i="4"/>
  <c r="AW211" i="4"/>
  <c r="AW207" i="4"/>
  <c r="AW203" i="4"/>
  <c r="AW199" i="4"/>
  <c r="AW190" i="4"/>
  <c r="AW187" i="4"/>
  <c r="AW170" i="4"/>
  <c r="AW158" i="4"/>
  <c r="AW143" i="4"/>
  <c r="AW125" i="4"/>
  <c r="AW110" i="4"/>
  <c r="AW104" i="4"/>
  <c r="AW94" i="4"/>
  <c r="AW83" i="4"/>
  <c r="AW74" i="4"/>
  <c r="AW62" i="4"/>
  <c r="AW52" i="4"/>
  <c r="AW50" i="4"/>
  <c r="AW48" i="4"/>
  <c r="AW47" i="4"/>
  <c r="AW36" i="4"/>
  <c r="AW35" i="4"/>
  <c r="AW28" i="4"/>
  <c r="AW9" i="4"/>
  <c r="AW8" i="4"/>
  <c r="AW7" i="4"/>
  <c r="U501" i="4"/>
  <c r="U29" i="4"/>
  <c r="U471" i="4"/>
  <c r="U483" i="4"/>
  <c r="U26" i="4"/>
  <c r="U462" i="4"/>
  <c r="U458" i="4"/>
  <c r="U450" i="4"/>
  <c r="U441" i="4"/>
  <c r="U442" i="4"/>
  <c r="U49" i="4"/>
  <c r="U427" i="4"/>
  <c r="U431" i="4"/>
  <c r="U21" i="4"/>
  <c r="U410" i="4"/>
  <c r="U19" i="4"/>
  <c r="U403" i="4"/>
  <c r="U20" i="4"/>
  <c r="U396" i="4"/>
  <c r="U18" i="4"/>
  <c r="U385" i="4"/>
  <c r="U372" i="4"/>
  <c r="U357" i="4"/>
  <c r="U347" i="4"/>
  <c r="U330" i="4"/>
  <c r="U327" i="4"/>
  <c r="U317" i="4"/>
  <c r="U310" i="4"/>
  <c r="U289" i="4"/>
  <c r="U277" i="4"/>
  <c r="U262" i="4"/>
  <c r="U237" i="4"/>
  <c r="U232" i="4"/>
  <c r="U224" i="4"/>
  <c r="U46" i="4"/>
  <c r="U215" i="4"/>
  <c r="U211" i="4"/>
  <c r="U207" i="4"/>
  <c r="U203" i="4"/>
  <c r="U199" i="4"/>
  <c r="U190" i="4"/>
  <c r="U187" i="4"/>
  <c r="U179" i="4"/>
  <c r="U170" i="4"/>
  <c r="U166" i="4"/>
  <c r="U158" i="4"/>
  <c r="U143" i="4"/>
  <c r="U125" i="4"/>
  <c r="U110" i="4"/>
  <c r="U104" i="4"/>
  <c r="U94" i="4"/>
  <c r="U83" i="4"/>
  <c r="U74" i="4"/>
  <c r="U62" i="4"/>
  <c r="U50" i="4"/>
  <c r="U48" i="4"/>
  <c r="U47" i="4"/>
  <c r="U36" i="4"/>
  <c r="U35" i="4"/>
  <c r="U28" i="4"/>
  <c r="U9" i="4"/>
  <c r="U8" i="4"/>
  <c r="U7" i="4"/>
  <c r="I507" i="4"/>
  <c r="I34" i="4"/>
  <c r="I501" i="4"/>
  <c r="I29" i="4"/>
  <c r="I471" i="4"/>
  <c r="I483" i="4"/>
  <c r="I26" i="4"/>
  <c r="I462" i="4"/>
  <c r="I458" i="4"/>
  <c r="I450" i="4"/>
  <c r="I441" i="4"/>
  <c r="I442" i="4"/>
  <c r="I49" i="4"/>
  <c r="I427" i="4"/>
  <c r="I431" i="4"/>
  <c r="I21" i="4"/>
  <c r="I410" i="4"/>
  <c r="I19" i="4"/>
  <c r="I403" i="4"/>
  <c r="I20" i="4"/>
  <c r="I396" i="4"/>
  <c r="I18" i="4"/>
  <c r="I385" i="4"/>
  <c r="I372" i="4"/>
  <c r="I357" i="4"/>
  <c r="I347" i="4"/>
  <c r="I330" i="4"/>
  <c r="I327" i="4"/>
  <c r="I317" i="4"/>
  <c r="I310" i="4"/>
  <c r="I289" i="4"/>
  <c r="I277" i="4"/>
  <c r="I262" i="4"/>
  <c r="I249" i="4"/>
  <c r="I237" i="4"/>
  <c r="I232" i="4"/>
  <c r="I224" i="4"/>
  <c r="I46" i="4"/>
  <c r="I215" i="4"/>
  <c r="I211" i="4"/>
  <c r="I207" i="4"/>
  <c r="I203" i="4"/>
  <c r="I199" i="4"/>
  <c r="I190" i="4"/>
  <c r="I187" i="4"/>
  <c r="I179" i="4"/>
  <c r="I170" i="4"/>
  <c r="I166" i="4"/>
  <c r="I158" i="4"/>
  <c r="I143" i="4"/>
  <c r="I125" i="4"/>
  <c r="I110" i="4"/>
  <c r="I104" i="4"/>
  <c r="I94" i="4"/>
  <c r="I83" i="4"/>
  <c r="I74" i="4"/>
  <c r="I62" i="4"/>
  <c r="I52" i="4"/>
  <c r="I50" i="4"/>
  <c r="I48" i="4"/>
  <c r="I47" i="4"/>
  <c r="I36" i="4"/>
  <c r="I35" i="4"/>
  <c r="I28" i="4"/>
  <c r="I9" i="4"/>
  <c r="I8" i="4"/>
  <c r="I7" i="4"/>
  <c r="H507" i="4"/>
  <c r="H34" i="4"/>
  <c r="H501" i="4"/>
  <c r="H29" i="4"/>
  <c r="H471" i="4"/>
  <c r="H483" i="4"/>
  <c r="H26" i="4"/>
  <c r="H462" i="4"/>
  <c r="H458" i="4"/>
  <c r="H450" i="4"/>
  <c r="H441" i="4"/>
  <c r="H442" i="4"/>
  <c r="H49" i="4"/>
  <c r="H427" i="4"/>
  <c r="H431" i="4"/>
  <c r="H21" i="4"/>
  <c r="H410" i="4"/>
  <c r="H19" i="4"/>
  <c r="H403" i="4"/>
  <c r="H20" i="4"/>
  <c r="H396" i="4"/>
  <c r="H18" i="4"/>
  <c r="H385" i="4"/>
  <c r="H372" i="4"/>
  <c r="H357" i="4"/>
  <c r="H347" i="4"/>
  <c r="H330" i="4"/>
  <c r="H327" i="4"/>
  <c r="H317" i="4"/>
  <c r="H310" i="4"/>
  <c r="H289" i="4"/>
  <c r="H277" i="4"/>
  <c r="H262" i="4"/>
  <c r="H11" i="4"/>
  <c r="H249" i="4"/>
  <c r="H237" i="4"/>
  <c r="H232" i="4"/>
  <c r="H224" i="4"/>
  <c r="H46" i="4"/>
  <c r="H215" i="4"/>
  <c r="H211" i="4"/>
  <c r="H207" i="4"/>
  <c r="H203" i="4"/>
  <c r="H199" i="4"/>
  <c r="H190" i="4"/>
  <c r="H187" i="4"/>
  <c r="H179" i="4"/>
  <c r="H170" i="4"/>
  <c r="H166" i="4"/>
  <c r="H158" i="4"/>
  <c r="H143" i="4"/>
  <c r="H125" i="4"/>
  <c r="H110" i="4"/>
  <c r="H104" i="4"/>
  <c r="H94" i="4"/>
  <c r="H83" i="4"/>
  <c r="H74" i="4"/>
  <c r="H62" i="4"/>
  <c r="H52" i="4"/>
  <c r="H50" i="4"/>
  <c r="H48" i="4"/>
  <c r="H47" i="4"/>
  <c r="H40" i="4"/>
  <c r="C40" i="4"/>
  <c r="H36" i="4"/>
  <c r="H35" i="4"/>
  <c r="H28" i="4"/>
  <c r="H9" i="4"/>
  <c r="H8" i="4"/>
  <c r="H7" i="4"/>
  <c r="AU501" i="4"/>
  <c r="AU29" i="4"/>
  <c r="AU471" i="4"/>
  <c r="AU483" i="4"/>
  <c r="AU26" i="4"/>
  <c r="AU462" i="4"/>
  <c r="AU458" i="4"/>
  <c r="AU450" i="4"/>
  <c r="AU441" i="4"/>
  <c r="AU442" i="4"/>
  <c r="AU49" i="4"/>
  <c r="AU427" i="4"/>
  <c r="AU431" i="4"/>
  <c r="AU410" i="4"/>
  <c r="AU19" i="4"/>
  <c r="AU403" i="4"/>
  <c r="AU20" i="4"/>
  <c r="AU396" i="4"/>
  <c r="AU18" i="4"/>
  <c r="AU385" i="4"/>
  <c r="AU372" i="4"/>
  <c r="AU357" i="4"/>
  <c r="AU347" i="4"/>
  <c r="AU330" i="4"/>
  <c r="AU327" i="4"/>
  <c r="AU317" i="4"/>
  <c r="AU310" i="4"/>
  <c r="AU289" i="4"/>
  <c r="AU277" i="4"/>
  <c r="AU262" i="4"/>
  <c r="AU249" i="4"/>
  <c r="AU237" i="4"/>
  <c r="AU232" i="4"/>
  <c r="AU224" i="4"/>
  <c r="AU46" i="4"/>
  <c r="AU215" i="4"/>
  <c r="AU211" i="4"/>
  <c r="AU207" i="4"/>
  <c r="AU203" i="4"/>
  <c r="AU199" i="4"/>
  <c r="AU190" i="4"/>
  <c r="AU187" i="4"/>
  <c r="AU179" i="4"/>
  <c r="AU170" i="4"/>
  <c r="AU166" i="4"/>
  <c r="AU158" i="4"/>
  <c r="AU143" i="4"/>
  <c r="AU125" i="4"/>
  <c r="AU110" i="4"/>
  <c r="AU104" i="4"/>
  <c r="AU94" i="4"/>
  <c r="AU83" i="4"/>
  <c r="AU74" i="4"/>
  <c r="AU62" i="4"/>
  <c r="AU52" i="4"/>
  <c r="AU50" i="4"/>
  <c r="AU48" i="4"/>
  <c r="AU47" i="4"/>
  <c r="AU36" i="4"/>
  <c r="AU35" i="4"/>
  <c r="AU28" i="4"/>
  <c r="AU9" i="4"/>
  <c r="AU8" i="4"/>
  <c r="AU7" i="4"/>
  <c r="AT501" i="4"/>
  <c r="AT29" i="4"/>
  <c r="AT471" i="4"/>
  <c r="AT483" i="4"/>
  <c r="AT26" i="4"/>
  <c r="AT462" i="4"/>
  <c r="AT458" i="4"/>
  <c r="AT450" i="4"/>
  <c r="AT441" i="4"/>
  <c r="AT442" i="4"/>
  <c r="AT49" i="4"/>
  <c r="AT427" i="4"/>
  <c r="AT431" i="4"/>
  <c r="AT410" i="4"/>
  <c r="AT19" i="4"/>
  <c r="AT403" i="4"/>
  <c r="AT20" i="4"/>
  <c r="AT396" i="4"/>
  <c r="AT18" i="4"/>
  <c r="AT385" i="4"/>
  <c r="AT372" i="4"/>
  <c r="AT357" i="4"/>
  <c r="AT347" i="4"/>
  <c r="AT330" i="4"/>
  <c r="AT327" i="4"/>
  <c r="AT317" i="4"/>
  <c r="AT310" i="4"/>
  <c r="AT289" i="4"/>
  <c r="AT277" i="4"/>
  <c r="AT262" i="4"/>
  <c r="AT249" i="4"/>
  <c r="AT237" i="4"/>
  <c r="AT232" i="4"/>
  <c r="AT224" i="4"/>
  <c r="AT46" i="4"/>
  <c r="AT215" i="4"/>
  <c r="AT211" i="4"/>
  <c r="AT207" i="4"/>
  <c r="AT203" i="4"/>
  <c r="AT199" i="4"/>
  <c r="AT190" i="4"/>
  <c r="AT187" i="4"/>
  <c r="AT179" i="4"/>
  <c r="AT170" i="4"/>
  <c r="AT166" i="4"/>
  <c r="AT158" i="4"/>
  <c r="AT143" i="4"/>
  <c r="AT125" i="4"/>
  <c r="AT110" i="4"/>
  <c r="AT104" i="4"/>
  <c r="AT94" i="4"/>
  <c r="AT83" i="4"/>
  <c r="AT74" i="4"/>
  <c r="AT62" i="4"/>
  <c r="AT52" i="4"/>
  <c r="AT50" i="4"/>
  <c r="AT48" i="4"/>
  <c r="AT47" i="4"/>
  <c r="AT36" i="4"/>
  <c r="AT35" i="4"/>
  <c r="AT28" i="4"/>
  <c r="AT9" i="4"/>
  <c r="AT8" i="4"/>
  <c r="AT7" i="4"/>
  <c r="AW179" i="4"/>
  <c r="AW192" i="4"/>
  <c r="AY44" i="4"/>
  <c r="AY359" i="4"/>
  <c r="AY16" i="4"/>
  <c r="AY291" i="4"/>
  <c r="AY10" i="4"/>
  <c r="AY12" i="4"/>
  <c r="AY387" i="4"/>
  <c r="AY17" i="4"/>
  <c r="AY464" i="4"/>
  <c r="AY25" i="4"/>
  <c r="AY192" i="4"/>
  <c r="AY319" i="4"/>
  <c r="AY332" i="4"/>
  <c r="AY15" i="4"/>
  <c r="AY106" i="4"/>
  <c r="AY172" i="4"/>
  <c r="AY217" i="4"/>
  <c r="AY21" i="4"/>
  <c r="BF319" i="4"/>
  <c r="BF332" i="4"/>
  <c r="BF15" i="4"/>
  <c r="BF291" i="4"/>
  <c r="BF293" i="4"/>
  <c r="BF359" i="4"/>
  <c r="BF16" i="4"/>
  <c r="BF387" i="4"/>
  <c r="BF17" i="4"/>
  <c r="BF192" i="4"/>
  <c r="BF44" i="4"/>
  <c r="BF464" i="4"/>
  <c r="BF25" i="4"/>
  <c r="BF106" i="4"/>
  <c r="BF172" i="4"/>
  <c r="BF217" i="4"/>
  <c r="BF21" i="4"/>
  <c r="AW319" i="4"/>
  <c r="AW332" i="4"/>
  <c r="AW15" i="4"/>
  <c r="AW359" i="4"/>
  <c r="AW16" i="4"/>
  <c r="AW106" i="4"/>
  <c r="AW172" i="4"/>
  <c r="AW387" i="4"/>
  <c r="AW17" i="4"/>
  <c r="AW464" i="4"/>
  <c r="AW25" i="4"/>
  <c r="U359" i="4"/>
  <c r="U16" i="4"/>
  <c r="U291" i="4"/>
  <c r="U10" i="4"/>
  <c r="AW217" i="4"/>
  <c r="AW291" i="4"/>
  <c r="AW10" i="4"/>
  <c r="AW11" i="4"/>
  <c r="I359" i="4"/>
  <c r="I16" i="4"/>
  <c r="I291" i="4"/>
  <c r="I10" i="4"/>
  <c r="U192" i="4"/>
  <c r="U387" i="4"/>
  <c r="U17" i="4"/>
  <c r="U464" i="4"/>
  <c r="U25" i="4"/>
  <c r="U319" i="4"/>
  <c r="U332" i="4"/>
  <c r="U217" i="4"/>
  <c r="I44" i="4"/>
  <c r="U106" i="4"/>
  <c r="U172" i="4"/>
  <c r="U11" i="4"/>
  <c r="U44" i="4"/>
  <c r="I464" i="4"/>
  <c r="I25" i="4"/>
  <c r="I387" i="4"/>
  <c r="I17" i="4"/>
  <c r="I106" i="4"/>
  <c r="I172" i="4"/>
  <c r="I43" i="4"/>
  <c r="I192" i="4"/>
  <c r="I319" i="4"/>
  <c r="I332" i="4"/>
  <c r="I217" i="4"/>
  <c r="I11" i="4"/>
  <c r="H192" i="4"/>
  <c r="H359" i="4"/>
  <c r="H16" i="4"/>
  <c r="H387" i="4"/>
  <c r="H17" i="4"/>
  <c r="H464" i="4"/>
  <c r="H25" i="4"/>
  <c r="H319" i="4"/>
  <c r="H332" i="4"/>
  <c r="H15" i="4"/>
  <c r="H44" i="4"/>
  <c r="H217" i="4"/>
  <c r="H106" i="4"/>
  <c r="H172" i="4"/>
  <c r="H291" i="4"/>
  <c r="H293" i="4"/>
  <c r="AU359" i="4"/>
  <c r="AU16" i="4"/>
  <c r="AU291" i="4"/>
  <c r="AU10" i="4"/>
  <c r="AU387" i="4"/>
  <c r="AU17" i="4"/>
  <c r="AU106" i="4"/>
  <c r="AU172" i="4"/>
  <c r="AU43" i="4"/>
  <c r="AU44" i="4"/>
  <c r="AU319" i="4"/>
  <c r="AU332" i="4"/>
  <c r="AU15" i="4"/>
  <c r="AU464" i="4"/>
  <c r="AU25" i="4"/>
  <c r="AU192" i="4"/>
  <c r="AU217" i="4"/>
  <c r="AU21" i="4"/>
  <c r="AU11" i="4"/>
  <c r="AT291" i="4"/>
  <c r="AT10" i="4"/>
  <c r="AT387" i="4"/>
  <c r="AT17" i="4"/>
  <c r="AT464" i="4"/>
  <c r="AT25" i="4"/>
  <c r="AT192" i="4"/>
  <c r="AT359" i="4"/>
  <c r="AT16" i="4"/>
  <c r="AT106" i="4"/>
  <c r="AT172" i="4"/>
  <c r="AT319" i="4"/>
  <c r="AT332" i="4"/>
  <c r="AT15" i="4"/>
  <c r="AT217" i="4"/>
  <c r="AT21" i="4"/>
  <c r="AT11" i="4"/>
  <c r="AT44" i="4"/>
  <c r="AU45" i="4"/>
  <c r="AU53" i="4"/>
  <c r="AW44" i="4"/>
  <c r="AY293" i="4"/>
  <c r="AY23" i="4"/>
  <c r="AY433" i="4"/>
  <c r="AY194" i="4"/>
  <c r="AY251" i="4"/>
  <c r="AY43" i="4"/>
  <c r="AY45" i="4"/>
  <c r="AY53" i="4"/>
  <c r="BF10" i="4"/>
  <c r="BF12" i="4"/>
  <c r="BF23" i="4"/>
  <c r="BF433" i="4"/>
  <c r="BF194" i="4"/>
  <c r="BF251" i="4"/>
  <c r="BF43" i="4"/>
  <c r="BF45" i="4"/>
  <c r="BF53" i="4"/>
  <c r="I12" i="4"/>
  <c r="AW23" i="4"/>
  <c r="AW43" i="4"/>
  <c r="AW194" i="4"/>
  <c r="AW251" i="4"/>
  <c r="U12" i="4"/>
  <c r="AW12" i="4"/>
  <c r="U293" i="4"/>
  <c r="AW293" i="4"/>
  <c r="AW433" i="4"/>
  <c r="I293" i="4"/>
  <c r="I45" i="4"/>
  <c r="I53" i="4"/>
  <c r="U194" i="4"/>
  <c r="U43" i="4"/>
  <c r="U45" i="4"/>
  <c r="U15" i="4"/>
  <c r="U23" i="4"/>
  <c r="U433" i="4"/>
  <c r="I194" i="4"/>
  <c r="I251" i="4"/>
  <c r="I15" i="4"/>
  <c r="I23" i="4"/>
  <c r="I433" i="4"/>
  <c r="H194" i="4"/>
  <c r="H251" i="4"/>
  <c r="H23" i="4"/>
  <c r="H433" i="4"/>
  <c r="H43" i="4"/>
  <c r="H45" i="4"/>
  <c r="H53" i="4"/>
  <c r="H10" i="4"/>
  <c r="H12" i="4"/>
  <c r="AU12" i="4"/>
  <c r="AU293" i="4"/>
  <c r="AU194" i="4"/>
  <c r="AU251" i="4"/>
  <c r="AU23" i="4"/>
  <c r="AT12" i="4"/>
  <c r="AT293" i="4"/>
  <c r="AU433" i="4"/>
  <c r="AT194" i="4"/>
  <c r="AT251" i="4"/>
  <c r="AT23" i="4"/>
  <c r="AT433" i="4"/>
  <c r="AT43" i="4"/>
  <c r="AT45" i="4"/>
  <c r="AT53" i="4"/>
  <c r="AW45" i="4"/>
  <c r="AW53" i="4"/>
  <c r="J413" i="1"/>
  <c r="S341" i="4"/>
  <c r="C341" i="4"/>
  <c r="S283" i="4"/>
  <c r="C283" i="4"/>
  <c r="E15" i="13"/>
  <c r="G37" i="13"/>
  <c r="G38" i="13"/>
  <c r="G11" i="12"/>
  <c r="G15" i="13"/>
  <c r="AO512" i="4"/>
  <c r="F27" i="20"/>
  <c r="E27" i="20"/>
  <c r="AS501" i="4"/>
  <c r="AS29" i="4"/>
  <c r="AS471" i="4"/>
  <c r="AS483" i="4"/>
  <c r="AS26" i="4"/>
  <c r="AS462" i="4"/>
  <c r="AS458" i="4"/>
  <c r="AS450" i="4"/>
  <c r="AS441" i="4"/>
  <c r="AS442" i="4"/>
  <c r="AS49" i="4"/>
  <c r="AS427" i="4"/>
  <c r="AS431" i="4"/>
  <c r="AS21" i="4"/>
  <c r="AS410" i="4"/>
  <c r="AS19" i="4"/>
  <c r="AS403" i="4"/>
  <c r="AS20" i="4"/>
  <c r="AS396" i="4"/>
  <c r="AS18" i="4"/>
  <c r="AS385" i="4"/>
  <c r="AS372" i="4"/>
  <c r="AS357" i="4"/>
  <c r="AS347" i="4"/>
  <c r="AS330" i="4"/>
  <c r="AS327" i="4"/>
  <c r="AS317" i="4"/>
  <c r="AS310" i="4"/>
  <c r="AS289" i="4"/>
  <c r="AS277" i="4"/>
  <c r="AS262" i="4"/>
  <c r="AS11" i="4"/>
  <c r="AS249" i="4"/>
  <c r="AS237" i="4"/>
  <c r="AS232" i="4"/>
  <c r="AS224" i="4"/>
  <c r="AS46" i="4"/>
  <c r="AS215" i="4"/>
  <c r="AS211" i="4"/>
  <c r="AS207" i="4"/>
  <c r="AS203" i="4"/>
  <c r="AS199" i="4"/>
  <c r="AS190" i="4"/>
  <c r="AS187" i="4"/>
  <c r="AS179" i="4"/>
  <c r="AS170" i="4"/>
  <c r="AS166" i="4"/>
  <c r="AS158" i="4"/>
  <c r="AS143" i="4"/>
  <c r="AS125" i="4"/>
  <c r="AS110" i="4"/>
  <c r="AS104" i="4"/>
  <c r="AS94" i="4"/>
  <c r="AS83" i="4"/>
  <c r="AS74" i="4"/>
  <c r="AS62" i="4"/>
  <c r="AS52" i="4"/>
  <c r="AS50" i="4"/>
  <c r="AS48" i="4"/>
  <c r="AS47" i="4"/>
  <c r="AS36" i="4"/>
  <c r="AS35" i="4"/>
  <c r="AS34" i="4"/>
  <c r="AS28" i="4"/>
  <c r="AS9" i="4"/>
  <c r="AS8" i="4"/>
  <c r="AS7" i="4"/>
  <c r="AR501" i="4"/>
  <c r="AR29" i="4"/>
  <c r="AR471" i="4"/>
  <c r="AR483" i="4"/>
  <c r="AR26" i="4"/>
  <c r="AR462" i="4"/>
  <c r="AR458" i="4"/>
  <c r="AR450" i="4"/>
  <c r="AR441" i="4"/>
  <c r="AR442" i="4"/>
  <c r="AR49" i="4"/>
  <c r="AR427" i="4"/>
  <c r="AR431" i="4"/>
  <c r="AR410" i="4"/>
  <c r="AR19" i="4"/>
  <c r="AR403" i="4"/>
  <c r="AR20" i="4"/>
  <c r="AR396" i="4"/>
  <c r="AR18" i="4"/>
  <c r="AR385" i="4"/>
  <c r="AR372" i="4"/>
  <c r="AR357" i="4"/>
  <c r="AR347" i="4"/>
  <c r="AR330" i="4"/>
  <c r="AR327" i="4"/>
  <c r="AR317" i="4"/>
  <c r="AR310" i="4"/>
  <c r="AR289" i="4"/>
  <c r="AR277" i="4"/>
  <c r="AR262" i="4"/>
  <c r="AR11" i="4"/>
  <c r="AR249" i="4"/>
  <c r="AR237" i="4"/>
  <c r="AR232" i="4"/>
  <c r="AR224" i="4"/>
  <c r="AR46" i="4"/>
  <c r="AR215" i="4"/>
  <c r="AR211" i="4"/>
  <c r="AR207" i="4"/>
  <c r="AR203" i="4"/>
  <c r="AR199" i="4"/>
  <c r="AR190" i="4"/>
  <c r="AR187" i="4"/>
  <c r="AR179" i="4"/>
  <c r="AR170" i="4"/>
  <c r="AR166" i="4"/>
  <c r="AR158" i="4"/>
  <c r="AR143" i="4"/>
  <c r="AR125" i="4"/>
  <c r="AR110" i="4"/>
  <c r="AR104" i="4"/>
  <c r="AR94" i="4"/>
  <c r="AR83" i="4"/>
  <c r="AR74" i="4"/>
  <c r="AR62" i="4"/>
  <c r="AR52" i="4"/>
  <c r="AR50" i="4"/>
  <c r="AR48" i="4"/>
  <c r="AR47" i="4"/>
  <c r="AR36" i="4"/>
  <c r="AR35" i="4"/>
  <c r="AR34" i="4"/>
  <c r="AR28" i="4"/>
  <c r="AR9" i="4"/>
  <c r="AR8" i="4"/>
  <c r="AR7" i="4"/>
  <c r="M324" i="4"/>
  <c r="C324" i="4"/>
  <c r="AS291" i="4"/>
  <c r="AS10" i="4"/>
  <c r="AS12" i="4"/>
  <c r="AS387" i="4"/>
  <c r="AS17" i="4"/>
  <c r="AR464" i="4"/>
  <c r="AR25" i="4"/>
  <c r="AR44" i="4"/>
  <c r="AS464" i="4"/>
  <c r="AS25" i="4"/>
  <c r="AS319" i="4"/>
  <c r="AS332" i="4"/>
  <c r="AS15" i="4"/>
  <c r="AR291" i="4"/>
  <c r="AR10" i="4"/>
  <c r="AR12" i="4"/>
  <c r="AR387" i="4"/>
  <c r="AR17" i="4"/>
  <c r="AS106" i="4"/>
  <c r="AS172" i="4"/>
  <c r="AS44" i="4"/>
  <c r="AS359" i="4"/>
  <c r="AS16" i="4"/>
  <c r="AR106" i="4"/>
  <c r="AR172" i="4"/>
  <c r="AR217" i="4"/>
  <c r="AR192" i="4"/>
  <c r="AR359" i="4"/>
  <c r="AR16" i="4"/>
  <c r="AS217" i="4"/>
  <c r="AS192" i="4"/>
  <c r="AR319" i="4"/>
  <c r="AR332" i="4"/>
  <c r="AR15" i="4"/>
  <c r="AR21" i="4"/>
  <c r="AS293" i="4"/>
  <c r="AR194" i="4"/>
  <c r="AR251" i="4"/>
  <c r="AS194" i="4"/>
  <c r="AS251" i="4"/>
  <c r="AR293" i="4"/>
  <c r="AS23" i="4"/>
  <c r="AR43" i="4"/>
  <c r="AR45" i="4"/>
  <c r="AR53" i="4"/>
  <c r="AS433" i="4"/>
  <c r="AS43" i="4"/>
  <c r="AS45" i="4"/>
  <c r="AS53" i="4"/>
  <c r="AR23" i="4"/>
  <c r="AR433" i="4"/>
  <c r="C188" i="1"/>
  <c r="F30" i="19"/>
  <c r="C290" i="1"/>
  <c r="E18" i="18"/>
  <c r="E20" i="18"/>
  <c r="C468" i="1"/>
  <c r="C464" i="1"/>
  <c r="C461" i="1"/>
  <c r="C460" i="1"/>
  <c r="C465" i="1"/>
  <c r="C476" i="1"/>
  <c r="C313" i="1"/>
  <c r="C350" i="1"/>
  <c r="C349" i="1"/>
  <c r="C219" i="1"/>
  <c r="J330" i="4"/>
  <c r="V330" i="4"/>
  <c r="BD330" i="4"/>
  <c r="K330" i="4"/>
  <c r="L330" i="4"/>
  <c r="D330" i="4"/>
  <c r="M330" i="4"/>
  <c r="N330" i="4"/>
  <c r="O330" i="4"/>
  <c r="P330" i="4"/>
  <c r="Q330" i="4"/>
  <c r="R330" i="4"/>
  <c r="W330" i="4"/>
  <c r="X330" i="4"/>
  <c r="Y330" i="4"/>
  <c r="Z330" i="4"/>
  <c r="AA330" i="4"/>
  <c r="AB330" i="4"/>
  <c r="AC330" i="4"/>
  <c r="AD330" i="4"/>
  <c r="S330" i="4"/>
  <c r="AE330" i="4"/>
  <c r="AF330" i="4"/>
  <c r="AG330" i="4"/>
  <c r="AH330" i="4"/>
  <c r="AI330" i="4"/>
  <c r="AJ330" i="4"/>
  <c r="AK330" i="4"/>
  <c r="AL330" i="4"/>
  <c r="AM330" i="4"/>
  <c r="E330" i="4"/>
  <c r="F330" i="4"/>
  <c r="AV330" i="4"/>
  <c r="T330" i="4"/>
  <c r="AN330" i="4"/>
  <c r="AO330" i="4"/>
  <c r="AP330" i="4"/>
  <c r="G330" i="4"/>
  <c r="BE330" i="4"/>
  <c r="BA330" i="4"/>
  <c r="AQ330" i="4"/>
  <c r="BC330" i="4"/>
  <c r="AZ330" i="4"/>
  <c r="BB330" i="4"/>
  <c r="C330" i="4"/>
  <c r="F342" i="1"/>
  <c r="F343" i="1"/>
  <c r="C342" i="1"/>
  <c r="C343" i="1"/>
  <c r="D128" i="1"/>
  <c r="C413" i="1"/>
  <c r="C259" i="1"/>
  <c r="C258" i="1"/>
  <c r="C257" i="1"/>
  <c r="C248" i="1"/>
  <c r="C240" i="1"/>
  <c r="D248" i="1"/>
  <c r="E248" i="1"/>
  <c r="C223" i="1"/>
  <c r="C215" i="1"/>
  <c r="C211" i="1"/>
  <c r="C207" i="1"/>
  <c r="C186" i="1"/>
  <c r="C185" i="1"/>
  <c r="C187" i="1"/>
  <c r="C169" i="1"/>
  <c r="F114" i="1"/>
  <c r="C513" i="1"/>
  <c r="C511" i="1"/>
  <c r="C497" i="1"/>
  <c r="C496" i="1"/>
  <c r="C494" i="1"/>
  <c r="C493" i="1"/>
  <c r="C491" i="1"/>
  <c r="C488" i="1"/>
  <c r="C485" i="1"/>
  <c r="C484" i="1"/>
  <c r="C483" i="1"/>
  <c r="C442" i="1"/>
  <c r="C439" i="1"/>
  <c r="C436" i="1"/>
  <c r="C435" i="1"/>
  <c r="C420" i="1"/>
  <c r="C405" i="1"/>
  <c r="C404" i="1"/>
  <c r="C389" i="1"/>
  <c r="C384" i="1"/>
  <c r="C369" i="1"/>
  <c r="C364" i="1"/>
  <c r="C358" i="1"/>
  <c r="C339" i="1"/>
  <c r="C328" i="1"/>
  <c r="C327" i="1"/>
  <c r="C322" i="1"/>
  <c r="C319" i="1"/>
  <c r="C315" i="1"/>
  <c r="C299" i="1"/>
  <c r="C298" i="1"/>
  <c r="C302" i="1"/>
  <c r="C312" i="1"/>
  <c r="C311" i="1"/>
  <c r="C268" i="1"/>
  <c r="C267" i="1"/>
  <c r="C273" i="1"/>
  <c r="D268" i="1"/>
  <c r="C323" i="1"/>
  <c r="G28" i="28"/>
  <c r="G30" i="28"/>
  <c r="G32" i="28"/>
  <c r="I32" i="28"/>
  <c r="E30" i="28"/>
  <c r="F30" i="28"/>
  <c r="E32" i="28"/>
  <c r="F32" i="28"/>
  <c r="J32" i="28"/>
  <c r="I28" i="28"/>
  <c r="I30" i="28"/>
  <c r="J30" i="28"/>
  <c r="H40" i="28"/>
  <c r="G40" i="28"/>
  <c r="F501" i="1"/>
  <c r="F502" i="1"/>
  <c r="F503" i="1"/>
  <c r="F504" i="1"/>
  <c r="E391" i="1"/>
  <c r="I46" i="28"/>
  <c r="I44" i="28"/>
  <c r="D42" i="28"/>
  <c r="I41" i="28"/>
  <c r="I40" i="28"/>
  <c r="D37" i="28"/>
  <c r="I36" i="28"/>
  <c r="I35" i="28"/>
  <c r="I26" i="28"/>
  <c r="I24" i="28"/>
  <c r="I22" i="28"/>
  <c r="E22" i="28"/>
  <c r="F22" i="28"/>
  <c r="I20" i="28"/>
  <c r="I18" i="28"/>
  <c r="I16" i="28"/>
  <c r="E16" i="28"/>
  <c r="F16" i="28"/>
  <c r="I14" i="28"/>
  <c r="I12" i="28"/>
  <c r="I10" i="28"/>
  <c r="D48" i="28"/>
  <c r="J22" i="28"/>
  <c r="J16" i="28"/>
  <c r="BA34" i="4"/>
  <c r="BA501" i="4"/>
  <c r="BA29" i="4"/>
  <c r="BA471" i="4"/>
  <c r="BA483" i="4"/>
  <c r="BA26" i="4"/>
  <c r="BA462" i="4"/>
  <c r="BA458" i="4"/>
  <c r="BA450" i="4"/>
  <c r="BA441" i="4"/>
  <c r="BA427" i="4"/>
  <c r="BA431" i="4"/>
  <c r="BA21" i="4"/>
  <c r="BA410" i="4"/>
  <c r="BA19" i="4"/>
  <c r="BA403" i="4"/>
  <c r="BA20" i="4"/>
  <c r="BA396" i="4"/>
  <c r="BA18" i="4"/>
  <c r="BA385" i="4"/>
  <c r="BA372" i="4"/>
  <c r="BA357" i="4"/>
  <c r="BA347" i="4"/>
  <c r="BA327" i="4"/>
  <c r="BA317" i="4"/>
  <c r="BA310" i="4"/>
  <c r="BA289" i="4"/>
  <c r="BA277" i="4"/>
  <c r="BA262" i="4"/>
  <c r="BA11" i="4"/>
  <c r="BA249" i="4"/>
  <c r="BA237" i="4"/>
  <c r="BA232" i="4"/>
  <c r="BA224" i="4"/>
  <c r="BA46" i="4"/>
  <c r="BA215" i="4"/>
  <c r="BA211" i="4"/>
  <c r="BA207" i="4"/>
  <c r="BA203" i="4"/>
  <c r="BA199" i="4"/>
  <c r="BA190" i="4"/>
  <c r="BA187" i="4"/>
  <c r="BA179" i="4"/>
  <c r="BA170" i="4"/>
  <c r="BA166" i="4"/>
  <c r="BA158" i="4"/>
  <c r="BA143" i="4"/>
  <c r="BA125" i="4"/>
  <c r="BA110" i="4"/>
  <c r="BA104" i="4"/>
  <c r="BA94" i="4"/>
  <c r="BA83" i="4"/>
  <c r="BA74" i="4"/>
  <c r="BA62" i="4"/>
  <c r="BA52" i="4"/>
  <c r="BA50" i="4"/>
  <c r="BA48" i="4"/>
  <c r="BA47" i="4"/>
  <c r="BA36" i="4"/>
  <c r="BA35" i="4"/>
  <c r="BA28" i="4"/>
  <c r="BA9" i="4"/>
  <c r="BA8" i="4"/>
  <c r="BA7" i="4"/>
  <c r="D515" i="1"/>
  <c r="BA442" i="4"/>
  <c r="BA49" i="4"/>
  <c r="BA192" i="4"/>
  <c r="BA291" i="4"/>
  <c r="BA293" i="4"/>
  <c r="BA359" i="4"/>
  <c r="BA16" i="4"/>
  <c r="BA464" i="4"/>
  <c r="BA25" i="4"/>
  <c r="BA387" i="4"/>
  <c r="BA17" i="4"/>
  <c r="BA106" i="4"/>
  <c r="BA172" i="4"/>
  <c r="BA43" i="4"/>
  <c r="BA44" i="4"/>
  <c r="BA217" i="4"/>
  <c r="BA319" i="4"/>
  <c r="BA332" i="4"/>
  <c r="BA10" i="4"/>
  <c r="BA12" i="4"/>
  <c r="BA15" i="4"/>
  <c r="BA23" i="4"/>
  <c r="BA433" i="4"/>
  <c r="BA45" i="4"/>
  <c r="BA53" i="4"/>
  <c r="BA194" i="4"/>
  <c r="BA251" i="4"/>
  <c r="N22" i="13"/>
  <c r="AB317" i="4"/>
  <c r="AB310" i="4"/>
  <c r="F34" i="15"/>
  <c r="F36" i="15"/>
  <c r="F41" i="15"/>
  <c r="BD237" i="4"/>
  <c r="E40" i="3"/>
  <c r="AA17" i="7"/>
  <c r="Y17" i="7"/>
  <c r="O35" i="14"/>
  <c r="J35" i="14"/>
  <c r="H35" i="14"/>
  <c r="L34" i="14"/>
  <c r="M34" i="14"/>
  <c r="N34" i="14"/>
  <c r="Q34" i="14"/>
  <c r="C229" i="1"/>
  <c r="C230" i="1"/>
  <c r="D259" i="1"/>
  <c r="E259" i="1"/>
  <c r="F260" i="1"/>
  <c r="G260" i="1"/>
  <c r="B247" i="4"/>
  <c r="E260" i="1"/>
  <c r="D260" i="1"/>
  <c r="F10" i="6"/>
  <c r="J327" i="4"/>
  <c r="V327" i="4"/>
  <c r="BD327" i="4"/>
  <c r="K327" i="4"/>
  <c r="L327" i="4"/>
  <c r="D327" i="4"/>
  <c r="M327" i="4"/>
  <c r="N327" i="4"/>
  <c r="O327" i="4"/>
  <c r="P327" i="4"/>
  <c r="Q327" i="4"/>
  <c r="R327" i="4"/>
  <c r="W327" i="4"/>
  <c r="X327" i="4"/>
  <c r="Y327" i="4"/>
  <c r="Z327" i="4"/>
  <c r="AA327" i="4"/>
  <c r="AB327" i="4"/>
  <c r="AC327" i="4"/>
  <c r="AD327" i="4"/>
  <c r="S327" i="4"/>
  <c r="AE327" i="4"/>
  <c r="AF327" i="4"/>
  <c r="AG327" i="4"/>
  <c r="AH327" i="4"/>
  <c r="AI327" i="4"/>
  <c r="AJ327" i="4"/>
  <c r="AK327" i="4"/>
  <c r="AL327" i="4"/>
  <c r="AQ327" i="4"/>
  <c r="AM327" i="4"/>
  <c r="E327" i="4"/>
  <c r="F327" i="4"/>
  <c r="AV327" i="4"/>
  <c r="T327" i="4"/>
  <c r="AN327" i="4"/>
  <c r="AO327" i="4"/>
  <c r="AP327" i="4"/>
  <c r="AZ327" i="4"/>
  <c r="G327" i="4"/>
  <c r="BB327" i="4"/>
  <c r="BE327" i="4"/>
  <c r="BC327" i="4"/>
  <c r="F335" i="1"/>
  <c r="B322" i="4"/>
  <c r="D164" i="1"/>
  <c r="E164" i="1"/>
  <c r="J513" i="1"/>
  <c r="E436" i="1"/>
  <c r="E435" i="1"/>
  <c r="C51" i="1"/>
  <c r="C108" i="1"/>
  <c r="O42" i="7"/>
  <c r="E257" i="1"/>
  <c r="D257" i="1"/>
  <c r="G41" i="11"/>
  <c r="G36" i="11"/>
  <c r="G43" i="11"/>
  <c r="E16" i="11"/>
  <c r="AB753" i="4"/>
  <c r="AB754" i="4"/>
  <c r="Z757" i="4"/>
  <c r="Z754" i="4"/>
  <c r="F350" i="1"/>
  <c r="K7" i="4"/>
  <c r="AV507" i="4"/>
  <c r="AV34" i="4"/>
  <c r="AV501" i="4"/>
  <c r="AV29" i="4"/>
  <c r="AV471" i="4"/>
  <c r="AV483" i="4"/>
  <c r="AV26" i="4"/>
  <c r="AV462" i="4"/>
  <c r="AV458" i="4"/>
  <c r="AV450" i="4"/>
  <c r="AV427" i="4"/>
  <c r="AV431" i="4"/>
  <c r="AV410" i="4"/>
  <c r="AV19" i="4"/>
  <c r="AV403" i="4"/>
  <c r="AV20" i="4"/>
  <c r="AV396" i="4"/>
  <c r="AV18" i="4"/>
  <c r="AV385" i="4"/>
  <c r="AV372" i="4"/>
  <c r="AV357" i="4"/>
  <c r="AV347" i="4"/>
  <c r="AV317" i="4"/>
  <c r="AV310" i="4"/>
  <c r="AV289" i="4"/>
  <c r="AV277" i="4"/>
  <c r="AV262" i="4"/>
  <c r="AV11" i="4"/>
  <c r="AV249" i="4"/>
  <c r="AV237" i="4"/>
  <c r="AV232" i="4"/>
  <c r="AV224" i="4"/>
  <c r="AV46" i="4"/>
  <c r="AV215" i="4"/>
  <c r="AV211" i="4"/>
  <c r="AV207" i="4"/>
  <c r="AV203" i="4"/>
  <c r="AV199" i="4"/>
  <c r="AV190" i="4"/>
  <c r="AV187" i="4"/>
  <c r="AV179" i="4"/>
  <c r="AV170" i="4"/>
  <c r="AV166" i="4"/>
  <c r="AV158" i="4"/>
  <c r="AV143" i="4"/>
  <c r="AV125" i="4"/>
  <c r="AV110" i="4"/>
  <c r="AV104" i="4"/>
  <c r="AV94" i="4"/>
  <c r="AV83" i="4"/>
  <c r="AV74" i="4"/>
  <c r="AV62" i="4"/>
  <c r="AV52" i="4"/>
  <c r="AV50" i="4"/>
  <c r="AV48" i="4"/>
  <c r="AV47" i="4"/>
  <c r="AV36" i="4"/>
  <c r="AV35" i="4"/>
  <c r="AV28" i="4"/>
  <c r="AV9" i="4"/>
  <c r="AV8" i="4"/>
  <c r="AV7" i="4"/>
  <c r="AV291" i="4"/>
  <c r="AV10" i="4"/>
  <c r="AV12" i="4"/>
  <c r="AV319" i="4"/>
  <c r="AV332" i="4"/>
  <c r="AV464" i="4"/>
  <c r="AV25" i="4"/>
  <c r="AV192" i="4"/>
  <c r="AV387" i="4"/>
  <c r="AV44" i="4"/>
  <c r="AV106" i="4"/>
  <c r="AV172" i="4"/>
  <c r="AV217" i="4"/>
  <c r="AV21" i="4"/>
  <c r="AV359" i="4"/>
  <c r="AV16" i="4"/>
  <c r="AV293" i="4"/>
  <c r="AV15" i="4"/>
  <c r="AV17" i="4"/>
  <c r="AV441" i="4"/>
  <c r="AV194" i="4"/>
  <c r="AV251" i="4"/>
  <c r="AV43" i="4"/>
  <c r="AV45" i="4"/>
  <c r="AV442" i="4"/>
  <c r="AV49" i="4"/>
  <c r="AV53" i="4"/>
  <c r="AV23" i="4"/>
  <c r="AV433" i="4"/>
  <c r="W28" i="4"/>
  <c r="Q22" i="13"/>
  <c r="F257" i="1"/>
  <c r="BC507" i="4"/>
  <c r="BC34" i="4"/>
  <c r="G507" i="4"/>
  <c r="G34" i="4"/>
  <c r="BC501" i="4"/>
  <c r="BC29" i="4"/>
  <c r="G501" i="4"/>
  <c r="G29" i="4"/>
  <c r="AZ501" i="4"/>
  <c r="AZ29" i="4"/>
  <c r="BC471" i="4"/>
  <c r="BC483" i="4"/>
  <c r="BC26" i="4"/>
  <c r="G471" i="4"/>
  <c r="G483" i="4"/>
  <c r="G26" i="4"/>
  <c r="AZ471" i="4"/>
  <c r="AZ483" i="4"/>
  <c r="AZ26" i="4"/>
  <c r="BC462" i="4"/>
  <c r="G462" i="4"/>
  <c r="AZ462" i="4"/>
  <c r="BC458" i="4"/>
  <c r="G458" i="4"/>
  <c r="AZ458" i="4"/>
  <c r="BC450" i="4"/>
  <c r="G450" i="4"/>
  <c r="AZ450" i="4"/>
  <c r="BC427" i="4"/>
  <c r="BC431" i="4"/>
  <c r="G427" i="4"/>
  <c r="G431" i="4"/>
  <c r="AZ427" i="4"/>
  <c r="AZ431" i="4"/>
  <c r="BC410" i="4"/>
  <c r="BC19" i="4"/>
  <c r="G410" i="4"/>
  <c r="G19" i="4"/>
  <c r="AZ410" i="4"/>
  <c r="AZ19" i="4"/>
  <c r="BC403" i="4"/>
  <c r="BC20" i="4"/>
  <c r="G403" i="4"/>
  <c r="G20" i="4"/>
  <c r="AZ403" i="4"/>
  <c r="AZ20" i="4"/>
  <c r="BC396" i="4"/>
  <c r="G396" i="4"/>
  <c r="AZ396" i="4"/>
  <c r="AZ18" i="4"/>
  <c r="BC385" i="4"/>
  <c r="G385" i="4"/>
  <c r="AZ385" i="4"/>
  <c r="BC372" i="4"/>
  <c r="G372" i="4"/>
  <c r="AZ372" i="4"/>
  <c r="BC357" i="4"/>
  <c r="G357" i="4"/>
  <c r="AZ357" i="4"/>
  <c r="BC347" i="4"/>
  <c r="G347" i="4"/>
  <c r="AZ347" i="4"/>
  <c r="BC317" i="4"/>
  <c r="G317" i="4"/>
  <c r="AZ317" i="4"/>
  <c r="BC310" i="4"/>
  <c r="G310" i="4"/>
  <c r="AZ310" i="4"/>
  <c r="BC289" i="4"/>
  <c r="G289" i="4"/>
  <c r="AZ289" i="4"/>
  <c r="BC277" i="4"/>
  <c r="G277" i="4"/>
  <c r="AZ277" i="4"/>
  <c r="BC262" i="4"/>
  <c r="G262" i="4"/>
  <c r="AZ262" i="4"/>
  <c r="AZ11" i="4"/>
  <c r="BC249" i="4"/>
  <c r="G249" i="4"/>
  <c r="AZ249" i="4"/>
  <c r="BC237" i="4"/>
  <c r="G237" i="4"/>
  <c r="AZ237" i="4"/>
  <c r="BC232" i="4"/>
  <c r="G232" i="4"/>
  <c r="AZ232" i="4"/>
  <c r="BC224" i="4"/>
  <c r="BC46" i="4"/>
  <c r="G224" i="4"/>
  <c r="G46" i="4"/>
  <c r="AZ224" i="4"/>
  <c r="AZ46" i="4"/>
  <c r="BC215" i="4"/>
  <c r="G215" i="4"/>
  <c r="AZ215" i="4"/>
  <c r="BC211" i="4"/>
  <c r="G211" i="4"/>
  <c r="AZ211" i="4"/>
  <c r="BC207" i="4"/>
  <c r="G207" i="4"/>
  <c r="AZ207" i="4"/>
  <c r="BC203" i="4"/>
  <c r="G203" i="4"/>
  <c r="AZ203" i="4"/>
  <c r="BC199" i="4"/>
  <c r="G199" i="4"/>
  <c r="AZ199" i="4"/>
  <c r="BC190" i="4"/>
  <c r="G190" i="4"/>
  <c r="AZ190" i="4"/>
  <c r="BC187" i="4"/>
  <c r="G187" i="4"/>
  <c r="AZ187" i="4"/>
  <c r="BC179" i="4"/>
  <c r="G179" i="4"/>
  <c r="AZ179" i="4"/>
  <c r="BC170" i="4"/>
  <c r="G170" i="4"/>
  <c r="AZ170" i="4"/>
  <c r="BC166" i="4"/>
  <c r="G166" i="4"/>
  <c r="AZ166" i="4"/>
  <c r="BC158" i="4"/>
  <c r="G158" i="4"/>
  <c r="AZ158" i="4"/>
  <c r="BC143" i="4"/>
  <c r="G143" i="4"/>
  <c r="AZ143" i="4"/>
  <c r="BC125" i="4"/>
  <c r="G125" i="4"/>
  <c r="AZ125" i="4"/>
  <c r="BC110" i="4"/>
  <c r="G110" i="4"/>
  <c r="AZ110" i="4"/>
  <c r="BC104" i="4"/>
  <c r="G104" i="4"/>
  <c r="AZ104" i="4"/>
  <c r="BC94" i="4"/>
  <c r="G94" i="4"/>
  <c r="AZ94" i="4"/>
  <c r="BC83" i="4"/>
  <c r="G83" i="4"/>
  <c r="AZ83" i="4"/>
  <c r="BC74" i="4"/>
  <c r="G74" i="4"/>
  <c r="AZ74" i="4"/>
  <c r="BC62" i="4"/>
  <c r="G62" i="4"/>
  <c r="AZ62" i="4"/>
  <c r="BC52" i="4"/>
  <c r="G52" i="4"/>
  <c r="AZ52" i="4"/>
  <c r="BC50" i="4"/>
  <c r="G50" i="4"/>
  <c r="AZ50" i="4"/>
  <c r="BC48" i="4"/>
  <c r="G48" i="4"/>
  <c r="AZ48" i="4"/>
  <c r="BC47" i="4"/>
  <c r="G47" i="4"/>
  <c r="AZ47" i="4"/>
  <c r="BC36" i="4"/>
  <c r="G36" i="4"/>
  <c r="AZ36" i="4"/>
  <c r="BC35" i="4"/>
  <c r="G35" i="4"/>
  <c r="AZ35" i="4"/>
  <c r="BC28" i="4"/>
  <c r="G28" i="4"/>
  <c r="AZ28" i="4"/>
  <c r="BC27" i="4"/>
  <c r="BC9" i="4"/>
  <c r="G9" i="4"/>
  <c r="AZ9" i="4"/>
  <c r="BC8" i="4"/>
  <c r="G8" i="4"/>
  <c r="AZ8" i="4"/>
  <c r="BC7" i="4"/>
  <c r="G7" i="4"/>
  <c r="AZ7" i="4"/>
  <c r="C327" i="4"/>
  <c r="G257" i="1"/>
  <c r="BC291" i="4"/>
  <c r="BC10" i="4"/>
  <c r="AZ291" i="4"/>
  <c r="AZ293" i="4"/>
  <c r="G464" i="4"/>
  <c r="G25" i="4"/>
  <c r="G44" i="4"/>
  <c r="AZ44" i="4"/>
  <c r="G291" i="4"/>
  <c r="G10" i="4"/>
  <c r="BC387" i="4"/>
  <c r="BC17" i="4"/>
  <c r="BC44" i="4"/>
  <c r="AZ387" i="4"/>
  <c r="AZ359" i="4"/>
  <c r="AZ16" i="4"/>
  <c r="G387" i="4"/>
  <c r="AZ464" i="4"/>
  <c r="AZ25" i="4"/>
  <c r="BC464" i="4"/>
  <c r="BC25" i="4"/>
  <c r="G18" i="4"/>
  <c r="G11" i="4"/>
  <c r="BC18" i="4"/>
  <c r="BC11" i="4"/>
  <c r="AZ106" i="4"/>
  <c r="AZ172" i="4"/>
  <c r="AZ192" i="4"/>
  <c r="AZ217" i="4"/>
  <c r="AZ319" i="4"/>
  <c r="AZ332" i="4"/>
  <c r="G106" i="4"/>
  <c r="G172" i="4"/>
  <c r="G43" i="4"/>
  <c r="G192" i="4"/>
  <c r="G217" i="4"/>
  <c r="G319" i="4"/>
  <c r="G332" i="4"/>
  <c r="AZ21" i="4"/>
  <c r="BC106" i="4"/>
  <c r="BC172" i="4"/>
  <c r="BC192" i="4"/>
  <c r="BC217" i="4"/>
  <c r="BC319" i="4"/>
  <c r="BC332" i="4"/>
  <c r="BC359" i="4"/>
  <c r="BC16" i="4"/>
  <c r="BC21" i="4"/>
  <c r="G21" i="4"/>
  <c r="G359" i="4"/>
  <c r="G16" i="4"/>
  <c r="BE507" i="4"/>
  <c r="BE34" i="4"/>
  <c r="BB507" i="4"/>
  <c r="BB34" i="4"/>
  <c r="BE501" i="4"/>
  <c r="BE29" i="4"/>
  <c r="BB501" i="4"/>
  <c r="BB29" i="4"/>
  <c r="BE471" i="4"/>
  <c r="BE483" i="4"/>
  <c r="BE26" i="4"/>
  <c r="BB471" i="4"/>
  <c r="BB483" i="4"/>
  <c r="BB26" i="4"/>
  <c r="BE462" i="4"/>
  <c r="BB462" i="4"/>
  <c r="BE458" i="4"/>
  <c r="BB458" i="4"/>
  <c r="BE450" i="4"/>
  <c r="BB450" i="4"/>
  <c r="BE427" i="4"/>
  <c r="BE431" i="4"/>
  <c r="BB427" i="4"/>
  <c r="BB431" i="4"/>
  <c r="BE410" i="4"/>
  <c r="BE19" i="4"/>
  <c r="BB410" i="4"/>
  <c r="BB19" i="4"/>
  <c r="BE403" i="4"/>
  <c r="BE20" i="4"/>
  <c r="BB403" i="4"/>
  <c r="BB20" i="4"/>
  <c r="BE396" i="4"/>
  <c r="BB396" i="4"/>
  <c r="BB18" i="4"/>
  <c r="BE385" i="4"/>
  <c r="BB385" i="4"/>
  <c r="BE372" i="4"/>
  <c r="BB372" i="4"/>
  <c r="BE357" i="4"/>
  <c r="BB357" i="4"/>
  <c r="BE347" i="4"/>
  <c r="BB347" i="4"/>
  <c r="BE317" i="4"/>
  <c r="BB317" i="4"/>
  <c r="BE310" i="4"/>
  <c r="BB310" i="4"/>
  <c r="BE289" i="4"/>
  <c r="BB289" i="4"/>
  <c r="BE277" i="4"/>
  <c r="BB277" i="4"/>
  <c r="BE262" i="4"/>
  <c r="BE11" i="4"/>
  <c r="BB262" i="4"/>
  <c r="BB11" i="4"/>
  <c r="BE249" i="4"/>
  <c r="BE237" i="4"/>
  <c r="BB237" i="4"/>
  <c r="BE232" i="4"/>
  <c r="BB232" i="4"/>
  <c r="BE224" i="4"/>
  <c r="BE46" i="4"/>
  <c r="BB224" i="4"/>
  <c r="BB46" i="4"/>
  <c r="BE215" i="4"/>
  <c r="BB215" i="4"/>
  <c r="BE211" i="4"/>
  <c r="BB211" i="4"/>
  <c r="BE207" i="4"/>
  <c r="BB207" i="4"/>
  <c r="BE203" i="4"/>
  <c r="BB203" i="4"/>
  <c r="BE199" i="4"/>
  <c r="BB199" i="4"/>
  <c r="BE190" i="4"/>
  <c r="BB190" i="4"/>
  <c r="BE187" i="4"/>
  <c r="BB187" i="4"/>
  <c r="BE179" i="4"/>
  <c r="BB179" i="4"/>
  <c r="BE170" i="4"/>
  <c r="BB170" i="4"/>
  <c r="BE166" i="4"/>
  <c r="BB166" i="4"/>
  <c r="BE158" i="4"/>
  <c r="BB158" i="4"/>
  <c r="BE143" i="4"/>
  <c r="BB143" i="4"/>
  <c r="BE125" i="4"/>
  <c r="BB125" i="4"/>
  <c r="BE110" i="4"/>
  <c r="BB110" i="4"/>
  <c r="BE104" i="4"/>
  <c r="BB104" i="4"/>
  <c r="BE94" i="4"/>
  <c r="BB94" i="4"/>
  <c r="BE83" i="4"/>
  <c r="BB83" i="4"/>
  <c r="BE74" i="4"/>
  <c r="BB74" i="4"/>
  <c r="BE62" i="4"/>
  <c r="BB62" i="4"/>
  <c r="BE52" i="4"/>
  <c r="BE50" i="4"/>
  <c r="BB50" i="4"/>
  <c r="BE48" i="4"/>
  <c r="BB48" i="4"/>
  <c r="BE47" i="4"/>
  <c r="BB47" i="4"/>
  <c r="BE36" i="4"/>
  <c r="BB36" i="4"/>
  <c r="BE35" i="4"/>
  <c r="BB35" i="4"/>
  <c r="BE28" i="4"/>
  <c r="BB28" i="4"/>
  <c r="BE9" i="4"/>
  <c r="BB9" i="4"/>
  <c r="BE8" i="4"/>
  <c r="BB8" i="4"/>
  <c r="BE7" i="4"/>
  <c r="BB7" i="4"/>
  <c r="AZ10" i="4"/>
  <c r="AZ12" i="4"/>
  <c r="BC12" i="4"/>
  <c r="BC293" i="4"/>
  <c r="G45" i="4"/>
  <c r="AZ17" i="4"/>
  <c r="G12" i="4"/>
  <c r="G293" i="4"/>
  <c r="G17" i="4"/>
  <c r="BB319" i="4"/>
  <c r="BB291" i="4"/>
  <c r="BB10" i="4"/>
  <c r="BB12" i="4"/>
  <c r="BB44" i="4"/>
  <c r="BE319" i="4"/>
  <c r="BE332" i="4"/>
  <c r="G194" i="4"/>
  <c r="G251" i="4"/>
  <c r="AZ15" i="4"/>
  <c r="BB106" i="4"/>
  <c r="BB172" i="4"/>
  <c r="BB43" i="4"/>
  <c r="BB192" i="4"/>
  <c r="BE464" i="4"/>
  <c r="BE25" i="4"/>
  <c r="G15" i="4"/>
  <c r="BE18" i="4"/>
  <c r="BE291" i="4"/>
  <c r="BE10" i="4"/>
  <c r="BE12" i="4"/>
  <c r="BE192" i="4"/>
  <c r="BB387" i="4"/>
  <c r="BE217" i="4"/>
  <c r="BE387" i="4"/>
  <c r="G441" i="4"/>
  <c r="BE106" i="4"/>
  <c r="BE172" i="4"/>
  <c r="BB217" i="4"/>
  <c r="AZ441" i="4"/>
  <c r="BB464" i="4"/>
  <c r="BB25" i="4"/>
  <c r="BC194" i="4"/>
  <c r="BC251" i="4"/>
  <c r="BC43" i="4"/>
  <c r="BC45" i="4"/>
  <c r="AZ43" i="4"/>
  <c r="AZ45" i="4"/>
  <c r="AZ194" i="4"/>
  <c r="AZ251" i="4"/>
  <c r="BE44" i="4"/>
  <c r="BB21" i="4"/>
  <c r="BE21" i="4"/>
  <c r="BE359" i="4"/>
  <c r="BE16" i="4"/>
  <c r="BB359" i="4"/>
  <c r="BB16" i="4"/>
  <c r="BB332" i="4"/>
  <c r="BB15" i="4"/>
  <c r="G442" i="4"/>
  <c r="G49" i="4"/>
  <c r="G53" i="4"/>
  <c r="AZ442" i="4"/>
  <c r="AZ49" i="4"/>
  <c r="AZ53" i="4"/>
  <c r="G23" i="4"/>
  <c r="AZ23" i="4"/>
  <c r="BB293" i="4"/>
  <c r="BB441" i="4"/>
  <c r="BE15" i="4"/>
  <c r="AZ433" i="4"/>
  <c r="G433" i="4"/>
  <c r="BB194" i="4"/>
  <c r="BE293" i="4"/>
  <c r="BB17" i="4"/>
  <c r="BE17" i="4"/>
  <c r="BE441" i="4"/>
  <c r="BB45" i="4"/>
  <c r="BC15" i="4"/>
  <c r="BC23" i="4"/>
  <c r="BC433" i="4"/>
  <c r="BE194" i="4"/>
  <c r="BE251" i="4"/>
  <c r="BE43" i="4"/>
  <c r="BE45" i="4"/>
  <c r="BB433" i="4"/>
  <c r="BB23" i="4"/>
  <c r="BE442" i="4"/>
  <c r="BE49" i="4"/>
  <c r="BB442" i="4"/>
  <c r="BB49" i="4"/>
  <c r="BE23" i="4"/>
  <c r="BE433" i="4"/>
  <c r="BC506" i="4"/>
  <c r="BC30" i="4"/>
  <c r="BC31" i="4"/>
  <c r="BE53" i="4"/>
  <c r="BC510" i="4"/>
  <c r="BC33" i="4"/>
  <c r="BC37" i="4"/>
  <c r="BC39" i="4"/>
  <c r="BC41" i="4"/>
  <c r="F351" i="1"/>
  <c r="T507" i="4"/>
  <c r="T34" i="4"/>
  <c r="T501" i="4"/>
  <c r="T29" i="4"/>
  <c r="T471" i="4"/>
  <c r="T483" i="4"/>
  <c r="T26" i="4"/>
  <c r="T462" i="4"/>
  <c r="T458" i="4"/>
  <c r="T450" i="4"/>
  <c r="T427" i="4"/>
  <c r="T431" i="4"/>
  <c r="T410" i="4"/>
  <c r="T19" i="4"/>
  <c r="T403" i="4"/>
  <c r="T20" i="4"/>
  <c r="T396" i="4"/>
  <c r="T18" i="4"/>
  <c r="T385" i="4"/>
  <c r="T372" i="4"/>
  <c r="T357" i="4"/>
  <c r="T347" i="4"/>
  <c r="T317" i="4"/>
  <c r="T310" i="4"/>
  <c r="T289" i="4"/>
  <c r="T277" i="4"/>
  <c r="T262" i="4"/>
  <c r="T249" i="4"/>
  <c r="T237" i="4"/>
  <c r="T232" i="4"/>
  <c r="T224" i="4"/>
  <c r="T46" i="4"/>
  <c r="T215" i="4"/>
  <c r="T211" i="4"/>
  <c r="T207" i="4"/>
  <c r="T203" i="4"/>
  <c r="T199" i="4"/>
  <c r="T190" i="4"/>
  <c r="T187" i="4"/>
  <c r="T179" i="4"/>
  <c r="T170" i="4"/>
  <c r="T166" i="4"/>
  <c r="T158" i="4"/>
  <c r="T143" i="4"/>
  <c r="T125" i="4"/>
  <c r="T110" i="4"/>
  <c r="T104" i="4"/>
  <c r="T94" i="4"/>
  <c r="T83" i="4"/>
  <c r="T74" i="4"/>
  <c r="T62" i="4"/>
  <c r="T52" i="4"/>
  <c r="T50" i="4"/>
  <c r="T48" i="4"/>
  <c r="T47" i="4"/>
  <c r="T36" i="4"/>
  <c r="T35" i="4"/>
  <c r="T28" i="4"/>
  <c r="T9" i="4"/>
  <c r="T8" i="4"/>
  <c r="T7" i="4"/>
  <c r="T291" i="4"/>
  <c r="T10" i="4"/>
  <c r="T106" i="4"/>
  <c r="T172" i="4"/>
  <c r="T44" i="4"/>
  <c r="T359" i="4"/>
  <c r="T16" i="4"/>
  <c r="T387" i="4"/>
  <c r="T21" i="4"/>
  <c r="T11" i="4"/>
  <c r="T464" i="4"/>
  <c r="T25" i="4"/>
  <c r="T192" i="4"/>
  <c r="T319" i="4"/>
  <c r="T332" i="4"/>
  <c r="T217" i="4"/>
  <c r="B13" i="14"/>
  <c r="D13" i="14"/>
  <c r="E13" i="14"/>
  <c r="F13" i="14"/>
  <c r="G13" i="14"/>
  <c r="H13" i="14"/>
  <c r="J13" i="14"/>
  <c r="L13" i="14"/>
  <c r="M13" i="14"/>
  <c r="N13" i="14"/>
  <c r="O13" i="14"/>
  <c r="Q13" i="14"/>
  <c r="L16" i="14"/>
  <c r="M16" i="14"/>
  <c r="N16" i="14"/>
  <c r="Q16" i="14"/>
  <c r="L17" i="14"/>
  <c r="M17" i="14"/>
  <c r="N17" i="14"/>
  <c r="Q17" i="14"/>
  <c r="L18" i="14"/>
  <c r="M18" i="14"/>
  <c r="N18" i="14"/>
  <c r="Q18" i="14"/>
  <c r="L19" i="14"/>
  <c r="M19" i="14"/>
  <c r="N19" i="14"/>
  <c r="Q19" i="14"/>
  <c r="L20" i="14"/>
  <c r="M20" i="14"/>
  <c r="N20" i="14"/>
  <c r="Q20" i="14"/>
  <c r="L21" i="14"/>
  <c r="M21" i="14"/>
  <c r="N21" i="14"/>
  <c r="Q21" i="14"/>
  <c r="L22" i="14"/>
  <c r="M22" i="14"/>
  <c r="N22" i="14"/>
  <c r="Q22" i="14"/>
  <c r="L23" i="14"/>
  <c r="M23" i="14"/>
  <c r="N23" i="14"/>
  <c r="Q23" i="14"/>
  <c r="L24" i="14"/>
  <c r="M24" i="14"/>
  <c r="N24" i="14"/>
  <c r="Q24" i="14"/>
  <c r="H26" i="14"/>
  <c r="J26" i="14"/>
  <c r="O26" i="14"/>
  <c r="L29" i="14"/>
  <c r="M29" i="14"/>
  <c r="N29" i="14"/>
  <c r="H30" i="14"/>
  <c r="J30" i="14"/>
  <c r="O30" i="14"/>
  <c r="L33" i="14"/>
  <c r="L35" i="14"/>
  <c r="Q26" i="14"/>
  <c r="Q29" i="14"/>
  <c r="Q30" i="14"/>
  <c r="O37" i="14"/>
  <c r="M33" i="14"/>
  <c r="N33" i="14"/>
  <c r="H37" i="14"/>
  <c r="E13" i="13"/>
  <c r="T441" i="4"/>
  <c r="T17" i="4"/>
  <c r="T12" i="4"/>
  <c r="T293" i="4"/>
  <c r="J37" i="14"/>
  <c r="T194" i="4"/>
  <c r="T251" i="4"/>
  <c r="T43" i="4"/>
  <c r="T45" i="4"/>
  <c r="L30" i="14"/>
  <c r="L26" i="14"/>
  <c r="G13" i="13"/>
  <c r="T442" i="4"/>
  <c r="T49" i="4"/>
  <c r="T53" i="4"/>
  <c r="L37" i="14"/>
  <c r="T15" i="4"/>
  <c r="T23" i="4"/>
  <c r="T433" i="4"/>
  <c r="X17" i="13"/>
  <c r="L17" i="13"/>
  <c r="L13" i="13"/>
  <c r="V13" i="13"/>
  <c r="T13" i="13"/>
  <c r="Q17" i="13"/>
  <c r="N13" i="13"/>
  <c r="X13" i="13"/>
  <c r="V17" i="13"/>
  <c r="T17" i="13"/>
  <c r="Q13" i="13"/>
  <c r="N17" i="13"/>
  <c r="G19" i="13"/>
  <c r="H17" i="13"/>
  <c r="W42" i="7"/>
  <c r="AA33" i="7"/>
  <c r="AA39" i="7"/>
  <c r="AA37" i="7"/>
  <c r="AA35" i="7"/>
  <c r="AA31" i="7"/>
  <c r="AA29" i="7"/>
  <c r="AA27" i="7"/>
  <c r="AA25" i="7"/>
  <c r="AA23" i="7"/>
  <c r="AA21" i="7"/>
  <c r="AA19" i="7"/>
  <c r="Y39" i="7"/>
  <c r="Y37" i="7"/>
  <c r="Y35" i="7"/>
  <c r="Y33" i="7"/>
  <c r="Y31" i="7"/>
  <c r="Y29" i="7"/>
  <c r="Y27" i="7"/>
  <c r="Y25" i="7"/>
  <c r="Y23" i="7"/>
  <c r="Y21" i="7"/>
  <c r="Y19" i="7"/>
  <c r="U42" i="7"/>
  <c r="G22" i="13"/>
  <c r="H13" i="13"/>
  <c r="AA42" i="7"/>
  <c r="Y42" i="7"/>
  <c r="C504" i="1"/>
  <c r="AC17" i="7"/>
  <c r="H19" i="13"/>
  <c r="F32" i="19"/>
  <c r="A17" i="7"/>
  <c r="A19" i="7"/>
  <c r="A21" i="7"/>
  <c r="A23" i="7"/>
  <c r="A25" i="7"/>
  <c r="A27" i="7"/>
  <c r="A29" i="7"/>
  <c r="A31" i="7"/>
  <c r="A33" i="7"/>
  <c r="A35" i="7"/>
  <c r="A37" i="7"/>
  <c r="A39" i="7"/>
  <c r="I27" i="20"/>
  <c r="H27" i="20"/>
  <c r="I24" i="20"/>
  <c r="F12" i="19"/>
  <c r="H24" i="20"/>
  <c r="F24" i="20"/>
  <c r="F15" i="19"/>
  <c r="E24" i="20"/>
  <c r="A11" i="20"/>
  <c r="A12" i="20"/>
  <c r="A13" i="20"/>
  <c r="A14" i="20"/>
  <c r="A15" i="20"/>
  <c r="A16" i="20"/>
  <c r="A17" i="20"/>
  <c r="A18" i="20"/>
  <c r="A19" i="20"/>
  <c r="A20" i="20"/>
  <c r="A21" i="20"/>
  <c r="A24" i="20"/>
  <c r="A27" i="20"/>
  <c r="A36" i="3"/>
  <c r="L35" i="19"/>
  <c r="L39" i="19"/>
  <c r="M32" i="19"/>
  <c r="G32" i="19"/>
  <c r="G35" i="19"/>
  <c r="M30" i="19"/>
  <c r="H30" i="19"/>
  <c r="G26" i="19"/>
  <c r="F26" i="19"/>
  <c r="H24" i="19"/>
  <c r="H23" i="19"/>
  <c r="H22" i="19"/>
  <c r="G15" i="19"/>
  <c r="G12" i="19"/>
  <c r="B12" i="19"/>
  <c r="B15" i="19"/>
  <c r="B22" i="19"/>
  <c r="B23" i="19"/>
  <c r="B24" i="19"/>
  <c r="B26" i="19"/>
  <c r="B30" i="19"/>
  <c r="B32" i="19"/>
  <c r="B33" i="19"/>
  <c r="B34" i="19"/>
  <c r="B35" i="19"/>
  <c r="B37" i="19"/>
  <c r="B39" i="19"/>
  <c r="B41" i="19"/>
  <c r="G10" i="19"/>
  <c r="H10" i="19"/>
  <c r="J10" i="19"/>
  <c r="D7" i="19"/>
  <c r="F7" i="19"/>
  <c r="P31" i="18"/>
  <c r="O31" i="18"/>
  <c r="N31" i="18"/>
  <c r="M31" i="18"/>
  <c r="L31" i="18"/>
  <c r="K31" i="18"/>
  <c r="J31" i="18"/>
  <c r="I31" i="18"/>
  <c r="H31" i="18"/>
  <c r="G31" i="18"/>
  <c r="F31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E32" i="18"/>
  <c r="P26" i="18"/>
  <c r="O26" i="18"/>
  <c r="N26" i="18"/>
  <c r="M26" i="18"/>
  <c r="L26" i="18"/>
  <c r="K26" i="18"/>
  <c r="J26" i="18"/>
  <c r="I26" i="18"/>
  <c r="H26" i="18"/>
  <c r="G26" i="18"/>
  <c r="F26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E27" i="18"/>
  <c r="B21" i="18"/>
  <c r="B25" i="18"/>
  <c r="B26" i="18"/>
  <c r="B27" i="18"/>
  <c r="B28" i="18"/>
  <c r="B30" i="18"/>
  <c r="B31" i="18"/>
  <c r="B32" i="18"/>
  <c r="B33" i="18"/>
  <c r="B35" i="18"/>
  <c r="B36" i="18"/>
  <c r="B38" i="18"/>
  <c r="B40" i="18"/>
  <c r="B41" i="18"/>
  <c r="B43" i="18"/>
  <c r="P18" i="18"/>
  <c r="P20" i="18"/>
  <c r="O18" i="18"/>
  <c r="O20" i="18"/>
  <c r="N18" i="18"/>
  <c r="N20" i="18"/>
  <c r="M18" i="18"/>
  <c r="M20" i="18"/>
  <c r="L18" i="18"/>
  <c r="L20" i="18"/>
  <c r="K18" i="18"/>
  <c r="K20" i="18"/>
  <c r="J18" i="18"/>
  <c r="J20" i="18"/>
  <c r="I18" i="18"/>
  <c r="I20" i="18"/>
  <c r="H18" i="18"/>
  <c r="H20" i="18"/>
  <c r="G18" i="18"/>
  <c r="G20" i="18"/>
  <c r="F18" i="18"/>
  <c r="F20" i="18"/>
  <c r="Q16" i="18"/>
  <c r="Q14" i="18"/>
  <c r="Q15" i="18"/>
  <c r="B11" i="18"/>
  <c r="B14" i="18"/>
  <c r="B15" i="18"/>
  <c r="B16" i="18"/>
  <c r="B17" i="18"/>
  <c r="B18" i="18"/>
  <c r="S42" i="7"/>
  <c r="Q42" i="7"/>
  <c r="M42" i="7"/>
  <c r="C502" i="1"/>
  <c r="K42" i="7"/>
  <c r="I42" i="7"/>
  <c r="G42" i="7"/>
  <c r="AC39" i="7"/>
  <c r="AC37" i="7"/>
  <c r="AC35" i="7"/>
  <c r="AC33" i="7"/>
  <c r="AC31" i="7"/>
  <c r="AC29" i="7"/>
  <c r="AC27" i="7"/>
  <c r="AC25" i="7"/>
  <c r="AC23" i="7"/>
  <c r="AC21" i="7"/>
  <c r="AC19" i="7"/>
  <c r="D26" i="6"/>
  <c r="B26" i="6"/>
  <c r="F24" i="6"/>
  <c r="F22" i="6"/>
  <c r="F20" i="6"/>
  <c r="F18" i="6"/>
  <c r="F16" i="6"/>
  <c r="D12" i="6"/>
  <c r="B12" i="6"/>
  <c r="F8" i="6"/>
  <c r="E59" i="5"/>
  <c r="E41" i="5"/>
  <c r="C40" i="5"/>
  <c r="I40" i="5"/>
  <c r="C38" i="5"/>
  <c r="I38" i="5"/>
  <c r="M38" i="5"/>
  <c r="M41" i="5"/>
  <c r="C37" i="5"/>
  <c r="I37" i="5"/>
  <c r="K37" i="5"/>
  <c r="C36" i="5"/>
  <c r="I36" i="5"/>
  <c r="K36" i="5"/>
  <c r="C34" i="5"/>
  <c r="I34" i="5"/>
  <c r="K34" i="5"/>
  <c r="E28" i="5"/>
  <c r="C26" i="5"/>
  <c r="C25" i="5"/>
  <c r="C23" i="5"/>
  <c r="C22" i="5"/>
  <c r="E18" i="5"/>
  <c r="C15" i="5"/>
  <c r="K15" i="5"/>
  <c r="C13" i="5"/>
  <c r="C11" i="5"/>
  <c r="AP507" i="4"/>
  <c r="AP34" i="4"/>
  <c r="AO507" i="4"/>
  <c r="AO34" i="4"/>
  <c r="AN507" i="4"/>
  <c r="AN34" i="4"/>
  <c r="E507" i="4"/>
  <c r="E34" i="4"/>
  <c r="AL507" i="4"/>
  <c r="AL34" i="4"/>
  <c r="AK507" i="4"/>
  <c r="AK34" i="4"/>
  <c r="AH507" i="4"/>
  <c r="AH34" i="4"/>
  <c r="AG507" i="4"/>
  <c r="AG34" i="4"/>
  <c r="AF507" i="4"/>
  <c r="AF34" i="4"/>
  <c r="AE507" i="4"/>
  <c r="AE34" i="4"/>
  <c r="S507" i="4"/>
  <c r="S34" i="4"/>
  <c r="AD507" i="4"/>
  <c r="AD34" i="4"/>
  <c r="AB507" i="4"/>
  <c r="AB34" i="4"/>
  <c r="AA507" i="4"/>
  <c r="AA34" i="4"/>
  <c r="Z507" i="4"/>
  <c r="Z34" i="4"/>
  <c r="X507" i="4"/>
  <c r="X34" i="4"/>
  <c r="W507" i="4"/>
  <c r="W34" i="4"/>
  <c r="R507" i="4"/>
  <c r="R34" i="4"/>
  <c r="Q507" i="4"/>
  <c r="Q34" i="4"/>
  <c r="P507" i="4"/>
  <c r="P34" i="4"/>
  <c r="O507" i="4"/>
  <c r="O34" i="4"/>
  <c r="N507" i="4"/>
  <c r="N34" i="4"/>
  <c r="M507" i="4"/>
  <c r="M34" i="4"/>
  <c r="D507" i="4"/>
  <c r="L507" i="4"/>
  <c r="L34" i="4"/>
  <c r="Y507" i="4"/>
  <c r="Y34" i="4"/>
  <c r="K507" i="4"/>
  <c r="K34" i="4"/>
  <c r="BD507" i="4"/>
  <c r="BD34" i="4"/>
  <c r="V507" i="4"/>
  <c r="V34" i="4"/>
  <c r="J507" i="4"/>
  <c r="J34" i="4"/>
  <c r="AP501" i="4"/>
  <c r="AP29" i="4"/>
  <c r="AO501" i="4"/>
  <c r="AO29" i="4"/>
  <c r="AN501" i="4"/>
  <c r="AN29" i="4"/>
  <c r="F501" i="4"/>
  <c r="F29" i="4"/>
  <c r="E501" i="4"/>
  <c r="E29" i="4"/>
  <c r="AM501" i="4"/>
  <c r="AM29" i="4"/>
  <c r="AQ501" i="4"/>
  <c r="AQ29" i="4"/>
  <c r="AL501" i="4"/>
  <c r="AL29" i="4"/>
  <c r="AK501" i="4"/>
  <c r="AK29" i="4"/>
  <c r="AJ501" i="4"/>
  <c r="AJ29" i="4"/>
  <c r="AI501" i="4"/>
  <c r="AI29" i="4"/>
  <c r="AH501" i="4"/>
  <c r="AH29" i="4"/>
  <c r="AG501" i="4"/>
  <c r="AG29" i="4"/>
  <c r="AF501" i="4"/>
  <c r="AF29" i="4"/>
  <c r="AE501" i="4"/>
  <c r="AE29" i="4"/>
  <c r="S501" i="4"/>
  <c r="S29" i="4"/>
  <c r="AD501" i="4"/>
  <c r="AD29" i="4"/>
  <c r="AC501" i="4"/>
  <c r="AC29" i="4"/>
  <c r="AB501" i="4"/>
  <c r="AB29" i="4"/>
  <c r="AA501" i="4"/>
  <c r="AA29" i="4"/>
  <c r="Z501" i="4"/>
  <c r="Z29" i="4"/>
  <c r="X501" i="4"/>
  <c r="X29" i="4"/>
  <c r="W501" i="4"/>
  <c r="W29" i="4"/>
  <c r="R501" i="4"/>
  <c r="R29" i="4"/>
  <c r="Q501" i="4"/>
  <c r="Q29" i="4"/>
  <c r="P501" i="4"/>
  <c r="P29" i="4"/>
  <c r="O501" i="4"/>
  <c r="O29" i="4"/>
  <c r="N501" i="4"/>
  <c r="N29" i="4"/>
  <c r="M501" i="4"/>
  <c r="M29" i="4"/>
  <c r="D501" i="4"/>
  <c r="D29" i="4"/>
  <c r="L501" i="4"/>
  <c r="L29" i="4"/>
  <c r="Y501" i="4"/>
  <c r="Y29" i="4"/>
  <c r="K501" i="4"/>
  <c r="K29" i="4"/>
  <c r="BD501" i="4"/>
  <c r="BD29" i="4"/>
  <c r="V501" i="4"/>
  <c r="V29" i="4"/>
  <c r="J501" i="4"/>
  <c r="J29" i="4"/>
  <c r="F512" i="1"/>
  <c r="F488" i="1"/>
  <c r="AP471" i="4"/>
  <c r="AP483" i="4"/>
  <c r="AP26" i="4"/>
  <c r="AO471" i="4"/>
  <c r="AO483" i="4"/>
  <c r="AO26" i="4"/>
  <c r="AN471" i="4"/>
  <c r="AN483" i="4"/>
  <c r="AN26" i="4"/>
  <c r="F471" i="4"/>
  <c r="F483" i="4"/>
  <c r="F26" i="4"/>
  <c r="E471" i="4"/>
  <c r="E483" i="4"/>
  <c r="E26" i="4"/>
  <c r="AM471" i="4"/>
  <c r="AM483" i="4"/>
  <c r="AM26" i="4"/>
  <c r="AQ471" i="4"/>
  <c r="AQ483" i="4"/>
  <c r="AQ26" i="4"/>
  <c r="AL471" i="4"/>
  <c r="AL483" i="4"/>
  <c r="AL26" i="4"/>
  <c r="AK471" i="4"/>
  <c r="AK483" i="4"/>
  <c r="AK26" i="4"/>
  <c r="AJ471" i="4"/>
  <c r="AJ483" i="4"/>
  <c r="AJ26" i="4"/>
  <c r="AI471" i="4"/>
  <c r="AI483" i="4"/>
  <c r="AI26" i="4"/>
  <c r="AH471" i="4"/>
  <c r="AH483" i="4"/>
  <c r="AH26" i="4"/>
  <c r="AG471" i="4"/>
  <c r="AG483" i="4"/>
  <c r="AG26" i="4"/>
  <c r="AF471" i="4"/>
  <c r="AF483" i="4"/>
  <c r="AF26" i="4"/>
  <c r="AE471" i="4"/>
  <c r="AE483" i="4"/>
  <c r="AE26" i="4"/>
  <c r="S471" i="4"/>
  <c r="S483" i="4"/>
  <c r="S26" i="4"/>
  <c r="AD471" i="4"/>
  <c r="AD483" i="4"/>
  <c r="AD26" i="4"/>
  <c r="AC471" i="4"/>
  <c r="AC483" i="4"/>
  <c r="AC26" i="4"/>
  <c r="AB471" i="4"/>
  <c r="AB483" i="4"/>
  <c r="AB26" i="4"/>
  <c r="AA471" i="4"/>
  <c r="AA483" i="4"/>
  <c r="AA26" i="4"/>
  <c r="Z471" i="4"/>
  <c r="Z483" i="4"/>
  <c r="Z26" i="4"/>
  <c r="X471" i="4"/>
  <c r="X483" i="4"/>
  <c r="X26" i="4"/>
  <c r="W471" i="4"/>
  <c r="W483" i="4"/>
  <c r="W26" i="4"/>
  <c r="R471" i="4"/>
  <c r="R483" i="4"/>
  <c r="R26" i="4"/>
  <c r="Q471" i="4"/>
  <c r="Q483" i="4"/>
  <c r="Q26" i="4"/>
  <c r="P471" i="4"/>
  <c r="P483" i="4"/>
  <c r="P26" i="4"/>
  <c r="O471" i="4"/>
  <c r="O483" i="4"/>
  <c r="O26" i="4"/>
  <c r="N471" i="4"/>
  <c r="N483" i="4"/>
  <c r="N26" i="4"/>
  <c r="M471" i="4"/>
  <c r="M483" i="4"/>
  <c r="M26" i="4"/>
  <c r="D471" i="4"/>
  <c r="D483" i="4"/>
  <c r="D26" i="4"/>
  <c r="L471" i="4"/>
  <c r="L483" i="4"/>
  <c r="L26" i="4"/>
  <c r="Y471" i="4"/>
  <c r="Y483" i="4"/>
  <c r="Y26" i="4"/>
  <c r="K471" i="4"/>
  <c r="K483" i="4"/>
  <c r="K26" i="4"/>
  <c r="BD471" i="4"/>
  <c r="BD483" i="4"/>
  <c r="BD26" i="4"/>
  <c r="V471" i="4"/>
  <c r="V483" i="4"/>
  <c r="V26" i="4"/>
  <c r="J471" i="4"/>
  <c r="J483" i="4"/>
  <c r="J26" i="4"/>
  <c r="F483" i="1"/>
  <c r="AP462" i="4"/>
  <c r="AO462" i="4"/>
  <c r="AN462" i="4"/>
  <c r="F462" i="4"/>
  <c r="E462" i="4"/>
  <c r="AM462" i="4"/>
  <c r="AQ462" i="4"/>
  <c r="AL462" i="4"/>
  <c r="AK462" i="4"/>
  <c r="AJ462" i="4"/>
  <c r="AI462" i="4"/>
  <c r="AH462" i="4"/>
  <c r="AG462" i="4"/>
  <c r="AF462" i="4"/>
  <c r="AE462" i="4"/>
  <c r="S462" i="4"/>
  <c r="AD462" i="4"/>
  <c r="AC462" i="4"/>
  <c r="AB462" i="4"/>
  <c r="AA462" i="4"/>
  <c r="Z462" i="4"/>
  <c r="X462" i="4"/>
  <c r="W462" i="4"/>
  <c r="R462" i="4"/>
  <c r="Q462" i="4"/>
  <c r="P462" i="4"/>
  <c r="O462" i="4"/>
  <c r="N462" i="4"/>
  <c r="M462" i="4"/>
  <c r="D462" i="4"/>
  <c r="L462" i="4"/>
  <c r="Y462" i="4"/>
  <c r="K462" i="4"/>
  <c r="BD462" i="4"/>
  <c r="V462" i="4"/>
  <c r="J462" i="4"/>
  <c r="C462" i="4"/>
  <c r="AP458" i="4"/>
  <c r="AO458" i="4"/>
  <c r="AN458" i="4"/>
  <c r="F458" i="4"/>
  <c r="E458" i="4"/>
  <c r="AM458" i="4"/>
  <c r="AQ458" i="4"/>
  <c r="AL458" i="4"/>
  <c r="AK458" i="4"/>
  <c r="AJ458" i="4"/>
  <c r="AI458" i="4"/>
  <c r="AH458" i="4"/>
  <c r="AG458" i="4"/>
  <c r="AF458" i="4"/>
  <c r="AE458" i="4"/>
  <c r="S458" i="4"/>
  <c r="AD458" i="4"/>
  <c r="AC458" i="4"/>
  <c r="AB458" i="4"/>
  <c r="AA458" i="4"/>
  <c r="Z458" i="4"/>
  <c r="X458" i="4"/>
  <c r="W458" i="4"/>
  <c r="R458" i="4"/>
  <c r="Q458" i="4"/>
  <c r="P458" i="4"/>
  <c r="O458" i="4"/>
  <c r="N458" i="4"/>
  <c r="M458" i="4"/>
  <c r="D458" i="4"/>
  <c r="L458" i="4"/>
  <c r="Y458" i="4"/>
  <c r="K458" i="4"/>
  <c r="BD458" i="4"/>
  <c r="V458" i="4"/>
  <c r="J458" i="4"/>
  <c r="C458" i="4"/>
  <c r="AP450" i="4"/>
  <c r="AO450" i="4"/>
  <c r="AN450" i="4"/>
  <c r="F450" i="4"/>
  <c r="E450" i="4"/>
  <c r="AM450" i="4"/>
  <c r="AQ450" i="4"/>
  <c r="AL450" i="4"/>
  <c r="AK450" i="4"/>
  <c r="AJ450" i="4"/>
  <c r="AI450" i="4"/>
  <c r="AH450" i="4"/>
  <c r="AG450" i="4"/>
  <c r="AF450" i="4"/>
  <c r="AE450" i="4"/>
  <c r="S450" i="4"/>
  <c r="AD450" i="4"/>
  <c r="AC450" i="4"/>
  <c r="AB450" i="4"/>
  <c r="AA450" i="4"/>
  <c r="Z450" i="4"/>
  <c r="X450" i="4"/>
  <c r="W450" i="4"/>
  <c r="R450" i="4"/>
  <c r="Q450" i="4"/>
  <c r="P450" i="4"/>
  <c r="O450" i="4"/>
  <c r="N450" i="4"/>
  <c r="M450" i="4"/>
  <c r="D450" i="4"/>
  <c r="L450" i="4"/>
  <c r="Y450" i="4"/>
  <c r="K450" i="4"/>
  <c r="BD450" i="4"/>
  <c r="V450" i="4"/>
  <c r="J450" i="4"/>
  <c r="F464" i="1"/>
  <c r="F460" i="1"/>
  <c r="F442" i="1"/>
  <c r="AP427" i="4"/>
  <c r="AP431" i="4"/>
  <c r="AP21" i="4"/>
  <c r="AO427" i="4"/>
  <c r="AO431" i="4"/>
  <c r="AO21" i="4"/>
  <c r="AN427" i="4"/>
  <c r="AN431" i="4"/>
  <c r="F427" i="4"/>
  <c r="F431" i="4"/>
  <c r="F21" i="4"/>
  <c r="E427" i="4"/>
  <c r="E431" i="4"/>
  <c r="AM427" i="4"/>
  <c r="AM431" i="4"/>
  <c r="AQ427" i="4"/>
  <c r="AQ431" i="4"/>
  <c r="AL427" i="4"/>
  <c r="AL431" i="4"/>
  <c r="AK427" i="4"/>
  <c r="AK431" i="4"/>
  <c r="AJ427" i="4"/>
  <c r="AJ431" i="4"/>
  <c r="AJ21" i="4"/>
  <c r="AI427" i="4"/>
  <c r="AI431" i="4"/>
  <c r="AH427" i="4"/>
  <c r="AH431" i="4"/>
  <c r="AG427" i="4"/>
  <c r="AG431" i="4"/>
  <c r="AF427" i="4"/>
  <c r="AF431" i="4"/>
  <c r="AE427" i="4"/>
  <c r="AE431" i="4"/>
  <c r="S427" i="4"/>
  <c r="S431" i="4"/>
  <c r="AD427" i="4"/>
  <c r="AD431" i="4"/>
  <c r="AD21" i="4"/>
  <c r="AC427" i="4"/>
  <c r="AC431" i="4"/>
  <c r="AB427" i="4"/>
  <c r="AB431" i="4"/>
  <c r="AA427" i="4"/>
  <c r="AA431" i="4"/>
  <c r="AA21" i="4"/>
  <c r="Z427" i="4"/>
  <c r="Z431" i="4"/>
  <c r="X427" i="4"/>
  <c r="X431" i="4"/>
  <c r="W427" i="4"/>
  <c r="W431" i="4"/>
  <c r="W21" i="4"/>
  <c r="R427" i="4"/>
  <c r="R431" i="4"/>
  <c r="Q427" i="4"/>
  <c r="Q431" i="4"/>
  <c r="P427" i="4"/>
  <c r="P431" i="4"/>
  <c r="P21" i="4"/>
  <c r="O427" i="4"/>
  <c r="O431" i="4"/>
  <c r="O21" i="4"/>
  <c r="N427" i="4"/>
  <c r="N431" i="4"/>
  <c r="N21" i="4"/>
  <c r="M427" i="4"/>
  <c r="M431" i="4"/>
  <c r="D427" i="4"/>
  <c r="D431" i="4"/>
  <c r="L427" i="4"/>
  <c r="L431" i="4"/>
  <c r="Y427" i="4"/>
  <c r="Y431" i="4"/>
  <c r="K427" i="4"/>
  <c r="K431" i="4"/>
  <c r="K21" i="4"/>
  <c r="BD427" i="4"/>
  <c r="BD431" i="4"/>
  <c r="BD21" i="4"/>
  <c r="V427" i="4"/>
  <c r="V431" i="4"/>
  <c r="J427" i="4"/>
  <c r="J431" i="4"/>
  <c r="J21" i="4"/>
  <c r="F438" i="1"/>
  <c r="F432" i="1"/>
  <c r="F431" i="1"/>
  <c r="F427" i="1"/>
  <c r="F426" i="1"/>
  <c r="AP410" i="4"/>
  <c r="AP19" i="4"/>
  <c r="AO410" i="4"/>
  <c r="AO19" i="4"/>
  <c r="AN410" i="4"/>
  <c r="AN19" i="4"/>
  <c r="F410" i="4"/>
  <c r="F19" i="4"/>
  <c r="E410" i="4"/>
  <c r="E19" i="4"/>
  <c r="AM410" i="4"/>
  <c r="AM19" i="4"/>
  <c r="AQ410" i="4"/>
  <c r="AQ19" i="4"/>
  <c r="AL410" i="4"/>
  <c r="AL19" i="4"/>
  <c r="AK410" i="4"/>
  <c r="AK19" i="4"/>
  <c r="AJ410" i="4"/>
  <c r="AJ19" i="4"/>
  <c r="AI410" i="4"/>
  <c r="AI19" i="4"/>
  <c r="AH410" i="4"/>
  <c r="AH19" i="4"/>
  <c r="AG410" i="4"/>
  <c r="AG19" i="4"/>
  <c r="AF410" i="4"/>
  <c r="AF19" i="4"/>
  <c r="AE410" i="4"/>
  <c r="AE19" i="4"/>
  <c r="S410" i="4"/>
  <c r="S19" i="4"/>
  <c r="AD410" i="4"/>
  <c r="AD19" i="4"/>
  <c r="AC410" i="4"/>
  <c r="AC19" i="4"/>
  <c r="AB410" i="4"/>
  <c r="AB19" i="4"/>
  <c r="AA410" i="4"/>
  <c r="AA19" i="4"/>
  <c r="Z410" i="4"/>
  <c r="Z19" i="4"/>
  <c r="X410" i="4"/>
  <c r="X19" i="4"/>
  <c r="W410" i="4"/>
  <c r="W19" i="4"/>
  <c r="R410" i="4"/>
  <c r="R19" i="4"/>
  <c r="Q410" i="4"/>
  <c r="Q19" i="4"/>
  <c r="P410" i="4"/>
  <c r="P19" i="4"/>
  <c r="O410" i="4"/>
  <c r="O19" i="4"/>
  <c r="N410" i="4"/>
  <c r="N19" i="4"/>
  <c r="M410" i="4"/>
  <c r="M19" i="4"/>
  <c r="D410" i="4"/>
  <c r="D19" i="4"/>
  <c r="L410" i="4"/>
  <c r="L19" i="4"/>
  <c r="Y410" i="4"/>
  <c r="Y19" i="4"/>
  <c r="K410" i="4"/>
  <c r="K19" i="4"/>
  <c r="BD410" i="4"/>
  <c r="BD19" i="4"/>
  <c r="V410" i="4"/>
  <c r="V19" i="4"/>
  <c r="J410" i="4"/>
  <c r="J19" i="4"/>
  <c r="C410" i="4"/>
  <c r="AP403" i="4"/>
  <c r="AP20" i="4"/>
  <c r="AO403" i="4"/>
  <c r="AO20" i="4"/>
  <c r="AN403" i="4"/>
  <c r="AN20" i="4"/>
  <c r="F403" i="4"/>
  <c r="F20" i="4"/>
  <c r="E403" i="4"/>
  <c r="E20" i="4"/>
  <c r="AM403" i="4"/>
  <c r="AM20" i="4"/>
  <c r="AQ403" i="4"/>
  <c r="AQ20" i="4"/>
  <c r="AL403" i="4"/>
  <c r="AL20" i="4"/>
  <c r="AK403" i="4"/>
  <c r="AK20" i="4"/>
  <c r="AJ403" i="4"/>
  <c r="AJ20" i="4"/>
  <c r="AI403" i="4"/>
  <c r="AI20" i="4"/>
  <c r="AH403" i="4"/>
  <c r="AG403" i="4"/>
  <c r="AG20" i="4"/>
  <c r="AF403" i="4"/>
  <c r="AF20" i="4"/>
  <c r="AE403" i="4"/>
  <c r="AE20" i="4"/>
  <c r="S403" i="4"/>
  <c r="S20" i="4"/>
  <c r="AD403" i="4"/>
  <c r="AD20" i="4"/>
  <c r="AC403" i="4"/>
  <c r="AC20" i="4"/>
  <c r="AB403" i="4"/>
  <c r="AB20" i="4"/>
  <c r="AA403" i="4"/>
  <c r="AA20" i="4"/>
  <c r="Z403" i="4"/>
  <c r="Z20" i="4"/>
  <c r="X403" i="4"/>
  <c r="X20" i="4"/>
  <c r="W403" i="4"/>
  <c r="W20" i="4"/>
  <c r="R403" i="4"/>
  <c r="R20" i="4"/>
  <c r="Q403" i="4"/>
  <c r="Q20" i="4"/>
  <c r="P403" i="4"/>
  <c r="P20" i="4"/>
  <c r="O403" i="4"/>
  <c r="O20" i="4"/>
  <c r="N403" i="4"/>
  <c r="N20" i="4"/>
  <c r="M403" i="4"/>
  <c r="M20" i="4"/>
  <c r="D403" i="4"/>
  <c r="D20" i="4"/>
  <c r="L403" i="4"/>
  <c r="L20" i="4"/>
  <c r="Y403" i="4"/>
  <c r="Y20" i="4"/>
  <c r="K403" i="4"/>
  <c r="K20" i="4"/>
  <c r="BD403" i="4"/>
  <c r="BD20" i="4"/>
  <c r="V403" i="4"/>
  <c r="V20" i="4"/>
  <c r="J403" i="4"/>
  <c r="J20" i="4"/>
  <c r="F415" i="1"/>
  <c r="F413" i="1"/>
  <c r="F412" i="1"/>
  <c r="AP396" i="4"/>
  <c r="AP18" i="4"/>
  <c r="AO396" i="4"/>
  <c r="AO18" i="4"/>
  <c r="AN396" i="4"/>
  <c r="AN18" i="4"/>
  <c r="F396" i="4"/>
  <c r="F18" i="4"/>
  <c r="E396" i="4"/>
  <c r="E18" i="4"/>
  <c r="AM396" i="4"/>
  <c r="AM18" i="4"/>
  <c r="AQ396" i="4"/>
  <c r="AQ18" i="4"/>
  <c r="AL396" i="4"/>
  <c r="AL18" i="4"/>
  <c r="AK396" i="4"/>
  <c r="AK18" i="4"/>
  <c r="AJ396" i="4"/>
  <c r="AJ18" i="4"/>
  <c r="AI396" i="4"/>
  <c r="AI18" i="4"/>
  <c r="AH396" i="4"/>
  <c r="AH18" i="4"/>
  <c r="AG396" i="4"/>
  <c r="AG18" i="4"/>
  <c r="AF396" i="4"/>
  <c r="AF18" i="4"/>
  <c r="AE396" i="4"/>
  <c r="AE18" i="4"/>
  <c r="S396" i="4"/>
  <c r="S18" i="4"/>
  <c r="AD396" i="4"/>
  <c r="AD18" i="4"/>
  <c r="AC396" i="4"/>
  <c r="AC18" i="4"/>
  <c r="AB396" i="4"/>
  <c r="AB18" i="4"/>
  <c r="AA396" i="4"/>
  <c r="AA18" i="4"/>
  <c r="Z396" i="4"/>
  <c r="Z18" i="4"/>
  <c r="X396" i="4"/>
  <c r="X18" i="4"/>
  <c r="W396" i="4"/>
  <c r="W18" i="4"/>
  <c r="R396" i="4"/>
  <c r="R18" i="4"/>
  <c r="Q396" i="4"/>
  <c r="Q18" i="4"/>
  <c r="P396" i="4"/>
  <c r="P18" i="4"/>
  <c r="O396" i="4"/>
  <c r="O18" i="4"/>
  <c r="N396" i="4"/>
  <c r="N18" i="4"/>
  <c r="M396" i="4"/>
  <c r="M18" i="4"/>
  <c r="D396" i="4"/>
  <c r="D18" i="4"/>
  <c r="L396" i="4"/>
  <c r="L18" i="4"/>
  <c r="Y396" i="4"/>
  <c r="Y18" i="4"/>
  <c r="K396" i="4"/>
  <c r="K18" i="4"/>
  <c r="BD396" i="4"/>
  <c r="BD18" i="4"/>
  <c r="V396" i="4"/>
  <c r="V18" i="4"/>
  <c r="J396" i="4"/>
  <c r="J18" i="4"/>
  <c r="F408" i="1"/>
  <c r="F404" i="1"/>
  <c r="F403" i="1"/>
  <c r="AP385" i="4"/>
  <c r="AO385" i="4"/>
  <c r="AN385" i="4"/>
  <c r="F385" i="4"/>
  <c r="E385" i="4"/>
  <c r="AM385" i="4"/>
  <c r="AQ385" i="4"/>
  <c r="AL385" i="4"/>
  <c r="AK385" i="4"/>
  <c r="AJ385" i="4"/>
  <c r="AI385" i="4"/>
  <c r="AH385" i="4"/>
  <c r="AG385" i="4"/>
  <c r="AF385" i="4"/>
  <c r="AE385" i="4"/>
  <c r="S385" i="4"/>
  <c r="AD385" i="4"/>
  <c r="AC385" i="4"/>
  <c r="AB385" i="4"/>
  <c r="AA385" i="4"/>
  <c r="Z385" i="4"/>
  <c r="X385" i="4"/>
  <c r="W385" i="4"/>
  <c r="R385" i="4"/>
  <c r="Q385" i="4"/>
  <c r="P385" i="4"/>
  <c r="O385" i="4"/>
  <c r="N385" i="4"/>
  <c r="M385" i="4"/>
  <c r="D385" i="4"/>
  <c r="L385" i="4"/>
  <c r="Y385" i="4"/>
  <c r="K385" i="4"/>
  <c r="BD385" i="4"/>
  <c r="V385" i="4"/>
  <c r="J385" i="4"/>
  <c r="F397" i="1"/>
  <c r="F395" i="1"/>
  <c r="F393" i="1"/>
  <c r="AP372" i="4"/>
  <c r="AO372" i="4"/>
  <c r="AN372" i="4"/>
  <c r="F372" i="4"/>
  <c r="E372" i="4"/>
  <c r="AM372" i="4"/>
  <c r="AQ372" i="4"/>
  <c r="AL372" i="4"/>
  <c r="AK372" i="4"/>
  <c r="AJ372" i="4"/>
  <c r="AI372" i="4"/>
  <c r="AH372" i="4"/>
  <c r="AG372" i="4"/>
  <c r="AF372" i="4"/>
  <c r="AE372" i="4"/>
  <c r="S372" i="4"/>
  <c r="AD372" i="4"/>
  <c r="AC372" i="4"/>
  <c r="AB372" i="4"/>
  <c r="AA372" i="4"/>
  <c r="Z372" i="4"/>
  <c r="X372" i="4"/>
  <c r="W372" i="4"/>
  <c r="R372" i="4"/>
  <c r="Q372" i="4"/>
  <c r="P372" i="4"/>
  <c r="O372" i="4"/>
  <c r="N372" i="4"/>
  <c r="M372" i="4"/>
  <c r="D372" i="4"/>
  <c r="L372" i="4"/>
  <c r="Y372" i="4"/>
  <c r="K372" i="4"/>
  <c r="BD372" i="4"/>
  <c r="V372" i="4"/>
  <c r="J372" i="4"/>
  <c r="F382" i="1"/>
  <c r="F381" i="1"/>
  <c r="F379" i="1"/>
  <c r="F378" i="1"/>
  <c r="F375" i="1"/>
  <c r="AP357" i="4"/>
  <c r="AO357" i="4"/>
  <c r="AN357" i="4"/>
  <c r="F357" i="4"/>
  <c r="E357" i="4"/>
  <c r="AM357" i="4"/>
  <c r="AQ357" i="4"/>
  <c r="AL357" i="4"/>
  <c r="AK357" i="4"/>
  <c r="AJ357" i="4"/>
  <c r="AI357" i="4"/>
  <c r="AH357" i="4"/>
  <c r="AG357" i="4"/>
  <c r="AF357" i="4"/>
  <c r="AE357" i="4"/>
  <c r="S357" i="4"/>
  <c r="AD357" i="4"/>
  <c r="AC357" i="4"/>
  <c r="AB357" i="4"/>
  <c r="AA357" i="4"/>
  <c r="Z357" i="4"/>
  <c r="X357" i="4"/>
  <c r="W357" i="4"/>
  <c r="R357" i="4"/>
  <c r="Q357" i="4"/>
  <c r="P357" i="4"/>
  <c r="O357" i="4"/>
  <c r="N357" i="4"/>
  <c r="M357" i="4"/>
  <c r="D357" i="4"/>
  <c r="L357" i="4"/>
  <c r="Y357" i="4"/>
  <c r="K357" i="4"/>
  <c r="BD357" i="4"/>
  <c r="V357" i="4"/>
  <c r="J357" i="4"/>
  <c r="F369" i="1"/>
  <c r="F366" i="1"/>
  <c r="F365" i="1"/>
  <c r="AP347" i="4"/>
  <c r="AO347" i="4"/>
  <c r="AN347" i="4"/>
  <c r="F347" i="4"/>
  <c r="E347" i="4"/>
  <c r="AM347" i="4"/>
  <c r="AQ347" i="4"/>
  <c r="AL347" i="4"/>
  <c r="AK347" i="4"/>
  <c r="AJ347" i="4"/>
  <c r="AI347" i="4"/>
  <c r="AH347" i="4"/>
  <c r="AG347" i="4"/>
  <c r="AF347" i="4"/>
  <c r="AE347" i="4"/>
  <c r="S347" i="4"/>
  <c r="AD347" i="4"/>
  <c r="AC347" i="4"/>
  <c r="AB347" i="4"/>
  <c r="AA347" i="4"/>
  <c r="Z347" i="4"/>
  <c r="X347" i="4"/>
  <c r="W347" i="4"/>
  <c r="R347" i="4"/>
  <c r="Q347" i="4"/>
  <c r="P347" i="4"/>
  <c r="O347" i="4"/>
  <c r="N347" i="4"/>
  <c r="M347" i="4"/>
  <c r="D347" i="4"/>
  <c r="L347" i="4"/>
  <c r="Y347" i="4"/>
  <c r="K347" i="4"/>
  <c r="BD347" i="4"/>
  <c r="V347" i="4"/>
  <c r="J347" i="4"/>
  <c r="F357" i="1"/>
  <c r="G357" i="1"/>
  <c r="F338" i="1"/>
  <c r="AP317" i="4"/>
  <c r="AO317" i="4"/>
  <c r="AN317" i="4"/>
  <c r="F317" i="4"/>
  <c r="E317" i="4"/>
  <c r="AM317" i="4"/>
  <c r="AQ317" i="4"/>
  <c r="AL317" i="4"/>
  <c r="AK317" i="4"/>
  <c r="AJ317" i="4"/>
  <c r="AI317" i="4"/>
  <c r="AH317" i="4"/>
  <c r="AG317" i="4"/>
  <c r="AF317" i="4"/>
  <c r="AE317" i="4"/>
  <c r="S317" i="4"/>
  <c r="AD317" i="4"/>
  <c r="AC317" i="4"/>
  <c r="AB319" i="4"/>
  <c r="AB332" i="4"/>
  <c r="AA317" i="4"/>
  <c r="Z317" i="4"/>
  <c r="X317" i="4"/>
  <c r="W317" i="4"/>
  <c r="R317" i="4"/>
  <c r="Q317" i="4"/>
  <c r="P317" i="4"/>
  <c r="O317" i="4"/>
  <c r="N317" i="4"/>
  <c r="M317" i="4"/>
  <c r="D317" i="4"/>
  <c r="L317" i="4"/>
  <c r="Y317" i="4"/>
  <c r="K317" i="4"/>
  <c r="BD317" i="4"/>
  <c r="V317" i="4"/>
  <c r="J317" i="4"/>
  <c r="F327" i="1"/>
  <c r="F326" i="1"/>
  <c r="F325" i="1"/>
  <c r="AP310" i="4"/>
  <c r="AO310" i="4"/>
  <c r="AN310" i="4"/>
  <c r="F310" i="4"/>
  <c r="E310" i="4"/>
  <c r="AM310" i="4"/>
  <c r="AQ310" i="4"/>
  <c r="AL310" i="4"/>
  <c r="AK310" i="4"/>
  <c r="AJ310" i="4"/>
  <c r="AI310" i="4"/>
  <c r="AH310" i="4"/>
  <c r="AG310" i="4"/>
  <c r="AF310" i="4"/>
  <c r="AE310" i="4"/>
  <c r="S310" i="4"/>
  <c r="AD310" i="4"/>
  <c r="AC310" i="4"/>
  <c r="AA310" i="4"/>
  <c r="Z310" i="4"/>
  <c r="X310" i="4"/>
  <c r="W310" i="4"/>
  <c r="R310" i="4"/>
  <c r="Q310" i="4"/>
  <c r="P310" i="4"/>
  <c r="O310" i="4"/>
  <c r="N310" i="4"/>
  <c r="M310" i="4"/>
  <c r="D310" i="4"/>
  <c r="L310" i="4"/>
  <c r="Y310" i="4"/>
  <c r="K310" i="4"/>
  <c r="BD310" i="4"/>
  <c r="V310" i="4"/>
  <c r="J310" i="4"/>
  <c r="F319" i="1"/>
  <c r="F318" i="1"/>
  <c r="F315" i="1"/>
  <c r="F314" i="1"/>
  <c r="F311" i="1"/>
  <c r="AP289" i="4"/>
  <c r="AO289" i="4"/>
  <c r="AN289" i="4"/>
  <c r="F289" i="4"/>
  <c r="E289" i="4"/>
  <c r="AM289" i="4"/>
  <c r="AQ289" i="4"/>
  <c r="AL289" i="4"/>
  <c r="AK289" i="4"/>
  <c r="AJ289" i="4"/>
  <c r="AI289" i="4"/>
  <c r="AH289" i="4"/>
  <c r="AG289" i="4"/>
  <c r="AF289" i="4"/>
  <c r="AE289" i="4"/>
  <c r="S289" i="4"/>
  <c r="AD289" i="4"/>
  <c r="AC289" i="4"/>
  <c r="AB289" i="4"/>
  <c r="AA289" i="4"/>
  <c r="Z289" i="4"/>
  <c r="X289" i="4"/>
  <c r="W289" i="4"/>
  <c r="R289" i="4"/>
  <c r="Q289" i="4"/>
  <c r="P289" i="4"/>
  <c r="O289" i="4"/>
  <c r="N289" i="4"/>
  <c r="M289" i="4"/>
  <c r="D289" i="4"/>
  <c r="L289" i="4"/>
  <c r="Y289" i="4"/>
  <c r="K289" i="4"/>
  <c r="BD289" i="4"/>
  <c r="V289" i="4"/>
  <c r="J289" i="4"/>
  <c r="F296" i="1"/>
  <c r="AP277" i="4"/>
  <c r="AO277" i="4"/>
  <c r="AN277" i="4"/>
  <c r="F277" i="4"/>
  <c r="E277" i="4"/>
  <c r="AM277" i="4"/>
  <c r="AQ277" i="4"/>
  <c r="AL277" i="4"/>
  <c r="AK277" i="4"/>
  <c r="AJ277" i="4"/>
  <c r="AI277" i="4"/>
  <c r="AH277" i="4"/>
  <c r="AG277" i="4"/>
  <c r="AF277" i="4"/>
  <c r="AE277" i="4"/>
  <c r="S277" i="4"/>
  <c r="AD277" i="4"/>
  <c r="AC277" i="4"/>
  <c r="AB277" i="4"/>
  <c r="AA277" i="4"/>
  <c r="Z277" i="4"/>
  <c r="X277" i="4"/>
  <c r="W277" i="4"/>
  <c r="R277" i="4"/>
  <c r="Q277" i="4"/>
  <c r="P277" i="4"/>
  <c r="O277" i="4"/>
  <c r="N277" i="4"/>
  <c r="M277" i="4"/>
  <c r="D277" i="4"/>
  <c r="L277" i="4"/>
  <c r="Y277" i="4"/>
  <c r="K277" i="4"/>
  <c r="BD277" i="4"/>
  <c r="V277" i="4"/>
  <c r="J277" i="4"/>
  <c r="C277" i="4"/>
  <c r="AP262" i="4"/>
  <c r="AP11" i="4"/>
  <c r="AO262" i="4"/>
  <c r="AO11" i="4"/>
  <c r="AN262" i="4"/>
  <c r="AN11" i="4"/>
  <c r="F262" i="4"/>
  <c r="F11" i="4"/>
  <c r="E262" i="4"/>
  <c r="E11" i="4"/>
  <c r="AM262" i="4"/>
  <c r="AM11" i="4"/>
  <c r="AQ262" i="4"/>
  <c r="AQ11" i="4"/>
  <c r="AL262" i="4"/>
  <c r="AL11" i="4"/>
  <c r="AK262" i="4"/>
  <c r="AJ262" i="4"/>
  <c r="AI262" i="4"/>
  <c r="AI11" i="4"/>
  <c r="AH262" i="4"/>
  <c r="AH11" i="4"/>
  <c r="AG262" i="4"/>
  <c r="AG11" i="4"/>
  <c r="AF262" i="4"/>
  <c r="AF11" i="4"/>
  <c r="AE262" i="4"/>
  <c r="S262" i="4"/>
  <c r="S11" i="4"/>
  <c r="AD262" i="4"/>
  <c r="AD11" i="4"/>
  <c r="AC262" i="4"/>
  <c r="AC11" i="4"/>
  <c r="AB262" i="4"/>
  <c r="AB11" i="4"/>
  <c r="AA262" i="4"/>
  <c r="AA11" i="4"/>
  <c r="Z262" i="4"/>
  <c r="X262" i="4"/>
  <c r="X11" i="4"/>
  <c r="W262" i="4"/>
  <c r="W11" i="4"/>
  <c r="R262" i="4"/>
  <c r="Q262" i="4"/>
  <c r="Q11" i="4"/>
  <c r="P262" i="4"/>
  <c r="P11" i="4"/>
  <c r="O262" i="4"/>
  <c r="O11" i="4"/>
  <c r="N262" i="4"/>
  <c r="N11" i="4"/>
  <c r="M262" i="4"/>
  <c r="M11" i="4"/>
  <c r="D262" i="4"/>
  <c r="L262" i="4"/>
  <c r="Y262" i="4"/>
  <c r="Y11" i="4"/>
  <c r="K262" i="4"/>
  <c r="BD262" i="4"/>
  <c r="BD11" i="4"/>
  <c r="V262" i="4"/>
  <c r="V11" i="4"/>
  <c r="J262" i="4"/>
  <c r="J11" i="4"/>
  <c r="C262" i="4"/>
  <c r="AP249" i="4"/>
  <c r="AO249" i="4"/>
  <c r="AN249" i="4"/>
  <c r="F249" i="4"/>
  <c r="E249" i="4"/>
  <c r="AM249" i="4"/>
  <c r="AQ249" i="4"/>
  <c r="AL249" i="4"/>
  <c r="AK249" i="4"/>
  <c r="AJ249" i="4"/>
  <c r="AI249" i="4"/>
  <c r="AH249" i="4"/>
  <c r="AG249" i="4"/>
  <c r="AF249" i="4"/>
  <c r="AE249" i="4"/>
  <c r="S249" i="4"/>
  <c r="AD249" i="4"/>
  <c r="AC249" i="4"/>
  <c r="AB249" i="4"/>
  <c r="AA249" i="4"/>
  <c r="Z249" i="4"/>
  <c r="X249" i="4"/>
  <c r="W249" i="4"/>
  <c r="R249" i="4"/>
  <c r="Q249" i="4"/>
  <c r="P249" i="4"/>
  <c r="O249" i="4"/>
  <c r="N249" i="4"/>
  <c r="M249" i="4"/>
  <c r="D249" i="4"/>
  <c r="L249" i="4"/>
  <c r="Y249" i="4"/>
  <c r="K249" i="4"/>
  <c r="BD249" i="4"/>
  <c r="V249" i="4"/>
  <c r="J249" i="4"/>
  <c r="F258" i="1"/>
  <c r="AP237" i="4"/>
  <c r="AO237" i="4"/>
  <c r="AN237" i="4"/>
  <c r="F237" i="4"/>
  <c r="E237" i="4"/>
  <c r="AM237" i="4"/>
  <c r="AQ237" i="4"/>
  <c r="AL237" i="4"/>
  <c r="AK237" i="4"/>
  <c r="AJ237" i="4"/>
  <c r="AI237" i="4"/>
  <c r="AH237" i="4"/>
  <c r="AG237" i="4"/>
  <c r="AF237" i="4"/>
  <c r="AE237" i="4"/>
  <c r="S237" i="4"/>
  <c r="AD237" i="4"/>
  <c r="AC237" i="4"/>
  <c r="AB237" i="4"/>
  <c r="AA237" i="4"/>
  <c r="Z237" i="4"/>
  <c r="X237" i="4"/>
  <c r="W237" i="4"/>
  <c r="R237" i="4"/>
  <c r="Q237" i="4"/>
  <c r="P237" i="4"/>
  <c r="O237" i="4"/>
  <c r="N237" i="4"/>
  <c r="M237" i="4"/>
  <c r="D237" i="4"/>
  <c r="L237" i="4"/>
  <c r="Y237" i="4"/>
  <c r="K237" i="4"/>
  <c r="V237" i="4"/>
  <c r="J237" i="4"/>
  <c r="C237" i="4"/>
  <c r="AP232" i="4"/>
  <c r="AO232" i="4"/>
  <c r="AN232" i="4"/>
  <c r="F232" i="4"/>
  <c r="E232" i="4"/>
  <c r="AM232" i="4"/>
  <c r="AQ232" i="4"/>
  <c r="AL232" i="4"/>
  <c r="AK232" i="4"/>
  <c r="AJ232" i="4"/>
  <c r="AI232" i="4"/>
  <c r="AH232" i="4"/>
  <c r="AG232" i="4"/>
  <c r="AF232" i="4"/>
  <c r="AE232" i="4"/>
  <c r="S232" i="4"/>
  <c r="AD232" i="4"/>
  <c r="AC232" i="4"/>
  <c r="AB232" i="4"/>
  <c r="AA232" i="4"/>
  <c r="Z232" i="4"/>
  <c r="X232" i="4"/>
  <c r="W232" i="4"/>
  <c r="R232" i="4"/>
  <c r="Q232" i="4"/>
  <c r="P232" i="4"/>
  <c r="O232" i="4"/>
  <c r="N232" i="4"/>
  <c r="M232" i="4"/>
  <c r="D232" i="4"/>
  <c r="L232" i="4"/>
  <c r="Y232" i="4"/>
  <c r="K232" i="4"/>
  <c r="BD232" i="4"/>
  <c r="V232" i="4"/>
  <c r="J232" i="4"/>
  <c r="C232" i="4"/>
  <c r="AP224" i="4"/>
  <c r="AP46" i="4"/>
  <c r="AO224" i="4"/>
  <c r="AO46" i="4"/>
  <c r="AN224" i="4"/>
  <c r="AN46" i="4"/>
  <c r="F224" i="4"/>
  <c r="F46" i="4"/>
  <c r="E224" i="4"/>
  <c r="E46" i="4"/>
  <c r="AM224" i="4"/>
  <c r="AM46" i="4"/>
  <c r="AQ224" i="4"/>
  <c r="AQ46" i="4"/>
  <c r="AL224" i="4"/>
  <c r="AL46" i="4"/>
  <c r="AK224" i="4"/>
  <c r="AK46" i="4"/>
  <c r="AJ224" i="4"/>
  <c r="AJ46" i="4"/>
  <c r="AI224" i="4"/>
  <c r="AI46" i="4"/>
  <c r="AH224" i="4"/>
  <c r="AH46" i="4"/>
  <c r="AG224" i="4"/>
  <c r="AG46" i="4"/>
  <c r="AF224" i="4"/>
  <c r="AF46" i="4"/>
  <c r="AE224" i="4"/>
  <c r="AE46" i="4"/>
  <c r="S224" i="4"/>
  <c r="S46" i="4"/>
  <c r="AD224" i="4"/>
  <c r="AD46" i="4"/>
  <c r="AC224" i="4"/>
  <c r="AC46" i="4"/>
  <c r="AB224" i="4"/>
  <c r="AB46" i="4"/>
  <c r="AA224" i="4"/>
  <c r="AA46" i="4"/>
  <c r="Z224" i="4"/>
  <c r="Z46" i="4"/>
  <c r="X224" i="4"/>
  <c r="X46" i="4"/>
  <c r="W224" i="4"/>
  <c r="W46" i="4"/>
  <c r="R224" i="4"/>
  <c r="R46" i="4"/>
  <c r="Q224" i="4"/>
  <c r="Q46" i="4"/>
  <c r="P224" i="4"/>
  <c r="P46" i="4"/>
  <c r="O224" i="4"/>
  <c r="O46" i="4"/>
  <c r="N224" i="4"/>
  <c r="N46" i="4"/>
  <c r="M224" i="4"/>
  <c r="M46" i="4"/>
  <c r="D224" i="4"/>
  <c r="D46" i="4"/>
  <c r="L224" i="4"/>
  <c r="L46" i="4"/>
  <c r="Y224" i="4"/>
  <c r="Y46" i="4"/>
  <c r="K224" i="4"/>
  <c r="K46" i="4"/>
  <c r="BD224" i="4"/>
  <c r="BD46" i="4"/>
  <c r="V224" i="4"/>
  <c r="V46" i="4"/>
  <c r="J224" i="4"/>
  <c r="J46" i="4"/>
  <c r="C224" i="4"/>
  <c r="AP215" i="4"/>
  <c r="AO215" i="4"/>
  <c r="AN215" i="4"/>
  <c r="F215" i="4"/>
  <c r="E215" i="4"/>
  <c r="AM215" i="4"/>
  <c r="AQ215" i="4"/>
  <c r="AL215" i="4"/>
  <c r="AK215" i="4"/>
  <c r="AJ215" i="4"/>
  <c r="AI215" i="4"/>
  <c r="AH215" i="4"/>
  <c r="AG215" i="4"/>
  <c r="AF215" i="4"/>
  <c r="AE215" i="4"/>
  <c r="S215" i="4"/>
  <c r="AD215" i="4"/>
  <c r="AC215" i="4"/>
  <c r="AB215" i="4"/>
  <c r="AA215" i="4"/>
  <c r="Z215" i="4"/>
  <c r="X215" i="4"/>
  <c r="W215" i="4"/>
  <c r="R215" i="4"/>
  <c r="Q215" i="4"/>
  <c r="P215" i="4"/>
  <c r="O215" i="4"/>
  <c r="N215" i="4"/>
  <c r="M215" i="4"/>
  <c r="D215" i="4"/>
  <c r="L215" i="4"/>
  <c r="Y215" i="4"/>
  <c r="K215" i="4"/>
  <c r="BD215" i="4"/>
  <c r="V215" i="4"/>
  <c r="J215" i="4"/>
  <c r="C215" i="4"/>
  <c r="AP211" i="4"/>
  <c r="AO211" i="4"/>
  <c r="AN211" i="4"/>
  <c r="F211" i="4"/>
  <c r="E211" i="4"/>
  <c r="AM211" i="4"/>
  <c r="AQ211" i="4"/>
  <c r="AL211" i="4"/>
  <c r="AK211" i="4"/>
  <c r="AJ211" i="4"/>
  <c r="AI211" i="4"/>
  <c r="AH211" i="4"/>
  <c r="AG211" i="4"/>
  <c r="AF211" i="4"/>
  <c r="AE211" i="4"/>
  <c r="S211" i="4"/>
  <c r="AD211" i="4"/>
  <c r="AC211" i="4"/>
  <c r="AB211" i="4"/>
  <c r="AA211" i="4"/>
  <c r="Z211" i="4"/>
  <c r="X211" i="4"/>
  <c r="W211" i="4"/>
  <c r="R211" i="4"/>
  <c r="Q211" i="4"/>
  <c r="P211" i="4"/>
  <c r="O211" i="4"/>
  <c r="N211" i="4"/>
  <c r="M211" i="4"/>
  <c r="D211" i="4"/>
  <c r="L211" i="4"/>
  <c r="Y211" i="4"/>
  <c r="K211" i="4"/>
  <c r="BD211" i="4"/>
  <c r="V211" i="4"/>
  <c r="J211" i="4"/>
  <c r="C211" i="4"/>
  <c r="AP207" i="4"/>
  <c r="AO207" i="4"/>
  <c r="AN207" i="4"/>
  <c r="F207" i="4"/>
  <c r="E207" i="4"/>
  <c r="AM207" i="4"/>
  <c r="AQ207" i="4"/>
  <c r="AL207" i="4"/>
  <c r="AK207" i="4"/>
  <c r="AJ207" i="4"/>
  <c r="AI207" i="4"/>
  <c r="AH207" i="4"/>
  <c r="AG207" i="4"/>
  <c r="AF207" i="4"/>
  <c r="AE207" i="4"/>
  <c r="S207" i="4"/>
  <c r="AD207" i="4"/>
  <c r="AC207" i="4"/>
  <c r="AB207" i="4"/>
  <c r="AA207" i="4"/>
  <c r="Z207" i="4"/>
  <c r="X207" i="4"/>
  <c r="W207" i="4"/>
  <c r="R207" i="4"/>
  <c r="Q207" i="4"/>
  <c r="P207" i="4"/>
  <c r="O207" i="4"/>
  <c r="N207" i="4"/>
  <c r="M207" i="4"/>
  <c r="D207" i="4"/>
  <c r="L207" i="4"/>
  <c r="Y207" i="4"/>
  <c r="K207" i="4"/>
  <c r="BD207" i="4"/>
  <c r="V207" i="4"/>
  <c r="J207" i="4"/>
  <c r="C207" i="4"/>
  <c r="AP203" i="4"/>
  <c r="AO203" i="4"/>
  <c r="AN203" i="4"/>
  <c r="F203" i="4"/>
  <c r="E203" i="4"/>
  <c r="AM203" i="4"/>
  <c r="AQ203" i="4"/>
  <c r="AL203" i="4"/>
  <c r="AK203" i="4"/>
  <c r="AJ203" i="4"/>
  <c r="AI203" i="4"/>
  <c r="AH203" i="4"/>
  <c r="AG203" i="4"/>
  <c r="AF203" i="4"/>
  <c r="AE203" i="4"/>
  <c r="S203" i="4"/>
  <c r="AD203" i="4"/>
  <c r="AC203" i="4"/>
  <c r="AB203" i="4"/>
  <c r="AA203" i="4"/>
  <c r="Z203" i="4"/>
  <c r="X203" i="4"/>
  <c r="W203" i="4"/>
  <c r="R203" i="4"/>
  <c r="Q203" i="4"/>
  <c r="P203" i="4"/>
  <c r="O203" i="4"/>
  <c r="N203" i="4"/>
  <c r="M203" i="4"/>
  <c r="D203" i="4"/>
  <c r="L203" i="4"/>
  <c r="Y203" i="4"/>
  <c r="K203" i="4"/>
  <c r="BD203" i="4"/>
  <c r="V203" i="4"/>
  <c r="J203" i="4"/>
  <c r="C203" i="4"/>
  <c r="AP199" i="4"/>
  <c r="AO199" i="4"/>
  <c r="AN199" i="4"/>
  <c r="F199" i="4"/>
  <c r="E199" i="4"/>
  <c r="AM199" i="4"/>
  <c r="AQ199" i="4"/>
  <c r="AL199" i="4"/>
  <c r="AK199" i="4"/>
  <c r="AJ199" i="4"/>
  <c r="AI199" i="4"/>
  <c r="AH199" i="4"/>
  <c r="AG199" i="4"/>
  <c r="AF199" i="4"/>
  <c r="AE199" i="4"/>
  <c r="S199" i="4"/>
  <c r="AD199" i="4"/>
  <c r="AC199" i="4"/>
  <c r="AB199" i="4"/>
  <c r="AA199" i="4"/>
  <c r="Z199" i="4"/>
  <c r="X199" i="4"/>
  <c r="W199" i="4"/>
  <c r="R199" i="4"/>
  <c r="Q199" i="4"/>
  <c r="P199" i="4"/>
  <c r="O199" i="4"/>
  <c r="N199" i="4"/>
  <c r="M199" i="4"/>
  <c r="D199" i="4"/>
  <c r="L199" i="4"/>
  <c r="Y199" i="4"/>
  <c r="K199" i="4"/>
  <c r="BD199" i="4"/>
  <c r="V199" i="4"/>
  <c r="J199" i="4"/>
  <c r="C199" i="4"/>
  <c r="AP190" i="4"/>
  <c r="AO190" i="4"/>
  <c r="AN190" i="4"/>
  <c r="F190" i="4"/>
  <c r="E190" i="4"/>
  <c r="AM190" i="4"/>
  <c r="AQ190" i="4"/>
  <c r="AL190" i="4"/>
  <c r="AK190" i="4"/>
  <c r="AJ190" i="4"/>
  <c r="AI190" i="4"/>
  <c r="AH190" i="4"/>
  <c r="AG190" i="4"/>
  <c r="AF190" i="4"/>
  <c r="AE190" i="4"/>
  <c r="S190" i="4"/>
  <c r="AD190" i="4"/>
  <c r="AC190" i="4"/>
  <c r="AB190" i="4"/>
  <c r="AA190" i="4"/>
  <c r="Z190" i="4"/>
  <c r="X190" i="4"/>
  <c r="W190" i="4"/>
  <c r="R190" i="4"/>
  <c r="Q190" i="4"/>
  <c r="P190" i="4"/>
  <c r="O190" i="4"/>
  <c r="N190" i="4"/>
  <c r="M190" i="4"/>
  <c r="D190" i="4"/>
  <c r="L190" i="4"/>
  <c r="Y190" i="4"/>
  <c r="K190" i="4"/>
  <c r="BD190" i="4"/>
  <c r="V190" i="4"/>
  <c r="J190" i="4"/>
  <c r="C190" i="4"/>
  <c r="AP187" i="4"/>
  <c r="AO187" i="4"/>
  <c r="AN187" i="4"/>
  <c r="F187" i="4"/>
  <c r="E187" i="4"/>
  <c r="AM187" i="4"/>
  <c r="AQ187" i="4"/>
  <c r="AL187" i="4"/>
  <c r="AK187" i="4"/>
  <c r="AJ187" i="4"/>
  <c r="AI187" i="4"/>
  <c r="AH187" i="4"/>
  <c r="AG187" i="4"/>
  <c r="AF187" i="4"/>
  <c r="AE187" i="4"/>
  <c r="S187" i="4"/>
  <c r="AD187" i="4"/>
  <c r="AC187" i="4"/>
  <c r="AB187" i="4"/>
  <c r="AA187" i="4"/>
  <c r="Z187" i="4"/>
  <c r="X187" i="4"/>
  <c r="W187" i="4"/>
  <c r="R187" i="4"/>
  <c r="Q187" i="4"/>
  <c r="P187" i="4"/>
  <c r="O187" i="4"/>
  <c r="N187" i="4"/>
  <c r="M187" i="4"/>
  <c r="D187" i="4"/>
  <c r="L187" i="4"/>
  <c r="Y187" i="4"/>
  <c r="K187" i="4"/>
  <c r="BD187" i="4"/>
  <c r="V187" i="4"/>
  <c r="J187" i="4"/>
  <c r="C187" i="4"/>
  <c r="AP179" i="4"/>
  <c r="AO179" i="4"/>
  <c r="AN179" i="4"/>
  <c r="F179" i="4"/>
  <c r="E179" i="4"/>
  <c r="AM179" i="4"/>
  <c r="AQ179" i="4"/>
  <c r="AL179" i="4"/>
  <c r="AK179" i="4"/>
  <c r="AJ179" i="4"/>
  <c r="AI179" i="4"/>
  <c r="AH179" i="4"/>
  <c r="AG179" i="4"/>
  <c r="AF179" i="4"/>
  <c r="AE179" i="4"/>
  <c r="S179" i="4"/>
  <c r="AD179" i="4"/>
  <c r="AC179" i="4"/>
  <c r="AB179" i="4"/>
  <c r="AA179" i="4"/>
  <c r="Z179" i="4"/>
  <c r="X179" i="4"/>
  <c r="W179" i="4"/>
  <c r="R179" i="4"/>
  <c r="Q179" i="4"/>
  <c r="P179" i="4"/>
  <c r="O179" i="4"/>
  <c r="N179" i="4"/>
  <c r="M179" i="4"/>
  <c r="D179" i="4"/>
  <c r="L179" i="4"/>
  <c r="Y179" i="4"/>
  <c r="K179" i="4"/>
  <c r="BD179" i="4"/>
  <c r="V179" i="4"/>
  <c r="J179" i="4"/>
  <c r="C179" i="4"/>
  <c r="AP170" i="4"/>
  <c r="AO170" i="4"/>
  <c r="AN170" i="4"/>
  <c r="F170" i="4"/>
  <c r="E170" i="4"/>
  <c r="AM170" i="4"/>
  <c r="AQ170" i="4"/>
  <c r="AL170" i="4"/>
  <c r="AK170" i="4"/>
  <c r="AJ170" i="4"/>
  <c r="AI170" i="4"/>
  <c r="AH170" i="4"/>
  <c r="AG170" i="4"/>
  <c r="AF170" i="4"/>
  <c r="AE170" i="4"/>
  <c r="S170" i="4"/>
  <c r="AD170" i="4"/>
  <c r="AC170" i="4"/>
  <c r="AB170" i="4"/>
  <c r="AA170" i="4"/>
  <c r="Z170" i="4"/>
  <c r="X170" i="4"/>
  <c r="W170" i="4"/>
  <c r="R170" i="4"/>
  <c r="Q170" i="4"/>
  <c r="P170" i="4"/>
  <c r="O170" i="4"/>
  <c r="N170" i="4"/>
  <c r="M170" i="4"/>
  <c r="D170" i="4"/>
  <c r="L170" i="4"/>
  <c r="Y170" i="4"/>
  <c r="K170" i="4"/>
  <c r="BD170" i="4"/>
  <c r="V170" i="4"/>
  <c r="J170" i="4"/>
  <c r="C170" i="4"/>
  <c r="AP166" i="4"/>
  <c r="AO166" i="4"/>
  <c r="AN166" i="4"/>
  <c r="F166" i="4"/>
  <c r="E166" i="4"/>
  <c r="AM166" i="4"/>
  <c r="AQ166" i="4"/>
  <c r="AL166" i="4"/>
  <c r="AK166" i="4"/>
  <c r="AJ166" i="4"/>
  <c r="AI166" i="4"/>
  <c r="AH166" i="4"/>
  <c r="AG166" i="4"/>
  <c r="AF166" i="4"/>
  <c r="AE166" i="4"/>
  <c r="S166" i="4"/>
  <c r="AD166" i="4"/>
  <c r="AC166" i="4"/>
  <c r="AB166" i="4"/>
  <c r="AA166" i="4"/>
  <c r="Z166" i="4"/>
  <c r="X166" i="4"/>
  <c r="W166" i="4"/>
  <c r="R166" i="4"/>
  <c r="Q166" i="4"/>
  <c r="P166" i="4"/>
  <c r="O166" i="4"/>
  <c r="N166" i="4"/>
  <c r="M166" i="4"/>
  <c r="D166" i="4"/>
  <c r="L166" i="4"/>
  <c r="Y166" i="4"/>
  <c r="K166" i="4"/>
  <c r="BD166" i="4"/>
  <c r="V166" i="4"/>
  <c r="J166" i="4"/>
  <c r="C166" i="4"/>
  <c r="AP158" i="4"/>
  <c r="AO158" i="4"/>
  <c r="AN158" i="4"/>
  <c r="F158" i="4"/>
  <c r="E158" i="4"/>
  <c r="AM158" i="4"/>
  <c r="AQ158" i="4"/>
  <c r="AL158" i="4"/>
  <c r="AK158" i="4"/>
  <c r="AJ158" i="4"/>
  <c r="AI158" i="4"/>
  <c r="AH158" i="4"/>
  <c r="AG158" i="4"/>
  <c r="AF158" i="4"/>
  <c r="AE158" i="4"/>
  <c r="S158" i="4"/>
  <c r="AD158" i="4"/>
  <c r="AC158" i="4"/>
  <c r="AB158" i="4"/>
  <c r="AA158" i="4"/>
  <c r="Z158" i="4"/>
  <c r="X158" i="4"/>
  <c r="W158" i="4"/>
  <c r="R158" i="4"/>
  <c r="Q158" i="4"/>
  <c r="P158" i="4"/>
  <c r="O158" i="4"/>
  <c r="N158" i="4"/>
  <c r="M158" i="4"/>
  <c r="D158" i="4"/>
  <c r="L158" i="4"/>
  <c r="Y158" i="4"/>
  <c r="K158" i="4"/>
  <c r="BD158" i="4"/>
  <c r="V158" i="4"/>
  <c r="J158" i="4"/>
  <c r="AP143" i="4"/>
  <c r="AO143" i="4"/>
  <c r="AN143" i="4"/>
  <c r="F143" i="4"/>
  <c r="E143" i="4"/>
  <c r="AM143" i="4"/>
  <c r="AQ143" i="4"/>
  <c r="AL143" i="4"/>
  <c r="AK143" i="4"/>
  <c r="AJ143" i="4"/>
  <c r="AI143" i="4"/>
  <c r="AH143" i="4"/>
  <c r="AG143" i="4"/>
  <c r="AF143" i="4"/>
  <c r="AE143" i="4"/>
  <c r="S143" i="4"/>
  <c r="AD143" i="4"/>
  <c r="AC143" i="4"/>
  <c r="AB143" i="4"/>
  <c r="AA143" i="4"/>
  <c r="Z143" i="4"/>
  <c r="X143" i="4"/>
  <c r="W143" i="4"/>
  <c r="R143" i="4"/>
  <c r="Q143" i="4"/>
  <c r="P143" i="4"/>
  <c r="O143" i="4"/>
  <c r="N143" i="4"/>
  <c r="M143" i="4"/>
  <c r="D143" i="4"/>
  <c r="L143" i="4"/>
  <c r="Y143" i="4"/>
  <c r="K143" i="4"/>
  <c r="BD143" i="4"/>
  <c r="V143" i="4"/>
  <c r="J143" i="4"/>
  <c r="C143" i="4"/>
  <c r="AP125" i="4"/>
  <c r="AO125" i="4"/>
  <c r="AN125" i="4"/>
  <c r="F125" i="4"/>
  <c r="E125" i="4"/>
  <c r="AM125" i="4"/>
  <c r="AQ125" i="4"/>
  <c r="AL125" i="4"/>
  <c r="AK125" i="4"/>
  <c r="AJ125" i="4"/>
  <c r="AI125" i="4"/>
  <c r="AH125" i="4"/>
  <c r="AG125" i="4"/>
  <c r="AF125" i="4"/>
  <c r="AE125" i="4"/>
  <c r="S125" i="4"/>
  <c r="AD125" i="4"/>
  <c r="AC125" i="4"/>
  <c r="AB125" i="4"/>
  <c r="AA125" i="4"/>
  <c r="Z125" i="4"/>
  <c r="X125" i="4"/>
  <c r="W125" i="4"/>
  <c r="R125" i="4"/>
  <c r="Q125" i="4"/>
  <c r="P125" i="4"/>
  <c r="O125" i="4"/>
  <c r="N125" i="4"/>
  <c r="M125" i="4"/>
  <c r="D125" i="4"/>
  <c r="L125" i="4"/>
  <c r="Y125" i="4"/>
  <c r="K125" i="4"/>
  <c r="BD125" i="4"/>
  <c r="V125" i="4"/>
  <c r="J125" i="4"/>
  <c r="F124" i="1"/>
  <c r="F120" i="1"/>
  <c r="F116" i="1"/>
  <c r="AP110" i="4"/>
  <c r="AO110" i="4"/>
  <c r="AN110" i="4"/>
  <c r="F110" i="4"/>
  <c r="E110" i="4"/>
  <c r="AM110" i="4"/>
  <c r="AQ110" i="4"/>
  <c r="AL110" i="4"/>
  <c r="AK110" i="4"/>
  <c r="AJ110" i="4"/>
  <c r="AI110" i="4"/>
  <c r="AH110" i="4"/>
  <c r="AG110" i="4"/>
  <c r="AF110" i="4"/>
  <c r="AE110" i="4"/>
  <c r="S110" i="4"/>
  <c r="AD110" i="4"/>
  <c r="AC110" i="4"/>
  <c r="AB110" i="4"/>
  <c r="AA110" i="4"/>
  <c r="Z110" i="4"/>
  <c r="X110" i="4"/>
  <c r="W110" i="4"/>
  <c r="R110" i="4"/>
  <c r="Q110" i="4"/>
  <c r="P110" i="4"/>
  <c r="O110" i="4"/>
  <c r="N110" i="4"/>
  <c r="M110" i="4"/>
  <c r="D110" i="4"/>
  <c r="L110" i="4"/>
  <c r="Y110" i="4"/>
  <c r="K110" i="4"/>
  <c r="BD110" i="4"/>
  <c r="V110" i="4"/>
  <c r="J110" i="4"/>
  <c r="C110" i="4"/>
  <c r="AP104" i="4"/>
  <c r="AO104" i="4"/>
  <c r="AN104" i="4"/>
  <c r="F104" i="4"/>
  <c r="E104" i="4"/>
  <c r="AM104" i="4"/>
  <c r="AQ104" i="4"/>
  <c r="AL104" i="4"/>
  <c r="AK104" i="4"/>
  <c r="AJ104" i="4"/>
  <c r="AI104" i="4"/>
  <c r="AH104" i="4"/>
  <c r="AG104" i="4"/>
  <c r="AF104" i="4"/>
  <c r="AE104" i="4"/>
  <c r="S104" i="4"/>
  <c r="AD104" i="4"/>
  <c r="AC104" i="4"/>
  <c r="AB104" i="4"/>
  <c r="AA104" i="4"/>
  <c r="Z104" i="4"/>
  <c r="X104" i="4"/>
  <c r="W104" i="4"/>
  <c r="R104" i="4"/>
  <c r="Q104" i="4"/>
  <c r="P104" i="4"/>
  <c r="O104" i="4"/>
  <c r="N104" i="4"/>
  <c r="M104" i="4"/>
  <c r="D104" i="4"/>
  <c r="L104" i="4"/>
  <c r="Y104" i="4"/>
  <c r="K104" i="4"/>
  <c r="BD104" i="4"/>
  <c r="V104" i="4"/>
  <c r="J104" i="4"/>
  <c r="F101" i="1"/>
  <c r="G101" i="1"/>
  <c r="AP94" i="4"/>
  <c r="AO94" i="4"/>
  <c r="AN94" i="4"/>
  <c r="F94" i="4"/>
  <c r="E94" i="4"/>
  <c r="AM94" i="4"/>
  <c r="AQ94" i="4"/>
  <c r="AL94" i="4"/>
  <c r="AK94" i="4"/>
  <c r="AJ94" i="4"/>
  <c r="AI94" i="4"/>
  <c r="AH94" i="4"/>
  <c r="AG94" i="4"/>
  <c r="AF94" i="4"/>
  <c r="AE94" i="4"/>
  <c r="S94" i="4"/>
  <c r="AD94" i="4"/>
  <c r="AC94" i="4"/>
  <c r="AB94" i="4"/>
  <c r="AA94" i="4"/>
  <c r="Z94" i="4"/>
  <c r="X94" i="4"/>
  <c r="W94" i="4"/>
  <c r="R94" i="4"/>
  <c r="Q94" i="4"/>
  <c r="P94" i="4"/>
  <c r="O94" i="4"/>
  <c r="N94" i="4"/>
  <c r="M94" i="4"/>
  <c r="D94" i="4"/>
  <c r="L94" i="4"/>
  <c r="Y94" i="4"/>
  <c r="K94" i="4"/>
  <c r="BD94" i="4"/>
  <c r="V94" i="4"/>
  <c r="J94" i="4"/>
  <c r="C94" i="4"/>
  <c r="AP83" i="4"/>
  <c r="AO83" i="4"/>
  <c r="AN83" i="4"/>
  <c r="F83" i="4"/>
  <c r="E83" i="4"/>
  <c r="AM83" i="4"/>
  <c r="AQ83" i="4"/>
  <c r="AL83" i="4"/>
  <c r="AK83" i="4"/>
  <c r="AJ83" i="4"/>
  <c r="AI83" i="4"/>
  <c r="AH83" i="4"/>
  <c r="AG83" i="4"/>
  <c r="AF83" i="4"/>
  <c r="AE83" i="4"/>
  <c r="S83" i="4"/>
  <c r="AD83" i="4"/>
  <c r="AC83" i="4"/>
  <c r="AB83" i="4"/>
  <c r="AA83" i="4"/>
  <c r="Z83" i="4"/>
  <c r="X83" i="4"/>
  <c r="W83" i="4"/>
  <c r="R83" i="4"/>
  <c r="Q83" i="4"/>
  <c r="P83" i="4"/>
  <c r="O83" i="4"/>
  <c r="N83" i="4"/>
  <c r="M83" i="4"/>
  <c r="D83" i="4"/>
  <c r="L83" i="4"/>
  <c r="Y83" i="4"/>
  <c r="K83" i="4"/>
  <c r="BD83" i="4"/>
  <c r="V83" i="4"/>
  <c r="J83" i="4"/>
  <c r="F80" i="1"/>
  <c r="G80" i="1"/>
  <c r="AP74" i="4"/>
  <c r="AO74" i="4"/>
  <c r="AN74" i="4"/>
  <c r="F74" i="4"/>
  <c r="E74" i="4"/>
  <c r="AM74" i="4"/>
  <c r="AQ74" i="4"/>
  <c r="AL74" i="4"/>
  <c r="AK74" i="4"/>
  <c r="AJ74" i="4"/>
  <c r="AI74" i="4"/>
  <c r="AH74" i="4"/>
  <c r="AG74" i="4"/>
  <c r="AF74" i="4"/>
  <c r="AE74" i="4"/>
  <c r="S74" i="4"/>
  <c r="AD74" i="4"/>
  <c r="AC74" i="4"/>
  <c r="AB74" i="4"/>
  <c r="AA74" i="4"/>
  <c r="Z74" i="4"/>
  <c r="X74" i="4"/>
  <c r="W74" i="4"/>
  <c r="R74" i="4"/>
  <c r="Q74" i="4"/>
  <c r="P74" i="4"/>
  <c r="O74" i="4"/>
  <c r="N74" i="4"/>
  <c r="M74" i="4"/>
  <c r="D74" i="4"/>
  <c r="L74" i="4"/>
  <c r="Y74" i="4"/>
  <c r="K74" i="4"/>
  <c r="BD74" i="4"/>
  <c r="V74" i="4"/>
  <c r="J74" i="4"/>
  <c r="C74" i="4"/>
  <c r="F66" i="1"/>
  <c r="AP62" i="4"/>
  <c r="AO62" i="4"/>
  <c r="AN62" i="4"/>
  <c r="F62" i="4"/>
  <c r="E62" i="4"/>
  <c r="AM62" i="4"/>
  <c r="AQ62" i="4"/>
  <c r="AL62" i="4"/>
  <c r="AK62" i="4"/>
  <c r="AJ62" i="4"/>
  <c r="AI62" i="4"/>
  <c r="AH62" i="4"/>
  <c r="AG62" i="4"/>
  <c r="AF62" i="4"/>
  <c r="AE62" i="4"/>
  <c r="S62" i="4"/>
  <c r="AD62" i="4"/>
  <c r="AC62" i="4"/>
  <c r="AB62" i="4"/>
  <c r="AA62" i="4"/>
  <c r="Z62" i="4"/>
  <c r="X62" i="4"/>
  <c r="W62" i="4"/>
  <c r="R62" i="4"/>
  <c r="Q62" i="4"/>
  <c r="P62" i="4"/>
  <c r="O62" i="4"/>
  <c r="N62" i="4"/>
  <c r="M62" i="4"/>
  <c r="D62" i="4"/>
  <c r="L62" i="4"/>
  <c r="Y62" i="4"/>
  <c r="K62" i="4"/>
  <c r="BD62" i="4"/>
  <c r="V62" i="4"/>
  <c r="J62" i="4"/>
  <c r="C62" i="4"/>
  <c r="AP52" i="4"/>
  <c r="AO52" i="4"/>
  <c r="AN52" i="4"/>
  <c r="F52" i="4"/>
  <c r="E52" i="4"/>
  <c r="AM52" i="4"/>
  <c r="AQ52" i="4"/>
  <c r="AL52" i="4"/>
  <c r="AK52" i="4"/>
  <c r="AJ52" i="4"/>
  <c r="AI52" i="4"/>
  <c r="AH52" i="4"/>
  <c r="AG52" i="4"/>
  <c r="AF52" i="4"/>
  <c r="AE52" i="4"/>
  <c r="S52" i="4"/>
  <c r="AD52" i="4"/>
  <c r="AC52" i="4"/>
  <c r="AB52" i="4"/>
  <c r="AA52" i="4"/>
  <c r="Z52" i="4"/>
  <c r="X52" i="4"/>
  <c r="W52" i="4"/>
  <c r="R52" i="4"/>
  <c r="Q52" i="4"/>
  <c r="P52" i="4"/>
  <c r="O52" i="4"/>
  <c r="N52" i="4"/>
  <c r="M52" i="4"/>
  <c r="D52" i="4"/>
  <c r="L52" i="4"/>
  <c r="Y52" i="4"/>
  <c r="K52" i="4"/>
  <c r="BD52" i="4"/>
  <c r="V52" i="4"/>
  <c r="J52" i="4"/>
  <c r="AP50" i="4"/>
  <c r="AO50" i="4"/>
  <c r="AN50" i="4"/>
  <c r="F50" i="4"/>
  <c r="E50" i="4"/>
  <c r="AM50" i="4"/>
  <c r="AQ50" i="4"/>
  <c r="AL50" i="4"/>
  <c r="AK50" i="4"/>
  <c r="AJ50" i="4"/>
  <c r="AI50" i="4"/>
  <c r="AH50" i="4"/>
  <c r="AG50" i="4"/>
  <c r="AF50" i="4"/>
  <c r="AE50" i="4"/>
  <c r="S50" i="4"/>
  <c r="AD50" i="4"/>
  <c r="AC50" i="4"/>
  <c r="AB50" i="4"/>
  <c r="AA50" i="4"/>
  <c r="Z50" i="4"/>
  <c r="X50" i="4"/>
  <c r="W50" i="4"/>
  <c r="R50" i="4"/>
  <c r="Q50" i="4"/>
  <c r="P50" i="4"/>
  <c r="O50" i="4"/>
  <c r="N50" i="4"/>
  <c r="M50" i="4"/>
  <c r="D50" i="4"/>
  <c r="L50" i="4"/>
  <c r="Y50" i="4"/>
  <c r="K50" i="4"/>
  <c r="BD50" i="4"/>
  <c r="V50" i="4"/>
  <c r="J50" i="4"/>
  <c r="AP48" i="4"/>
  <c r="AO48" i="4"/>
  <c r="AN48" i="4"/>
  <c r="F48" i="4"/>
  <c r="E48" i="4"/>
  <c r="AM48" i="4"/>
  <c r="AQ48" i="4"/>
  <c r="AL48" i="4"/>
  <c r="AK48" i="4"/>
  <c r="AJ48" i="4"/>
  <c r="AI48" i="4"/>
  <c r="AH48" i="4"/>
  <c r="AG48" i="4"/>
  <c r="AF48" i="4"/>
  <c r="AE48" i="4"/>
  <c r="S48" i="4"/>
  <c r="AD48" i="4"/>
  <c r="AC48" i="4"/>
  <c r="AB48" i="4"/>
  <c r="AA48" i="4"/>
  <c r="Z48" i="4"/>
  <c r="X48" i="4"/>
  <c r="W48" i="4"/>
  <c r="R48" i="4"/>
  <c r="Q48" i="4"/>
  <c r="P48" i="4"/>
  <c r="O48" i="4"/>
  <c r="N48" i="4"/>
  <c r="M48" i="4"/>
  <c r="D48" i="4"/>
  <c r="L48" i="4"/>
  <c r="Y48" i="4"/>
  <c r="K48" i="4"/>
  <c r="BD48" i="4"/>
  <c r="V48" i="4"/>
  <c r="J48" i="4"/>
  <c r="AP47" i="4"/>
  <c r="AO47" i="4"/>
  <c r="AN47" i="4"/>
  <c r="F47" i="4"/>
  <c r="E47" i="4"/>
  <c r="AM47" i="4"/>
  <c r="AQ47" i="4"/>
  <c r="AL47" i="4"/>
  <c r="AK47" i="4"/>
  <c r="AJ47" i="4"/>
  <c r="AI47" i="4"/>
  <c r="AH47" i="4"/>
  <c r="AG47" i="4"/>
  <c r="AF47" i="4"/>
  <c r="AE47" i="4"/>
  <c r="S47" i="4"/>
  <c r="AD47" i="4"/>
  <c r="AC47" i="4"/>
  <c r="AB47" i="4"/>
  <c r="AA47" i="4"/>
  <c r="Z47" i="4"/>
  <c r="X47" i="4"/>
  <c r="W47" i="4"/>
  <c r="R47" i="4"/>
  <c r="Q47" i="4"/>
  <c r="P47" i="4"/>
  <c r="O47" i="4"/>
  <c r="N47" i="4"/>
  <c r="M47" i="4"/>
  <c r="D47" i="4"/>
  <c r="L47" i="4"/>
  <c r="Y47" i="4"/>
  <c r="K47" i="4"/>
  <c r="BD47" i="4"/>
  <c r="V47" i="4"/>
  <c r="J47" i="4"/>
  <c r="AP36" i="4"/>
  <c r="AO36" i="4"/>
  <c r="AN36" i="4"/>
  <c r="F36" i="4"/>
  <c r="E36" i="4"/>
  <c r="AM36" i="4"/>
  <c r="AQ36" i="4"/>
  <c r="AL36" i="4"/>
  <c r="AK36" i="4"/>
  <c r="AJ36" i="4"/>
  <c r="AI36" i="4"/>
  <c r="AH36" i="4"/>
  <c r="AG36" i="4"/>
  <c r="AF36" i="4"/>
  <c r="AE36" i="4"/>
  <c r="S36" i="4"/>
  <c r="AD36" i="4"/>
  <c r="AC36" i="4"/>
  <c r="AB36" i="4"/>
  <c r="AA36" i="4"/>
  <c r="Z36" i="4"/>
  <c r="X36" i="4"/>
  <c r="W36" i="4"/>
  <c r="R36" i="4"/>
  <c r="Q36" i="4"/>
  <c r="P36" i="4"/>
  <c r="O36" i="4"/>
  <c r="N36" i="4"/>
  <c r="M36" i="4"/>
  <c r="D36" i="4"/>
  <c r="L36" i="4"/>
  <c r="Y36" i="4"/>
  <c r="K36" i="4"/>
  <c r="BD36" i="4"/>
  <c r="V36" i="4"/>
  <c r="J36" i="4"/>
  <c r="AP35" i="4"/>
  <c r="AO35" i="4"/>
  <c r="AN35" i="4"/>
  <c r="F35" i="4"/>
  <c r="E35" i="4"/>
  <c r="AM35" i="4"/>
  <c r="AQ35" i="4"/>
  <c r="AL35" i="4"/>
  <c r="AK35" i="4"/>
  <c r="AJ35" i="4"/>
  <c r="AI35" i="4"/>
  <c r="AH35" i="4"/>
  <c r="AG35" i="4"/>
  <c r="AF35" i="4"/>
  <c r="AE35" i="4"/>
  <c r="S35" i="4"/>
  <c r="AD35" i="4"/>
  <c r="AC35" i="4"/>
  <c r="AB35" i="4"/>
  <c r="AA35" i="4"/>
  <c r="Z35" i="4"/>
  <c r="X35" i="4"/>
  <c r="W35" i="4"/>
  <c r="R35" i="4"/>
  <c r="Q35" i="4"/>
  <c r="P35" i="4"/>
  <c r="O35" i="4"/>
  <c r="N35" i="4"/>
  <c r="M35" i="4"/>
  <c r="D35" i="4"/>
  <c r="L35" i="4"/>
  <c r="Y35" i="4"/>
  <c r="K35" i="4"/>
  <c r="BD35" i="4"/>
  <c r="V35" i="4"/>
  <c r="J35" i="4"/>
  <c r="F34" i="4"/>
  <c r="AQ34" i="4"/>
  <c r="AP28" i="4"/>
  <c r="AO28" i="4"/>
  <c r="AN28" i="4"/>
  <c r="F28" i="4"/>
  <c r="E28" i="4"/>
  <c r="AM28" i="4"/>
  <c r="AQ28" i="4"/>
  <c r="AL28" i="4"/>
  <c r="AK28" i="4"/>
  <c r="AJ28" i="4"/>
  <c r="AI28" i="4"/>
  <c r="AH28" i="4"/>
  <c r="AG28" i="4"/>
  <c r="AF28" i="4"/>
  <c r="AE28" i="4"/>
  <c r="S28" i="4"/>
  <c r="AD28" i="4"/>
  <c r="AC28" i="4"/>
  <c r="AB28" i="4"/>
  <c r="AA28" i="4"/>
  <c r="Z28" i="4"/>
  <c r="X28" i="4"/>
  <c r="R28" i="4"/>
  <c r="Q28" i="4"/>
  <c r="P28" i="4"/>
  <c r="O28" i="4"/>
  <c r="N28" i="4"/>
  <c r="M28" i="4"/>
  <c r="D28" i="4"/>
  <c r="L28" i="4"/>
  <c r="Y28" i="4"/>
  <c r="K28" i="4"/>
  <c r="BD28" i="4"/>
  <c r="V28" i="4"/>
  <c r="J28" i="4"/>
  <c r="AP9" i="4"/>
  <c r="AO9" i="4"/>
  <c r="AN9" i="4"/>
  <c r="F9" i="4"/>
  <c r="E9" i="4"/>
  <c r="AM9" i="4"/>
  <c r="AQ9" i="4"/>
  <c r="AL9" i="4"/>
  <c r="AK9" i="4"/>
  <c r="AJ9" i="4"/>
  <c r="AI9" i="4"/>
  <c r="AH9" i="4"/>
  <c r="AG9" i="4"/>
  <c r="AF9" i="4"/>
  <c r="AE9" i="4"/>
  <c r="S9" i="4"/>
  <c r="AD9" i="4"/>
  <c r="AC9" i="4"/>
  <c r="AB9" i="4"/>
  <c r="AA9" i="4"/>
  <c r="Z9" i="4"/>
  <c r="X9" i="4"/>
  <c r="W9" i="4"/>
  <c r="R9" i="4"/>
  <c r="Q9" i="4"/>
  <c r="P9" i="4"/>
  <c r="O9" i="4"/>
  <c r="N9" i="4"/>
  <c r="M9" i="4"/>
  <c r="D9" i="4"/>
  <c r="L9" i="4"/>
  <c r="Y9" i="4"/>
  <c r="K9" i="4"/>
  <c r="BD9" i="4"/>
  <c r="V9" i="4"/>
  <c r="J9" i="4"/>
  <c r="AP8" i="4"/>
  <c r="AO8" i="4"/>
  <c r="AN8" i="4"/>
  <c r="F8" i="4"/>
  <c r="E8" i="4"/>
  <c r="AM8" i="4"/>
  <c r="AQ8" i="4"/>
  <c r="AL8" i="4"/>
  <c r="AK8" i="4"/>
  <c r="AJ8" i="4"/>
  <c r="AI8" i="4"/>
  <c r="AH8" i="4"/>
  <c r="AG8" i="4"/>
  <c r="AF8" i="4"/>
  <c r="AE8" i="4"/>
  <c r="S8" i="4"/>
  <c r="AD8" i="4"/>
  <c r="AC8" i="4"/>
  <c r="AB8" i="4"/>
  <c r="AA8" i="4"/>
  <c r="Z8" i="4"/>
  <c r="X8" i="4"/>
  <c r="W8" i="4"/>
  <c r="R8" i="4"/>
  <c r="Q8" i="4"/>
  <c r="P8" i="4"/>
  <c r="O8" i="4"/>
  <c r="N8" i="4"/>
  <c r="M8" i="4"/>
  <c r="D8" i="4"/>
  <c r="L8" i="4"/>
  <c r="Y8" i="4"/>
  <c r="K8" i="4"/>
  <c r="BD8" i="4"/>
  <c r="V8" i="4"/>
  <c r="J8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P7" i="4"/>
  <c r="AO7" i="4"/>
  <c r="AN7" i="4"/>
  <c r="F7" i="4"/>
  <c r="E7" i="4"/>
  <c r="AM7" i="4"/>
  <c r="AQ7" i="4"/>
  <c r="AL7" i="4"/>
  <c r="AK7" i="4"/>
  <c r="AJ7" i="4"/>
  <c r="AI7" i="4"/>
  <c r="AH7" i="4"/>
  <c r="AG7" i="4"/>
  <c r="AF7" i="4"/>
  <c r="AE7" i="4"/>
  <c r="S7" i="4"/>
  <c r="AD7" i="4"/>
  <c r="AC7" i="4"/>
  <c r="AB7" i="4"/>
  <c r="AA7" i="4"/>
  <c r="Z7" i="4"/>
  <c r="X7" i="4"/>
  <c r="W7" i="4"/>
  <c r="R7" i="4"/>
  <c r="Q7" i="4"/>
  <c r="P7" i="4"/>
  <c r="O7" i="4"/>
  <c r="N7" i="4"/>
  <c r="M7" i="4"/>
  <c r="D7" i="4"/>
  <c r="L7" i="4"/>
  <c r="Y7" i="4"/>
  <c r="BD7" i="4"/>
  <c r="V7" i="4"/>
  <c r="J7" i="4"/>
  <c r="F525" i="1"/>
  <c r="F36" i="1"/>
  <c r="D525" i="1"/>
  <c r="D36" i="1"/>
  <c r="F524" i="1"/>
  <c r="G524" i="1"/>
  <c r="D524" i="1"/>
  <c r="D35" i="1"/>
  <c r="F516" i="1"/>
  <c r="F515" i="1"/>
  <c r="F514" i="1"/>
  <c r="F513" i="1"/>
  <c r="E513" i="1"/>
  <c r="C517" i="1"/>
  <c r="C29" i="1"/>
  <c r="F511" i="1"/>
  <c r="F510" i="1"/>
  <c r="G510" i="1"/>
  <c r="D510" i="1"/>
  <c r="F509" i="1"/>
  <c r="D509" i="1"/>
  <c r="E509" i="1"/>
  <c r="F506" i="1"/>
  <c r="F28" i="1"/>
  <c r="E506" i="1"/>
  <c r="E28" i="1"/>
  <c r="F500" i="1"/>
  <c r="F40" i="1"/>
  <c r="F497" i="1"/>
  <c r="F496" i="1"/>
  <c r="F495" i="1"/>
  <c r="E495" i="1"/>
  <c r="F494" i="1"/>
  <c r="E494" i="1"/>
  <c r="F493" i="1"/>
  <c r="F492" i="1"/>
  <c r="E492" i="1"/>
  <c r="D492" i="1"/>
  <c r="F491" i="1"/>
  <c r="F490" i="1"/>
  <c r="E490" i="1"/>
  <c r="F489" i="1"/>
  <c r="F485" i="1"/>
  <c r="F484" i="1"/>
  <c r="F476" i="1"/>
  <c r="C477" i="1"/>
  <c r="C473" i="1"/>
  <c r="F472" i="1"/>
  <c r="F471" i="1"/>
  <c r="F470" i="1"/>
  <c r="F469" i="1"/>
  <c r="F468" i="1"/>
  <c r="F463" i="1"/>
  <c r="F462" i="1"/>
  <c r="F461" i="1"/>
  <c r="F443" i="1"/>
  <c r="F439" i="1"/>
  <c r="F437" i="1"/>
  <c r="F436" i="1"/>
  <c r="F435" i="1"/>
  <c r="F434" i="1"/>
  <c r="F433" i="1"/>
  <c r="F430" i="1"/>
  <c r="F429" i="1"/>
  <c r="F428" i="1"/>
  <c r="F422" i="1"/>
  <c r="E422" i="1"/>
  <c r="D422" i="1"/>
  <c r="F421" i="1"/>
  <c r="E421" i="1"/>
  <c r="D421" i="1"/>
  <c r="F420" i="1"/>
  <c r="E420" i="1"/>
  <c r="D420" i="1"/>
  <c r="F419" i="1"/>
  <c r="E419" i="1"/>
  <c r="E415" i="1"/>
  <c r="F414" i="1"/>
  <c r="E414" i="1"/>
  <c r="D414" i="1"/>
  <c r="E412" i="1"/>
  <c r="D412" i="1"/>
  <c r="E408" i="1"/>
  <c r="D408" i="1"/>
  <c r="F407" i="1"/>
  <c r="E407" i="1"/>
  <c r="D407" i="1"/>
  <c r="F406" i="1"/>
  <c r="E406" i="1"/>
  <c r="D406" i="1"/>
  <c r="F405" i="1"/>
  <c r="E405" i="1"/>
  <c r="D405" i="1"/>
  <c r="E404" i="1"/>
  <c r="E403" i="1"/>
  <c r="F396" i="1"/>
  <c r="F394" i="1"/>
  <c r="F392" i="1"/>
  <c r="F390" i="1"/>
  <c r="C398" i="1"/>
  <c r="C46" i="5"/>
  <c r="K46" i="5"/>
  <c r="F389" i="1"/>
  <c r="F388" i="1"/>
  <c r="F387" i="1"/>
  <c r="F384" i="1"/>
  <c r="C385" i="1"/>
  <c r="F383" i="1"/>
  <c r="F380" i="1"/>
  <c r="F377" i="1"/>
  <c r="F376" i="1"/>
  <c r="C44" i="5"/>
  <c r="K44" i="5"/>
  <c r="F368" i="1"/>
  <c r="F367" i="1"/>
  <c r="F364" i="1"/>
  <c r="F363" i="1"/>
  <c r="F359" i="1"/>
  <c r="F358" i="1"/>
  <c r="D357" i="1"/>
  <c r="F356" i="1"/>
  <c r="F355" i="1"/>
  <c r="E355" i="1"/>
  <c r="F354" i="1"/>
  <c r="E354" i="1"/>
  <c r="D354" i="1"/>
  <c r="F353" i="1"/>
  <c r="F352" i="1"/>
  <c r="F349" i="1"/>
  <c r="F348" i="1"/>
  <c r="F339" i="1"/>
  <c r="C16" i="5"/>
  <c r="F336" i="1"/>
  <c r="F329" i="1"/>
  <c r="F328" i="1"/>
  <c r="C330" i="1"/>
  <c r="F322" i="1"/>
  <c r="F321" i="1"/>
  <c r="F320" i="1"/>
  <c r="F317" i="1"/>
  <c r="F316" i="1"/>
  <c r="C12" i="5"/>
  <c r="E314" i="1"/>
  <c r="F313" i="1"/>
  <c r="F312" i="1"/>
  <c r="F301" i="1"/>
  <c r="F300" i="1"/>
  <c r="F299" i="1"/>
  <c r="G299" i="1"/>
  <c r="D299" i="1"/>
  <c r="F298" i="1"/>
  <c r="F297" i="1"/>
  <c r="E297" i="1"/>
  <c r="D297" i="1"/>
  <c r="E296" i="1"/>
  <c r="D296" i="1"/>
  <c r="F295" i="1"/>
  <c r="G295" i="1"/>
  <c r="D295" i="1"/>
  <c r="F294" i="1"/>
  <c r="E294" i="1"/>
  <c r="D294" i="1"/>
  <c r="F293" i="1"/>
  <c r="F289" i="1"/>
  <c r="F288" i="1"/>
  <c r="F287" i="1"/>
  <c r="F286" i="1"/>
  <c r="F285" i="1"/>
  <c r="F284" i="1"/>
  <c r="F283" i="1"/>
  <c r="F282" i="1"/>
  <c r="F281" i="1"/>
  <c r="F279" i="1"/>
  <c r="E279" i="1"/>
  <c r="D279" i="1"/>
  <c r="F278" i="1"/>
  <c r="E278" i="1"/>
  <c r="D278" i="1"/>
  <c r="F274" i="1"/>
  <c r="G274" i="1"/>
  <c r="D274" i="1"/>
  <c r="F273" i="1"/>
  <c r="F272" i="1"/>
  <c r="D272" i="1"/>
  <c r="D269" i="1"/>
  <c r="D9" i="1"/>
  <c r="F268" i="1"/>
  <c r="C275" i="1"/>
  <c r="C11" i="1"/>
  <c r="F261" i="1"/>
  <c r="G261" i="1"/>
  <c r="D261" i="1"/>
  <c r="F259" i="1"/>
  <c r="E258" i="1"/>
  <c r="F256" i="1"/>
  <c r="G256" i="1"/>
  <c r="D256" i="1"/>
  <c r="F255" i="1"/>
  <c r="G255" i="1"/>
  <c r="D255" i="1"/>
  <c r="C250" i="1"/>
  <c r="F249" i="1"/>
  <c r="F248" i="1"/>
  <c r="C245" i="1"/>
  <c r="C48" i="1"/>
  <c r="F244" i="1"/>
  <c r="F243" i="1"/>
  <c r="F242" i="1"/>
  <c r="F241" i="1"/>
  <c r="F240" i="1"/>
  <c r="C237" i="1"/>
  <c r="C46" i="1"/>
  <c r="F236" i="1"/>
  <c r="F235" i="1"/>
  <c r="F234" i="1"/>
  <c r="F233" i="1"/>
  <c r="D233" i="1"/>
  <c r="C50" i="1"/>
  <c r="C225" i="1"/>
  <c r="F224" i="1"/>
  <c r="F223" i="1"/>
  <c r="C221" i="1"/>
  <c r="F220" i="1"/>
  <c r="F219" i="1"/>
  <c r="C217" i="1"/>
  <c r="F216" i="1"/>
  <c r="F215" i="1"/>
  <c r="C213" i="1"/>
  <c r="F212" i="1"/>
  <c r="F211" i="1"/>
  <c r="G209" i="1"/>
  <c r="F209" i="1"/>
  <c r="E209" i="1"/>
  <c r="C209" i="1"/>
  <c r="D208" i="1"/>
  <c r="D207" i="1"/>
  <c r="G200" i="1"/>
  <c r="E200" i="1"/>
  <c r="C200" i="1"/>
  <c r="F199" i="1"/>
  <c r="F200" i="1"/>
  <c r="D199" i="1"/>
  <c r="D200" i="1"/>
  <c r="C197" i="1"/>
  <c r="F196" i="1"/>
  <c r="F195" i="1"/>
  <c r="D195" i="1"/>
  <c r="F194" i="1"/>
  <c r="D194" i="1"/>
  <c r="F193" i="1"/>
  <c r="F192" i="1"/>
  <c r="F188" i="1"/>
  <c r="F187" i="1"/>
  <c r="F186" i="1"/>
  <c r="F185" i="1"/>
  <c r="F170" i="1"/>
  <c r="E170" i="1"/>
  <c r="C170" i="1"/>
  <c r="G169" i="1"/>
  <c r="D169" i="1"/>
  <c r="G168" i="1"/>
  <c r="D168" i="1"/>
  <c r="C166" i="1"/>
  <c r="F165" i="1"/>
  <c r="F164" i="1"/>
  <c r="F163" i="1"/>
  <c r="F162" i="1"/>
  <c r="F161" i="1"/>
  <c r="F157" i="1"/>
  <c r="G157" i="1"/>
  <c r="D157" i="1"/>
  <c r="F156" i="1"/>
  <c r="F155" i="1"/>
  <c r="F154" i="1"/>
  <c r="F153" i="1"/>
  <c r="F152" i="1"/>
  <c r="F151" i="1"/>
  <c r="F150" i="1"/>
  <c r="F149" i="1"/>
  <c r="F148" i="1"/>
  <c r="F147" i="1"/>
  <c r="F146" i="1"/>
  <c r="C143" i="1"/>
  <c r="C176" i="1"/>
  <c r="F142" i="1"/>
  <c r="E142" i="1"/>
  <c r="F141" i="1"/>
  <c r="E141" i="1"/>
  <c r="F140" i="1"/>
  <c r="E140" i="1"/>
  <c r="F139" i="1"/>
  <c r="E139" i="1"/>
  <c r="F138" i="1"/>
  <c r="D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D130" i="1"/>
  <c r="E130" i="1"/>
  <c r="F129" i="1"/>
  <c r="D129" i="1"/>
  <c r="E129" i="1"/>
  <c r="F128" i="1"/>
  <c r="E128" i="1"/>
  <c r="C125" i="1"/>
  <c r="C174" i="1"/>
  <c r="F123" i="1"/>
  <c r="F122" i="1"/>
  <c r="F121" i="1"/>
  <c r="F119" i="1"/>
  <c r="F118" i="1"/>
  <c r="F117" i="1"/>
  <c r="F115" i="1"/>
  <c r="F113" i="1"/>
  <c r="C110" i="1"/>
  <c r="F109" i="1"/>
  <c r="F108" i="1"/>
  <c r="E104" i="1"/>
  <c r="D104" i="1"/>
  <c r="C104" i="1"/>
  <c r="F103" i="1"/>
  <c r="G103" i="1"/>
  <c r="F102" i="1"/>
  <c r="G102" i="1"/>
  <c r="F100" i="1"/>
  <c r="G100" i="1"/>
  <c r="F99" i="1"/>
  <c r="G99" i="1"/>
  <c r="F98" i="1"/>
  <c r="G98" i="1"/>
  <c r="F97" i="1"/>
  <c r="G97" i="1"/>
  <c r="E94" i="1"/>
  <c r="D94" i="1"/>
  <c r="C94" i="1"/>
  <c r="F93" i="1"/>
  <c r="G93" i="1"/>
  <c r="F92" i="1"/>
  <c r="G92" i="1"/>
  <c r="F91" i="1"/>
  <c r="G91" i="1"/>
  <c r="F90" i="1"/>
  <c r="G90" i="1"/>
  <c r="F89" i="1"/>
  <c r="G89" i="1"/>
  <c r="F88" i="1"/>
  <c r="G88" i="1"/>
  <c r="F87" i="1"/>
  <c r="G87" i="1"/>
  <c r="F86" i="1"/>
  <c r="G86" i="1"/>
  <c r="E83" i="1"/>
  <c r="D83" i="1"/>
  <c r="C83" i="1"/>
  <c r="F82" i="1"/>
  <c r="G82" i="1"/>
  <c r="F81" i="1"/>
  <c r="G81" i="1"/>
  <c r="F79" i="1"/>
  <c r="G79" i="1"/>
  <c r="F78" i="1"/>
  <c r="G78" i="1"/>
  <c r="F77" i="1"/>
  <c r="G77" i="1"/>
  <c r="C74" i="1"/>
  <c r="F73" i="1"/>
  <c r="G73" i="1"/>
  <c r="D73" i="1"/>
  <c r="F72" i="1"/>
  <c r="F71" i="1"/>
  <c r="F70" i="1"/>
  <c r="F69" i="1"/>
  <c r="F67" i="1"/>
  <c r="C62" i="1"/>
  <c r="F61" i="1"/>
  <c r="F60" i="1"/>
  <c r="C47" i="1"/>
  <c r="E36" i="1"/>
  <c r="C36" i="1"/>
  <c r="E35" i="1"/>
  <c r="C35" i="1"/>
  <c r="C28" i="1"/>
  <c r="G22" i="1"/>
  <c r="F9" i="1"/>
  <c r="C9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2" i="15"/>
  <c r="A14" i="15"/>
  <c r="A16" i="15"/>
  <c r="A18" i="15"/>
  <c r="A20" i="15"/>
  <c r="A22" i="15"/>
  <c r="A24" i="15"/>
  <c r="A26" i="15"/>
  <c r="A28" i="15"/>
  <c r="A30" i="15"/>
  <c r="A32" i="15"/>
  <c r="A34" i="15"/>
  <c r="A36" i="15"/>
  <c r="A38" i="15"/>
  <c r="A41" i="15"/>
  <c r="C8" i="15"/>
  <c r="D8" i="15"/>
  <c r="F8" i="15"/>
  <c r="Q33" i="14"/>
  <c r="A29" i="14"/>
  <c r="A19" i="14"/>
  <c r="A20" i="14"/>
  <c r="A21" i="14"/>
  <c r="A22" i="14"/>
  <c r="A23" i="14"/>
  <c r="A24" i="14"/>
  <c r="S13" i="14"/>
  <c r="T13" i="14"/>
  <c r="X22" i="13"/>
  <c r="V22" i="13"/>
  <c r="L22" i="13"/>
  <c r="C10" i="13"/>
  <c r="E10" i="13"/>
  <c r="F17" i="12"/>
  <c r="F19" i="12"/>
  <c r="E17" i="12"/>
  <c r="E19" i="12"/>
  <c r="G15" i="12"/>
  <c r="G13" i="12"/>
  <c r="A13" i="12"/>
  <c r="A15" i="12"/>
  <c r="A17" i="12"/>
  <c r="A19" i="12"/>
  <c r="C9" i="12"/>
  <c r="E9" i="12"/>
  <c r="F9" i="12"/>
  <c r="A11" i="11"/>
  <c r="A12" i="11"/>
  <c r="A14" i="11"/>
  <c r="A16" i="11"/>
  <c r="A19" i="11"/>
  <c r="A21" i="11"/>
  <c r="A23" i="11"/>
  <c r="A25" i="11"/>
  <c r="C7" i="11"/>
  <c r="G7" i="11"/>
  <c r="A10" i="9"/>
  <c r="A12" i="9"/>
  <c r="A14" i="9"/>
  <c r="A16" i="9"/>
  <c r="A18" i="9"/>
  <c r="A20" i="9"/>
  <c r="C6" i="9"/>
  <c r="E6" i="9"/>
  <c r="A12" i="8"/>
  <c r="A13" i="8"/>
  <c r="A15" i="8"/>
  <c r="A18" i="8"/>
  <c r="A19" i="8"/>
  <c r="A20" i="8"/>
  <c r="A21" i="8"/>
  <c r="A24" i="8"/>
  <c r="A25" i="8"/>
  <c r="A26" i="8"/>
  <c r="A28" i="8"/>
  <c r="A31" i="8"/>
  <c r="A32" i="8"/>
  <c r="A34" i="8"/>
  <c r="A37" i="8"/>
  <c r="A38" i="8"/>
  <c r="A40" i="8"/>
  <c r="A41" i="8"/>
  <c r="A44" i="8"/>
  <c r="A47" i="8"/>
  <c r="C8" i="8"/>
  <c r="E8" i="8"/>
  <c r="G8" i="8"/>
  <c r="I8" i="8"/>
  <c r="A14" i="23"/>
  <c r="A16" i="23"/>
  <c r="C35" i="4"/>
  <c r="C18" i="4"/>
  <c r="C7" i="4"/>
  <c r="C28" i="4"/>
  <c r="C29" i="4"/>
  <c r="C47" i="4"/>
  <c r="C26" i="4"/>
  <c r="C46" i="4"/>
  <c r="C9" i="4"/>
  <c r="C50" i="4"/>
  <c r="C36" i="4"/>
  <c r="C19" i="4"/>
  <c r="D34" i="4"/>
  <c r="C8" i="4"/>
  <c r="C48" i="4"/>
  <c r="G19" i="12"/>
  <c r="G11" i="11"/>
  <c r="G14" i="11"/>
  <c r="G10" i="13"/>
  <c r="I10" i="13"/>
  <c r="Q20" i="18"/>
  <c r="Q21" i="18"/>
  <c r="E35" i="18"/>
  <c r="C227" i="1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I13" i="10"/>
  <c r="Q35" i="14"/>
  <c r="Q37" i="14"/>
  <c r="S37" i="14"/>
  <c r="I11" i="10"/>
  <c r="AC42" i="7"/>
  <c r="F51" i="1"/>
  <c r="E51" i="1"/>
  <c r="C479" i="1"/>
  <c r="C25" i="1"/>
  <c r="C336" i="1"/>
  <c r="D30" i="6"/>
  <c r="C337" i="1"/>
  <c r="B30" i="6"/>
  <c r="F12" i="6"/>
  <c r="C501" i="1"/>
  <c r="C503" i="1"/>
  <c r="C304" i="1"/>
  <c r="C10" i="1"/>
  <c r="F27" i="18"/>
  <c r="N27" i="18"/>
  <c r="G32" i="18"/>
  <c r="O32" i="18"/>
  <c r="C500" i="1"/>
  <c r="G132" i="1"/>
  <c r="G135" i="1"/>
  <c r="G136" i="1"/>
  <c r="G131" i="1"/>
  <c r="E269" i="1"/>
  <c r="E9" i="1"/>
  <c r="G9" i="1"/>
  <c r="C370" i="1"/>
  <c r="C401" i="1"/>
  <c r="G134" i="1"/>
  <c r="G140" i="1"/>
  <c r="E268" i="1"/>
  <c r="E8" i="1"/>
  <c r="C486" i="1"/>
  <c r="C498" i="1"/>
  <c r="C26" i="1"/>
  <c r="D494" i="1"/>
  <c r="D143" i="1"/>
  <c r="D176" i="1"/>
  <c r="G170" i="1"/>
  <c r="C423" i="1"/>
  <c r="C49" i="5"/>
  <c r="K49" i="5"/>
  <c r="D404" i="1"/>
  <c r="F26" i="6"/>
  <c r="J32" i="18"/>
  <c r="C51" i="5"/>
  <c r="G51" i="5"/>
  <c r="I51" i="5"/>
  <c r="C400" i="1"/>
  <c r="G133" i="1"/>
  <c r="G137" i="1"/>
  <c r="G164" i="1"/>
  <c r="C360" i="1"/>
  <c r="D513" i="1"/>
  <c r="D209" i="1"/>
  <c r="C409" i="1"/>
  <c r="E423" i="1"/>
  <c r="E19" i="1"/>
  <c r="H27" i="18"/>
  <c r="P27" i="18"/>
  <c r="I32" i="18"/>
  <c r="G138" i="1"/>
  <c r="G142" i="1"/>
  <c r="G294" i="1"/>
  <c r="E31" i="5"/>
  <c r="E53" i="5"/>
  <c r="C189" i="1"/>
  <c r="J27" i="18"/>
  <c r="K32" i="18"/>
  <c r="G492" i="1"/>
  <c r="G296" i="1"/>
  <c r="L27" i="18"/>
  <c r="M32" i="18"/>
  <c r="C106" i="1"/>
  <c r="C182" i="1"/>
  <c r="C158" i="1"/>
  <c r="D170" i="1"/>
  <c r="C416" i="1"/>
  <c r="C45" i="5"/>
  <c r="K45" i="5"/>
  <c r="C178" i="1"/>
  <c r="G130" i="1"/>
  <c r="E267" i="1"/>
  <c r="C7" i="1"/>
  <c r="C332" i="1"/>
  <c r="C39" i="5"/>
  <c r="C41" i="5"/>
  <c r="C10" i="5"/>
  <c r="E413" i="1"/>
  <c r="D413" i="1"/>
  <c r="C50" i="5"/>
  <c r="K50" i="5"/>
  <c r="D435" i="1"/>
  <c r="G408" i="1"/>
  <c r="G28" i="1"/>
  <c r="G36" i="1"/>
  <c r="E26" i="8"/>
  <c r="I26" i="8"/>
  <c r="C9" i="5"/>
  <c r="G27" i="18"/>
  <c r="K27" i="18"/>
  <c r="O27" i="18"/>
  <c r="H32" i="18"/>
  <c r="L32" i="18"/>
  <c r="P32" i="18"/>
  <c r="G279" i="1"/>
  <c r="G405" i="1"/>
  <c r="G420" i="1"/>
  <c r="C440" i="1"/>
  <c r="C444" i="1"/>
  <c r="C8" i="1"/>
  <c r="G139" i="1"/>
  <c r="G141" i="1"/>
  <c r="G297" i="1"/>
  <c r="G494" i="1"/>
  <c r="G513" i="1"/>
  <c r="AL359" i="4"/>
  <c r="AL16" i="4"/>
  <c r="C14" i="5"/>
  <c r="C24" i="5"/>
  <c r="C28" i="5"/>
  <c r="I27" i="18"/>
  <c r="M27" i="18"/>
  <c r="F32" i="18"/>
  <c r="N32" i="18"/>
  <c r="AM44" i="4"/>
  <c r="C514" i="4"/>
  <c r="U505" i="4"/>
  <c r="U506" i="4"/>
  <c r="K464" i="4"/>
  <c r="K25" i="4"/>
  <c r="M464" i="4"/>
  <c r="M25" i="4"/>
  <c r="X464" i="4"/>
  <c r="X25" i="4"/>
  <c r="BD319" i="4"/>
  <c r="BD332" i="4"/>
  <c r="D319" i="4"/>
  <c r="D332" i="4"/>
  <c r="P319" i="4"/>
  <c r="P332" i="4"/>
  <c r="W319" i="4"/>
  <c r="K387" i="4"/>
  <c r="M387" i="4"/>
  <c r="AM21" i="4"/>
  <c r="V291" i="4"/>
  <c r="V10" i="4"/>
  <c r="V12" i="4"/>
  <c r="L291" i="4"/>
  <c r="L10" i="4"/>
  <c r="O291" i="4"/>
  <c r="O10" i="4"/>
  <c r="O12" i="4"/>
  <c r="R291" i="4"/>
  <c r="R10" i="4"/>
  <c r="AA291" i="4"/>
  <c r="AA10" i="4"/>
  <c r="AA12" i="4"/>
  <c r="S291" i="4"/>
  <c r="S293" i="4"/>
  <c r="AG291" i="4"/>
  <c r="AG10" i="4"/>
  <c r="AG12" i="4"/>
  <c r="L21" i="4"/>
  <c r="R21" i="4"/>
  <c r="E44" i="4"/>
  <c r="L359" i="4"/>
  <c r="L16" i="4"/>
  <c r="S359" i="4"/>
  <c r="S16" i="4"/>
  <c r="AL21" i="4"/>
  <c r="AN21" i="4"/>
  <c r="V21" i="4"/>
  <c r="S21" i="4"/>
  <c r="AI319" i="4"/>
  <c r="AI332" i="4"/>
  <c r="F359" i="4"/>
  <c r="F16" i="4"/>
  <c r="AO359" i="4"/>
  <c r="AO16" i="4"/>
  <c r="AL387" i="4"/>
  <c r="Y21" i="4"/>
  <c r="AF21" i="4"/>
  <c r="E319" i="4"/>
  <c r="AA387" i="4"/>
  <c r="S387" i="4"/>
  <c r="R44" i="4"/>
  <c r="E21" i="4"/>
  <c r="D44" i="4"/>
  <c r="N44" i="4"/>
  <c r="Z44" i="4"/>
  <c r="AD44" i="4"/>
  <c r="AF44" i="4"/>
  <c r="AI44" i="4"/>
  <c r="V44" i="4"/>
  <c r="AM291" i="4"/>
  <c r="AM10" i="4"/>
  <c r="AM12" i="4"/>
  <c r="E291" i="4"/>
  <c r="E10" i="4"/>
  <c r="E12" i="4"/>
  <c r="M21" i="4"/>
  <c r="AI21" i="4"/>
  <c r="W44" i="4"/>
  <c r="AN44" i="4"/>
  <c r="J291" i="4"/>
  <c r="J10" i="4"/>
  <c r="J12" i="4"/>
  <c r="Y291" i="4"/>
  <c r="Y10" i="4"/>
  <c r="Y12" i="4"/>
  <c r="Q291" i="4"/>
  <c r="Q10" i="4"/>
  <c r="Q12" i="4"/>
  <c r="Z291" i="4"/>
  <c r="Z10" i="4"/>
  <c r="AF291" i="4"/>
  <c r="AF10" i="4"/>
  <c r="AF12" i="4"/>
  <c r="AL291" i="4"/>
  <c r="AL10" i="4"/>
  <c r="AL12" i="4"/>
  <c r="F291" i="4"/>
  <c r="F10" i="4"/>
  <c r="F12" i="4"/>
  <c r="AO291" i="4"/>
  <c r="AO10" i="4"/>
  <c r="AO12" i="4"/>
  <c r="S319" i="4"/>
  <c r="S332" i="4"/>
  <c r="D21" i="4"/>
  <c r="F250" i="1"/>
  <c r="X21" i="4"/>
  <c r="AE21" i="4"/>
  <c r="L192" i="4"/>
  <c r="O192" i="4"/>
  <c r="R192" i="4"/>
  <c r="S44" i="4"/>
  <c r="P44" i="4"/>
  <c r="AB291" i="4"/>
  <c r="AB10" i="4"/>
  <c r="AB12" i="4"/>
  <c r="AH291" i="4"/>
  <c r="AH10" i="4"/>
  <c r="AH12" i="4"/>
  <c r="AJ291" i="4"/>
  <c r="AJ10" i="4"/>
  <c r="AP291" i="4"/>
  <c r="AP10" i="4"/>
  <c r="AP12" i="4"/>
  <c r="AD464" i="4"/>
  <c r="AD25" i="4"/>
  <c r="AF464" i="4"/>
  <c r="AF25" i="4"/>
  <c r="AI464" i="4"/>
  <c r="AI25" i="4"/>
  <c r="AM464" i="4"/>
  <c r="AM25" i="4"/>
  <c r="E464" i="4"/>
  <c r="E25" i="4"/>
  <c r="AQ21" i="4"/>
  <c r="F221" i="1"/>
  <c r="AK21" i="4"/>
  <c r="K291" i="4"/>
  <c r="K10" i="4"/>
  <c r="M291" i="4"/>
  <c r="M10" i="4"/>
  <c r="M12" i="4"/>
  <c r="X291" i="4"/>
  <c r="X10" i="4"/>
  <c r="X12" i="4"/>
  <c r="AC291" i="4"/>
  <c r="AC10" i="4"/>
  <c r="AC12" i="4"/>
  <c r="AE291" i="4"/>
  <c r="AE10" i="4"/>
  <c r="AK291" i="4"/>
  <c r="AK10" i="4"/>
  <c r="AQ291" i="4"/>
  <c r="AQ10" i="4"/>
  <c r="AQ12" i="4"/>
  <c r="AN291" i="4"/>
  <c r="AN10" i="4"/>
  <c r="AN12" i="4"/>
  <c r="M319" i="4"/>
  <c r="X319" i="4"/>
  <c r="X332" i="4"/>
  <c r="AA464" i="4"/>
  <c r="AA25" i="4"/>
  <c r="S464" i="4"/>
  <c r="S25" i="4"/>
  <c r="AG464" i="4"/>
  <c r="AG25" i="4"/>
  <c r="AL464" i="4"/>
  <c r="AL25" i="4"/>
  <c r="F464" i="4"/>
  <c r="F25" i="4"/>
  <c r="AO464" i="4"/>
  <c r="AO25" i="4"/>
  <c r="AC44" i="4"/>
  <c r="AE44" i="4"/>
  <c r="AK44" i="4"/>
  <c r="AQ44" i="4"/>
  <c r="BD387" i="4"/>
  <c r="D387" i="4"/>
  <c r="P387" i="4"/>
  <c r="W387" i="4"/>
  <c r="AH387" i="4"/>
  <c r="AJ387" i="4"/>
  <c r="AP387" i="4"/>
  <c r="BD464" i="4"/>
  <c r="BD25" i="4"/>
  <c r="D464" i="4"/>
  <c r="D25" i="4"/>
  <c r="P464" i="4"/>
  <c r="P25" i="4"/>
  <c r="W464" i="4"/>
  <c r="W25" i="4"/>
  <c r="Q21" i="4"/>
  <c r="AC106" i="4"/>
  <c r="AC172" i="4"/>
  <c r="AE106" i="4"/>
  <c r="AE172" i="4"/>
  <c r="AK106" i="4"/>
  <c r="AK172" i="4"/>
  <c r="AQ106" i="4"/>
  <c r="AQ172" i="4"/>
  <c r="AN106" i="4"/>
  <c r="AN172" i="4"/>
  <c r="AB217" i="4"/>
  <c r="AB192" i="4"/>
  <c r="V106" i="4"/>
  <c r="V172" i="4"/>
  <c r="L106" i="4"/>
  <c r="L172" i="4"/>
  <c r="O106" i="4"/>
  <c r="O172" i="4"/>
  <c r="R106" i="4"/>
  <c r="R172" i="4"/>
  <c r="Z106" i="4"/>
  <c r="Z172" i="4"/>
  <c r="J44" i="4"/>
  <c r="Y192" i="4"/>
  <c r="N192" i="4"/>
  <c r="Q192" i="4"/>
  <c r="AE192" i="4"/>
  <c r="Y217" i="4"/>
  <c r="N217" i="4"/>
  <c r="Q217" i="4"/>
  <c r="AE217" i="4"/>
  <c r="AQ217" i="4"/>
  <c r="AN217" i="4"/>
  <c r="AK217" i="4"/>
  <c r="J217" i="4"/>
  <c r="AE319" i="4"/>
  <c r="AE332" i="4"/>
  <c r="AK319" i="4"/>
  <c r="AK332" i="4"/>
  <c r="AQ319" i="4"/>
  <c r="AQ332" i="4"/>
  <c r="AN319" i="4"/>
  <c r="AN332" i="4"/>
  <c r="V192" i="4"/>
  <c r="AD217" i="4"/>
  <c r="AF217" i="4"/>
  <c r="AI217" i="4"/>
  <c r="AM217" i="4"/>
  <c r="E217" i="4"/>
  <c r="AI291" i="4"/>
  <c r="AI10" i="4"/>
  <c r="AI12" i="4"/>
  <c r="AD319" i="4"/>
  <c r="AD332" i="4"/>
  <c r="AM319" i="4"/>
  <c r="AM332" i="4"/>
  <c r="AD387" i="4"/>
  <c r="AG106" i="4"/>
  <c r="AG172" i="4"/>
  <c r="AG43" i="4"/>
  <c r="AL106" i="4"/>
  <c r="AL172" i="4"/>
  <c r="AL43" i="4"/>
  <c r="F106" i="4"/>
  <c r="F172" i="4"/>
  <c r="F43" i="4"/>
  <c r="AJ11" i="4"/>
  <c r="D192" i="4"/>
  <c r="P192" i="4"/>
  <c r="W192" i="4"/>
  <c r="AA192" i="4"/>
  <c r="AG44" i="4"/>
  <c r="AL44" i="4"/>
  <c r="F44" i="4"/>
  <c r="AO44" i="4"/>
  <c r="BD217" i="4"/>
  <c r="D217" i="4"/>
  <c r="P217" i="4"/>
  <c r="W217" i="4"/>
  <c r="AA319" i="4"/>
  <c r="AA332" i="4"/>
  <c r="AC387" i="4"/>
  <c r="AE387" i="4"/>
  <c r="D106" i="4"/>
  <c r="D172" i="4"/>
  <c r="P106" i="4"/>
  <c r="P172" i="4"/>
  <c r="W106" i="4"/>
  <c r="W172" i="4"/>
  <c r="AD106" i="4"/>
  <c r="AD172" i="4"/>
  <c r="AD43" i="4"/>
  <c r="AF106" i="4"/>
  <c r="AF172" i="4"/>
  <c r="AI106" i="4"/>
  <c r="AI172" i="4"/>
  <c r="AM106" i="4"/>
  <c r="AM172" i="4"/>
  <c r="E106" i="4"/>
  <c r="E172" i="4"/>
  <c r="J106" i="4"/>
  <c r="J172" i="4"/>
  <c r="S106" i="4"/>
  <c r="S172" i="4"/>
  <c r="S43" i="4"/>
  <c r="AO106" i="4"/>
  <c r="AO172" i="4"/>
  <c r="AO43" i="4"/>
  <c r="Y44" i="4"/>
  <c r="O44" i="4"/>
  <c r="AB44" i="4"/>
  <c r="BD192" i="4"/>
  <c r="AK192" i="4"/>
  <c r="AQ192" i="4"/>
  <c r="AN192" i="4"/>
  <c r="S217" i="4"/>
  <c r="AG217" i="4"/>
  <c r="AL217" i="4"/>
  <c r="F217" i="4"/>
  <c r="AO217" i="4"/>
  <c r="J192" i="4"/>
  <c r="R11" i="4"/>
  <c r="Z11" i="4"/>
  <c r="AE11" i="4"/>
  <c r="AK11" i="4"/>
  <c r="L44" i="4"/>
  <c r="BD106" i="4"/>
  <c r="BD172" i="4"/>
  <c r="K44" i="4"/>
  <c r="M44" i="4"/>
  <c r="X44" i="4"/>
  <c r="AA44" i="4"/>
  <c r="V359" i="4"/>
  <c r="V16" i="4"/>
  <c r="L11" i="4"/>
  <c r="Q44" i="4"/>
  <c r="Y106" i="4"/>
  <c r="Y172" i="4"/>
  <c r="N106" i="4"/>
  <c r="N172" i="4"/>
  <c r="Q106" i="4"/>
  <c r="Q172" i="4"/>
  <c r="AB106" i="4"/>
  <c r="AB172" i="4"/>
  <c r="AH44" i="4"/>
  <c r="AJ44" i="4"/>
  <c r="AP44" i="4"/>
  <c r="V217" i="4"/>
  <c r="L217" i="4"/>
  <c r="O217" i="4"/>
  <c r="R217" i="4"/>
  <c r="Z217" i="4"/>
  <c r="AC217" i="4"/>
  <c r="AF359" i="4"/>
  <c r="AF16" i="4"/>
  <c r="L319" i="4"/>
  <c r="L332" i="4"/>
  <c r="O319" i="4"/>
  <c r="O332" i="4"/>
  <c r="R319" i="4"/>
  <c r="R332" i="4"/>
  <c r="Z319" i="4"/>
  <c r="Z332" i="4"/>
  <c r="P359" i="4"/>
  <c r="P16" i="4"/>
  <c r="W359" i="4"/>
  <c r="W16" i="4"/>
  <c r="AD359" i="4"/>
  <c r="AD16" i="4"/>
  <c r="AM359" i="4"/>
  <c r="AM16" i="4"/>
  <c r="BD359" i="4"/>
  <c r="BD16" i="4"/>
  <c r="Z387" i="4"/>
  <c r="AN387" i="4"/>
  <c r="AF387" i="4"/>
  <c r="D359" i="4"/>
  <c r="D16" i="4"/>
  <c r="Y464" i="4"/>
  <c r="Y25" i="4"/>
  <c r="N464" i="4"/>
  <c r="N25" i="4"/>
  <c r="Q464" i="4"/>
  <c r="Q25" i="4"/>
  <c r="AB464" i="4"/>
  <c r="AB25" i="4"/>
  <c r="AH464" i="4"/>
  <c r="AH25" i="4"/>
  <c r="AJ464" i="4"/>
  <c r="AJ25" i="4"/>
  <c r="AP464" i="4"/>
  <c r="AP25" i="4"/>
  <c r="BD291" i="4"/>
  <c r="BD10" i="4"/>
  <c r="BD12" i="4"/>
  <c r="D291" i="4"/>
  <c r="D10" i="4"/>
  <c r="P291" i="4"/>
  <c r="P10" i="4"/>
  <c r="P12" i="4"/>
  <c r="W291" i="4"/>
  <c r="W10" i="4"/>
  <c r="W12" i="4"/>
  <c r="AD291" i="4"/>
  <c r="AD10" i="4"/>
  <c r="AD12" i="4"/>
  <c r="AL319" i="4"/>
  <c r="AL332" i="4"/>
  <c r="F319" i="4"/>
  <c r="F332" i="4"/>
  <c r="AO319" i="4"/>
  <c r="AO332" i="4"/>
  <c r="J319" i="4"/>
  <c r="J332" i="4"/>
  <c r="N319" i="4"/>
  <c r="N332" i="4"/>
  <c r="Q319" i="4"/>
  <c r="Q332" i="4"/>
  <c r="AJ319" i="4"/>
  <c r="AJ332" i="4"/>
  <c r="AP319" i="4"/>
  <c r="AC359" i="4"/>
  <c r="AC16" i="4"/>
  <c r="AA359" i="4"/>
  <c r="AA16" i="4"/>
  <c r="F387" i="4"/>
  <c r="F17" i="4"/>
  <c r="AO387" i="4"/>
  <c r="N387" i="4"/>
  <c r="Q387" i="4"/>
  <c r="V464" i="4"/>
  <c r="V25" i="4"/>
  <c r="L464" i="4"/>
  <c r="L25" i="4"/>
  <c r="O464" i="4"/>
  <c r="O25" i="4"/>
  <c r="R464" i="4"/>
  <c r="R25" i="4"/>
  <c r="Z464" i="4"/>
  <c r="Z25" i="4"/>
  <c r="AC464" i="4"/>
  <c r="AC25" i="4"/>
  <c r="AE464" i="4"/>
  <c r="AE25" i="4"/>
  <c r="AK464" i="4"/>
  <c r="AK25" i="4"/>
  <c r="AQ464" i="4"/>
  <c r="AQ25" i="4"/>
  <c r="AN464" i="4"/>
  <c r="AN25" i="4"/>
  <c r="K319" i="4"/>
  <c r="K332" i="4"/>
  <c r="K106" i="4"/>
  <c r="K172" i="4"/>
  <c r="AA106" i="4"/>
  <c r="AA172" i="4"/>
  <c r="AJ106" i="4"/>
  <c r="AJ172" i="4"/>
  <c r="AP106" i="4"/>
  <c r="AP172" i="4"/>
  <c r="K11" i="4"/>
  <c r="M192" i="4"/>
  <c r="AH192" i="4"/>
  <c r="M106" i="4"/>
  <c r="M172" i="4"/>
  <c r="X106" i="4"/>
  <c r="AH106" i="4"/>
  <c r="AH172" i="4"/>
  <c r="K192" i="4"/>
  <c r="X192" i="4"/>
  <c r="AJ192" i="4"/>
  <c r="AP192" i="4"/>
  <c r="F189" i="1"/>
  <c r="G278" i="1"/>
  <c r="F477" i="1"/>
  <c r="K217" i="4"/>
  <c r="M217" i="4"/>
  <c r="X217" i="4"/>
  <c r="AA217" i="4"/>
  <c r="AH217" i="4"/>
  <c r="AJ217" i="4"/>
  <c r="AP217" i="4"/>
  <c r="Z192" i="4"/>
  <c r="AC192" i="4"/>
  <c r="AF192" i="4"/>
  <c r="AI192" i="4"/>
  <c r="AM192" i="4"/>
  <c r="E192" i="4"/>
  <c r="J387" i="4"/>
  <c r="Y387" i="4"/>
  <c r="AD192" i="4"/>
  <c r="S192" i="4"/>
  <c r="AG192" i="4"/>
  <c r="AL192" i="4"/>
  <c r="F192" i="4"/>
  <c r="AO192" i="4"/>
  <c r="AC319" i="4"/>
  <c r="AC332" i="4"/>
  <c r="AF319" i="4"/>
  <c r="AF332" i="4"/>
  <c r="K359" i="4"/>
  <c r="K16" i="4"/>
  <c r="AH359" i="4"/>
  <c r="AH16" i="4"/>
  <c r="AJ359" i="4"/>
  <c r="AJ16" i="4"/>
  <c r="AP359" i="4"/>
  <c r="AP16" i="4"/>
  <c r="X359" i="4"/>
  <c r="X16" i="4"/>
  <c r="N291" i="4"/>
  <c r="N293" i="4"/>
  <c r="N359" i="4"/>
  <c r="N16" i="4"/>
  <c r="Q359" i="4"/>
  <c r="Q16" i="4"/>
  <c r="J464" i="4"/>
  <c r="J25" i="4"/>
  <c r="AH319" i="4"/>
  <c r="AH332" i="4"/>
  <c r="J359" i="4"/>
  <c r="J16" i="4"/>
  <c r="Y359" i="4"/>
  <c r="Y16" i="4"/>
  <c r="O359" i="4"/>
  <c r="O16" i="4"/>
  <c r="R359" i="4"/>
  <c r="R16" i="4"/>
  <c r="Z359" i="4"/>
  <c r="Z16" i="4"/>
  <c r="AK359" i="4"/>
  <c r="AK16" i="4"/>
  <c r="AQ359" i="4"/>
  <c r="AQ16" i="4"/>
  <c r="AN359" i="4"/>
  <c r="AN16" i="4"/>
  <c r="AK387" i="4"/>
  <c r="AQ387" i="4"/>
  <c r="Y319" i="4"/>
  <c r="Y332" i="4"/>
  <c r="AE359" i="4"/>
  <c r="AE16" i="4"/>
  <c r="AI359" i="4"/>
  <c r="AI16" i="4"/>
  <c r="E359" i="4"/>
  <c r="E16" i="4"/>
  <c r="V387" i="4"/>
  <c r="L387" i="4"/>
  <c r="O387" i="4"/>
  <c r="R387" i="4"/>
  <c r="AI387" i="4"/>
  <c r="AM387" i="4"/>
  <c r="E387" i="4"/>
  <c r="X387" i="4"/>
  <c r="X17" i="4"/>
  <c r="AH20" i="4"/>
  <c r="C20" i="4"/>
  <c r="BD44" i="4"/>
  <c r="C192" i="4"/>
  <c r="E19" i="13"/>
  <c r="F17" i="13"/>
  <c r="G354" i="1"/>
  <c r="G509" i="1"/>
  <c r="F473" i="1"/>
  <c r="G259" i="1"/>
  <c r="F245" i="1"/>
  <c r="F48" i="1"/>
  <c r="C217" i="4"/>
  <c r="F213" i="1"/>
  <c r="F197" i="1"/>
  <c r="F62" i="1"/>
  <c r="C501" i="4"/>
  <c r="C450" i="4"/>
  <c r="C464" i="4"/>
  <c r="AG21" i="4"/>
  <c r="AG387" i="4"/>
  <c r="AG17" i="4"/>
  <c r="AG359" i="4"/>
  <c r="AG16" i="4"/>
  <c r="AG319" i="4"/>
  <c r="AG332" i="4"/>
  <c r="F486" i="1"/>
  <c r="F498" i="1"/>
  <c r="F26" i="1"/>
  <c r="C471" i="4"/>
  <c r="C483" i="4"/>
  <c r="AC21" i="4"/>
  <c r="AB21" i="4"/>
  <c r="F409" i="1"/>
  <c r="F18" i="1"/>
  <c r="C396" i="4"/>
  <c r="G404" i="1"/>
  <c r="C385" i="4"/>
  <c r="AB387" i="4"/>
  <c r="AB359" i="4"/>
  <c r="AB16" i="4"/>
  <c r="M359" i="4"/>
  <c r="M16" i="4"/>
  <c r="V319" i="4"/>
  <c r="V332" i="4"/>
  <c r="C357" i="4"/>
  <c r="D11" i="4"/>
  <c r="C403" i="4"/>
  <c r="AH21" i="4"/>
  <c r="Z21" i="4"/>
  <c r="F391" i="1"/>
  <c r="F398" i="1"/>
  <c r="G104" i="1"/>
  <c r="F110" i="1"/>
  <c r="F68" i="1"/>
  <c r="F74" i="1"/>
  <c r="F230" i="1"/>
  <c r="F50" i="1"/>
  <c r="F8" i="1"/>
  <c r="F35" i="1"/>
  <c r="G35" i="1"/>
  <c r="F158" i="1"/>
  <c r="F370" i="1"/>
  <c r="F302" i="1"/>
  <c r="G525" i="1"/>
  <c r="C83" i="4"/>
  <c r="G129" i="1"/>
  <c r="F166" i="1"/>
  <c r="F225" i="1"/>
  <c r="F47" i="1"/>
  <c r="C104" i="4"/>
  <c r="C125" i="4"/>
  <c r="C158" i="4"/>
  <c r="C289" i="4"/>
  <c r="C291" i="4"/>
  <c r="C293" i="4"/>
  <c r="C347" i="4"/>
  <c r="C372" i="4"/>
  <c r="G83" i="1"/>
  <c r="F217" i="1"/>
  <c r="F229" i="1"/>
  <c r="F125" i="1"/>
  <c r="G94" i="1"/>
  <c r="F104" i="1"/>
  <c r="G128" i="1"/>
  <c r="F360" i="1"/>
  <c r="G109" i="1"/>
  <c r="F83" i="1"/>
  <c r="F143" i="1"/>
  <c r="F176" i="1"/>
  <c r="E143" i="1"/>
  <c r="E176" i="1"/>
  <c r="G18" i="3"/>
  <c r="G272" i="1"/>
  <c r="F275" i="1"/>
  <c r="F11" i="1"/>
  <c r="D314" i="1"/>
  <c r="G314" i="1"/>
  <c r="D415" i="1"/>
  <c r="G415" i="1"/>
  <c r="G490" i="1"/>
  <c r="D490" i="1"/>
  <c r="F94" i="1"/>
  <c r="D258" i="1"/>
  <c r="D51" i="1"/>
  <c r="G258" i="1"/>
  <c r="F290" i="1"/>
  <c r="F237" i="1"/>
  <c r="F46" i="1"/>
  <c r="G233" i="1"/>
  <c r="D355" i="1"/>
  <c r="G355" i="1"/>
  <c r="D403" i="1"/>
  <c r="G403" i="1"/>
  <c r="D495" i="1"/>
  <c r="G495" i="1"/>
  <c r="F385" i="1"/>
  <c r="F423" i="1"/>
  <c r="F19" i="1"/>
  <c r="F465" i="1"/>
  <c r="D506" i="1"/>
  <c r="D28" i="1"/>
  <c r="G506" i="1"/>
  <c r="F517" i="1"/>
  <c r="F29" i="1"/>
  <c r="G407" i="1"/>
  <c r="G422" i="1"/>
  <c r="F416" i="1"/>
  <c r="F20" i="1"/>
  <c r="F337" i="1"/>
  <c r="F340" i="1"/>
  <c r="C317" i="4"/>
  <c r="F330" i="1"/>
  <c r="F440" i="1"/>
  <c r="F444" i="1"/>
  <c r="F21" i="1"/>
  <c r="C427" i="4"/>
  <c r="C431" i="4"/>
  <c r="C310" i="4"/>
  <c r="F310" i="1"/>
  <c r="F323" i="1"/>
  <c r="F267" i="1"/>
  <c r="N30" i="19"/>
  <c r="F19" i="19"/>
  <c r="G7" i="19"/>
  <c r="H26" i="19"/>
  <c r="E409" i="1"/>
  <c r="G406" i="1"/>
  <c r="G412" i="1"/>
  <c r="G414" i="1"/>
  <c r="G419" i="1"/>
  <c r="G421" i="1"/>
  <c r="D419" i="1"/>
  <c r="D423" i="1"/>
  <c r="D19" i="1"/>
  <c r="H32" i="19"/>
  <c r="N32" i="19"/>
  <c r="G37" i="19"/>
  <c r="H37" i="19"/>
  <c r="G17" i="12"/>
  <c r="Q18" i="18"/>
  <c r="Q19" i="18"/>
  <c r="Q30" i="18"/>
  <c r="H12" i="19"/>
  <c r="K37" i="19"/>
  <c r="F34" i="19"/>
  <c r="H34" i="19"/>
  <c r="H15" i="19"/>
  <c r="J37" i="19"/>
  <c r="F33" i="19"/>
  <c r="Q25" i="18"/>
  <c r="I34" i="10"/>
  <c r="I36" i="10"/>
  <c r="I37" i="10"/>
  <c r="I33" i="10"/>
  <c r="I38" i="10"/>
  <c r="I32" i="10"/>
  <c r="I31" i="10"/>
  <c r="I39" i="10"/>
  <c r="I29" i="10"/>
  <c r="I30" i="10"/>
  <c r="I40" i="10"/>
  <c r="I28" i="10"/>
  <c r="I42" i="10"/>
  <c r="I41" i="10"/>
  <c r="I43" i="10"/>
  <c r="I44" i="10"/>
  <c r="I45" i="10"/>
  <c r="I46" i="10"/>
  <c r="I47" i="10"/>
  <c r="I48" i="10"/>
  <c r="I49" i="10"/>
  <c r="L10" i="13"/>
  <c r="N10" i="13"/>
  <c r="Q10" i="13"/>
  <c r="C11" i="4"/>
  <c r="C21" i="4"/>
  <c r="C16" i="4"/>
  <c r="C44" i="4"/>
  <c r="C25" i="4"/>
  <c r="F13" i="13"/>
  <c r="F15" i="13"/>
  <c r="E22" i="13"/>
  <c r="AX505" i="4"/>
  <c r="AX27" i="4"/>
  <c r="AX30" i="4"/>
  <c r="AY505" i="4"/>
  <c r="BF505" i="4"/>
  <c r="BF27" i="4"/>
  <c r="BF30" i="4"/>
  <c r="AW505" i="4"/>
  <c r="AW27" i="4"/>
  <c r="AW30" i="4"/>
  <c r="I505" i="4"/>
  <c r="I506" i="4"/>
  <c r="I33" i="4"/>
  <c r="I37" i="4"/>
  <c r="AU505" i="4"/>
  <c r="AU27" i="4"/>
  <c r="AU30" i="4"/>
  <c r="H505" i="4"/>
  <c r="AS505" i="4"/>
  <c r="AR505" i="4"/>
  <c r="H43" i="18"/>
  <c r="H38" i="18"/>
  <c r="P35" i="18"/>
  <c r="P40" i="18"/>
  <c r="Q27" i="18"/>
  <c r="Q28" i="18"/>
  <c r="W332" i="4"/>
  <c r="W15" i="4"/>
  <c r="E332" i="4"/>
  <c r="E15" i="4"/>
  <c r="AP332" i="4"/>
  <c r="AP15" i="4"/>
  <c r="M332" i="4"/>
  <c r="M433" i="4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174" i="1"/>
  <c r="A175" i="1"/>
  <c r="A176" i="1"/>
  <c r="A177" i="1"/>
  <c r="A178" i="1"/>
  <c r="A179" i="1"/>
  <c r="A180" i="1"/>
  <c r="A181" i="1"/>
  <c r="C106" i="4"/>
  <c r="C172" i="4"/>
  <c r="C194" i="4"/>
  <c r="G51" i="1"/>
  <c r="C172" i="1"/>
  <c r="F30" i="6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C340" i="1"/>
  <c r="C345" i="1"/>
  <c r="F35" i="19"/>
  <c r="C40" i="1"/>
  <c r="G413" i="1"/>
  <c r="G416" i="1"/>
  <c r="C306" i="1"/>
  <c r="F35" i="18"/>
  <c r="F40" i="18"/>
  <c r="AK12" i="4"/>
  <c r="J35" i="18"/>
  <c r="J40" i="18"/>
  <c r="G8" i="1"/>
  <c r="O35" i="18"/>
  <c r="O40" i="18"/>
  <c r="C44" i="1"/>
  <c r="G19" i="1"/>
  <c r="G435" i="1"/>
  <c r="K35" i="18"/>
  <c r="K40" i="18"/>
  <c r="E40" i="18"/>
  <c r="C372" i="1"/>
  <c r="C16" i="1"/>
  <c r="D409" i="1"/>
  <c r="D18" i="1"/>
  <c r="E416" i="1"/>
  <c r="E20" i="1"/>
  <c r="G20" i="1"/>
  <c r="H35" i="18"/>
  <c r="H40" i="18"/>
  <c r="M35" i="18"/>
  <c r="M40" i="18"/>
  <c r="G268" i="1"/>
  <c r="D8" i="1"/>
  <c r="G50" i="5"/>
  <c r="I50" i="5"/>
  <c r="P15" i="4"/>
  <c r="C19" i="1"/>
  <c r="C180" i="1"/>
  <c r="L35" i="18"/>
  <c r="L40" i="18"/>
  <c r="I35" i="18"/>
  <c r="I40" i="18"/>
  <c r="C17" i="1"/>
  <c r="G49" i="5"/>
  <c r="I49" i="5"/>
  <c r="D416" i="1"/>
  <c r="D20" i="1"/>
  <c r="C47" i="5"/>
  <c r="K47" i="5"/>
  <c r="C18" i="1"/>
  <c r="G35" i="18"/>
  <c r="G40" i="18"/>
  <c r="Q32" i="18"/>
  <c r="Q33" i="18"/>
  <c r="C18" i="5"/>
  <c r="C31" i="5"/>
  <c r="C21" i="1"/>
  <c r="D267" i="1"/>
  <c r="D7" i="1"/>
  <c r="E7" i="1"/>
  <c r="C20" i="1"/>
  <c r="C48" i="5"/>
  <c r="K48" i="5"/>
  <c r="N35" i="18"/>
  <c r="N40" i="18"/>
  <c r="G39" i="19"/>
  <c r="G16" i="11"/>
  <c r="G19" i="11"/>
  <c r="G21" i="11"/>
  <c r="G23" i="11"/>
  <c r="G25" i="11"/>
  <c r="E18" i="9"/>
  <c r="BD15" i="4"/>
  <c r="C12" i="1"/>
  <c r="D8" i="23"/>
  <c r="D10" i="23"/>
  <c r="D15" i="4"/>
  <c r="BE505" i="4"/>
  <c r="G505" i="4"/>
  <c r="BB505" i="4"/>
  <c r="T505" i="4"/>
  <c r="AV505" i="4"/>
  <c r="AZ505" i="4"/>
  <c r="P17" i="4"/>
  <c r="K17" i="4"/>
  <c r="AI15" i="4"/>
  <c r="W441" i="4"/>
  <c r="AK293" i="4"/>
  <c r="M17" i="4"/>
  <c r="Q17" i="4"/>
  <c r="AO293" i="4"/>
  <c r="AF293" i="4"/>
  <c r="J293" i="4"/>
  <c r="L12" i="4"/>
  <c r="AA293" i="4"/>
  <c r="AH293" i="4"/>
  <c r="X15" i="4"/>
  <c r="X23" i="4"/>
  <c r="X505" i="4"/>
  <c r="K12" i="4"/>
  <c r="X293" i="4"/>
  <c r="D17" i="4"/>
  <c r="R12" i="4"/>
  <c r="AB15" i="4"/>
  <c r="D293" i="4"/>
  <c r="R293" i="4"/>
  <c r="AH17" i="4"/>
  <c r="O293" i="4"/>
  <c r="AL293" i="4"/>
  <c r="AG293" i="4"/>
  <c r="L293" i="4"/>
  <c r="S10" i="4"/>
  <c r="S12" i="4"/>
  <c r="W17" i="4"/>
  <c r="V293" i="4"/>
  <c r="AF15" i="4"/>
  <c r="F293" i="4"/>
  <c r="AD45" i="4"/>
  <c r="AO45" i="4"/>
  <c r="E293" i="4"/>
  <c r="AE15" i="4"/>
  <c r="AL17" i="4"/>
  <c r="F45" i="4"/>
  <c r="AM293" i="4"/>
  <c r="AA17" i="4"/>
  <c r="AH433" i="4"/>
  <c r="AC293" i="4"/>
  <c r="Y293" i="4"/>
  <c r="AM15" i="4"/>
  <c r="Q293" i="4"/>
  <c r="S17" i="4"/>
  <c r="AJ12" i="4"/>
  <c r="AO17" i="4"/>
  <c r="R15" i="4"/>
  <c r="AE441" i="4"/>
  <c r="J433" i="4"/>
  <c r="AN15" i="4"/>
  <c r="BD17" i="4"/>
  <c r="S45" i="4"/>
  <c r="AI293" i="4"/>
  <c r="V43" i="4"/>
  <c r="V45" i="4"/>
  <c r="V194" i="4"/>
  <c r="V251" i="4"/>
  <c r="P441" i="4"/>
  <c r="F44" i="1"/>
  <c r="BD441" i="4"/>
  <c r="AD15" i="4"/>
  <c r="AL15" i="4"/>
  <c r="Z12" i="4"/>
  <c r="AL45" i="4"/>
  <c r="Z293" i="4"/>
  <c r="F194" i="4"/>
  <c r="F251" i="4"/>
  <c r="AG45" i="4"/>
  <c r="AJ15" i="4"/>
  <c r="AE17" i="4"/>
  <c r="F441" i="4"/>
  <c r="AN293" i="4"/>
  <c r="P43" i="4"/>
  <c r="P45" i="4"/>
  <c r="P194" i="4"/>
  <c r="P251" i="4"/>
  <c r="W194" i="4"/>
  <c r="W251" i="4"/>
  <c r="W43" i="4"/>
  <c r="W45" i="4"/>
  <c r="AL194" i="4"/>
  <c r="AL251" i="4"/>
  <c r="N10" i="4"/>
  <c r="AQ15" i="4"/>
  <c r="AB293" i="4"/>
  <c r="AP17" i="4"/>
  <c r="M441" i="4"/>
  <c r="O15" i="4"/>
  <c r="AG194" i="4"/>
  <c r="AG251" i="4"/>
  <c r="AK15" i="4"/>
  <c r="K15" i="4"/>
  <c r="Q441" i="4"/>
  <c r="M293" i="4"/>
  <c r="AE293" i="4"/>
  <c r="AJ441" i="4"/>
  <c r="AJ17" i="4"/>
  <c r="K293" i="4"/>
  <c r="AE12" i="4"/>
  <c r="AQ293" i="4"/>
  <c r="AP293" i="4"/>
  <c r="AJ293" i="4"/>
  <c r="F227" i="1"/>
  <c r="AC441" i="4"/>
  <c r="AC17" i="4"/>
  <c r="AD293" i="4"/>
  <c r="D441" i="4"/>
  <c r="BD293" i="4"/>
  <c r="AD441" i="4"/>
  <c r="AD17" i="4"/>
  <c r="D43" i="4"/>
  <c r="D194" i="4"/>
  <c r="D251" i="4"/>
  <c r="S194" i="4"/>
  <c r="S251" i="4"/>
  <c r="F479" i="1"/>
  <c r="F25" i="1"/>
  <c r="X441" i="4"/>
  <c r="Z15" i="4"/>
  <c r="AD194" i="4"/>
  <c r="AD251" i="4"/>
  <c r="AO441" i="4"/>
  <c r="AF441" i="4"/>
  <c r="AF17" i="4"/>
  <c r="Z441" i="4"/>
  <c r="Z17" i="4"/>
  <c r="AL441" i="4"/>
  <c r="AO194" i="4"/>
  <c r="AO251" i="4"/>
  <c r="W293" i="4"/>
  <c r="N441" i="4"/>
  <c r="N17" i="4"/>
  <c r="AB441" i="4"/>
  <c r="V15" i="4"/>
  <c r="S441" i="4"/>
  <c r="AN441" i="4"/>
  <c r="AN17" i="4"/>
  <c r="N15" i="4"/>
  <c r="P293" i="4"/>
  <c r="K441" i="4"/>
  <c r="M194" i="4"/>
  <c r="M251" i="4"/>
  <c r="M43" i="4"/>
  <c r="M45" i="4"/>
  <c r="AH194" i="4"/>
  <c r="AH251" i="4"/>
  <c r="AH43" i="4"/>
  <c r="AH45" i="4"/>
  <c r="AP194" i="4"/>
  <c r="AP251" i="4"/>
  <c r="AP43" i="4"/>
  <c r="AP45" i="4"/>
  <c r="AA194" i="4"/>
  <c r="AA251" i="4"/>
  <c r="AA43" i="4"/>
  <c r="AA45" i="4"/>
  <c r="AM441" i="4"/>
  <c r="AM17" i="4"/>
  <c r="AB194" i="4"/>
  <c r="AB251" i="4"/>
  <c r="AB43" i="4"/>
  <c r="AB45" i="4"/>
  <c r="AJ194" i="4"/>
  <c r="AJ251" i="4"/>
  <c r="AJ43" i="4"/>
  <c r="AJ45" i="4"/>
  <c r="J194" i="4"/>
  <c r="J251" i="4"/>
  <c r="J43" i="4"/>
  <c r="J45" i="4"/>
  <c r="L17" i="4"/>
  <c r="AQ441" i="4"/>
  <c r="AQ17" i="4"/>
  <c r="Y17" i="4"/>
  <c r="AN194" i="4"/>
  <c r="AN251" i="4"/>
  <c r="AN43" i="4"/>
  <c r="AN45" i="4"/>
  <c r="Q194" i="4"/>
  <c r="Q251" i="4"/>
  <c r="Q43" i="4"/>
  <c r="Q45" i="4"/>
  <c r="AI194" i="4"/>
  <c r="AI251" i="4"/>
  <c r="AI43" i="4"/>
  <c r="AI45" i="4"/>
  <c r="Z194" i="4"/>
  <c r="Z251" i="4"/>
  <c r="Z43" i="4"/>
  <c r="Z45" i="4"/>
  <c r="O441" i="4"/>
  <c r="O17" i="4"/>
  <c r="L194" i="4"/>
  <c r="L251" i="4"/>
  <c r="L43" i="4"/>
  <c r="L45" i="4"/>
  <c r="X172" i="4"/>
  <c r="AI441" i="4"/>
  <c r="AI17" i="4"/>
  <c r="V441" i="4"/>
  <c r="V17" i="4"/>
  <c r="AK441" i="4"/>
  <c r="AK17" i="4"/>
  <c r="J441" i="4"/>
  <c r="J17" i="4"/>
  <c r="AK194" i="4"/>
  <c r="AK251" i="4"/>
  <c r="AK43" i="4"/>
  <c r="AK45" i="4"/>
  <c r="Y194" i="4"/>
  <c r="Y251" i="4"/>
  <c r="Y43" i="4"/>
  <c r="Y45" i="4"/>
  <c r="E194" i="4"/>
  <c r="E251" i="4"/>
  <c r="E43" i="4"/>
  <c r="E45" i="4"/>
  <c r="AF194" i="4"/>
  <c r="AF251" i="4"/>
  <c r="AF43" i="4"/>
  <c r="AF45" i="4"/>
  <c r="R194" i="4"/>
  <c r="R251" i="4"/>
  <c r="R43" i="4"/>
  <c r="R45" i="4"/>
  <c r="K194" i="4"/>
  <c r="K251" i="4"/>
  <c r="K43" i="4"/>
  <c r="K45" i="4"/>
  <c r="AC194" i="4"/>
  <c r="AC251" i="4"/>
  <c r="AC43" i="4"/>
  <c r="AC45" i="4"/>
  <c r="AB17" i="4"/>
  <c r="E17" i="4"/>
  <c r="R441" i="4"/>
  <c r="R17" i="4"/>
  <c r="AE194" i="4"/>
  <c r="AE251" i="4"/>
  <c r="AE43" i="4"/>
  <c r="AE45" i="4"/>
  <c r="AM194" i="4"/>
  <c r="AM251" i="4"/>
  <c r="AM43" i="4"/>
  <c r="AM45" i="4"/>
  <c r="O194" i="4"/>
  <c r="O251" i="4"/>
  <c r="O43" i="4"/>
  <c r="O45" i="4"/>
  <c r="AQ194" i="4"/>
  <c r="AQ251" i="4"/>
  <c r="AQ43" i="4"/>
  <c r="AQ45" i="4"/>
  <c r="N194" i="4"/>
  <c r="N251" i="4"/>
  <c r="N43" i="4"/>
  <c r="N45" i="4"/>
  <c r="F455" i="1"/>
  <c r="AH441" i="4"/>
  <c r="F452" i="1"/>
  <c r="F202" i="1"/>
  <c r="F454" i="1"/>
  <c r="AA441" i="4"/>
  <c r="AG441" i="4"/>
  <c r="C387" i="4"/>
  <c r="C359" i="4"/>
  <c r="AG15" i="4"/>
  <c r="F372" i="1"/>
  <c r="F16" i="1"/>
  <c r="BD43" i="4"/>
  <c r="BD194" i="4"/>
  <c r="BD251" i="4"/>
  <c r="F304" i="1"/>
  <c r="F10" i="1"/>
  <c r="D12" i="4"/>
  <c r="L433" i="4"/>
  <c r="L15" i="4"/>
  <c r="G143" i="1"/>
  <c r="G176" i="1"/>
  <c r="H176" i="1"/>
  <c r="G409" i="1"/>
  <c r="F106" i="1"/>
  <c r="F182" i="1"/>
  <c r="F401" i="1"/>
  <c r="F400" i="1"/>
  <c r="F17" i="1"/>
  <c r="F174" i="1"/>
  <c r="F178" i="1"/>
  <c r="C319" i="4"/>
  <c r="C332" i="4"/>
  <c r="Y433" i="4"/>
  <c r="Y15" i="4"/>
  <c r="F332" i="1"/>
  <c r="F7" i="1"/>
  <c r="G267" i="1"/>
  <c r="K267" i="1"/>
  <c r="G19" i="19"/>
  <c r="H7" i="19"/>
  <c r="E18" i="1"/>
  <c r="G18" i="1"/>
  <c r="G423" i="1"/>
  <c r="G58" i="5"/>
  <c r="G25" i="5"/>
  <c r="I25" i="5"/>
  <c r="K25" i="5"/>
  <c r="G44" i="5"/>
  <c r="I44" i="5"/>
  <c r="G46" i="5"/>
  <c r="I46" i="5"/>
  <c r="G13" i="5"/>
  <c r="I13" i="5"/>
  <c r="K13" i="5"/>
  <c r="M13" i="5"/>
  <c r="G24" i="5"/>
  <c r="I24" i="5"/>
  <c r="K24" i="5"/>
  <c r="M24" i="5"/>
  <c r="M28" i="5"/>
  <c r="G15" i="5"/>
  <c r="I15" i="5"/>
  <c r="G14" i="5"/>
  <c r="I14" i="5"/>
  <c r="K14" i="5"/>
  <c r="G45" i="5"/>
  <c r="I45" i="5"/>
  <c r="G9" i="5"/>
  <c r="I9" i="5"/>
  <c r="G26" i="5"/>
  <c r="I26" i="5"/>
  <c r="K26" i="5"/>
  <c r="G48" i="5"/>
  <c r="G10" i="5"/>
  <c r="I10" i="5"/>
  <c r="M10" i="5"/>
  <c r="G11" i="5"/>
  <c r="I11" i="5"/>
  <c r="M11" i="5"/>
  <c r="G57" i="5"/>
  <c r="G39" i="5"/>
  <c r="G41" i="5"/>
  <c r="G47" i="5"/>
  <c r="G16" i="5"/>
  <c r="I16" i="5"/>
  <c r="M16" i="5"/>
  <c r="G12" i="5"/>
  <c r="I12" i="5"/>
  <c r="K12" i="5"/>
  <c r="M12" i="5"/>
  <c r="G22" i="5"/>
  <c r="I22" i="5"/>
  <c r="G23" i="5"/>
  <c r="I23" i="5"/>
  <c r="K23" i="5"/>
  <c r="M37" i="19"/>
  <c r="N37" i="19"/>
  <c r="K34" i="19"/>
  <c r="J12" i="19"/>
  <c r="H33" i="19"/>
  <c r="J15" i="19"/>
  <c r="T10" i="13"/>
  <c r="V10" i="13"/>
  <c r="X10" i="13"/>
  <c r="AA10" i="13"/>
  <c r="AC10" i="13"/>
  <c r="C10" i="4"/>
  <c r="C12" i="4"/>
  <c r="D45" i="4"/>
  <c r="C17" i="4"/>
  <c r="F19" i="13"/>
  <c r="AX506" i="4"/>
  <c r="AX33" i="4"/>
  <c r="AX37" i="4"/>
  <c r="AX39" i="4"/>
  <c r="AX41" i="4"/>
  <c r="AX31" i="4"/>
  <c r="AY27" i="4"/>
  <c r="AY30" i="4"/>
  <c r="AY506" i="4"/>
  <c r="AY33" i="4"/>
  <c r="AY37" i="4"/>
  <c r="BF506" i="4"/>
  <c r="BF33" i="4"/>
  <c r="BF37" i="4"/>
  <c r="BF39" i="4"/>
  <c r="BF41" i="4"/>
  <c r="BF31" i="4"/>
  <c r="AW506" i="4"/>
  <c r="AW33" i="4"/>
  <c r="AW37" i="4"/>
  <c r="AW39" i="4"/>
  <c r="AW41" i="4"/>
  <c r="I27" i="4"/>
  <c r="I30" i="4"/>
  <c r="I39" i="4"/>
  <c r="I41" i="4"/>
  <c r="I510" i="4"/>
  <c r="AU506" i="4"/>
  <c r="AU33" i="4"/>
  <c r="H27" i="4"/>
  <c r="H30" i="4"/>
  <c r="H506" i="4"/>
  <c r="H33" i="4"/>
  <c r="H37" i="4"/>
  <c r="AU31" i="4"/>
  <c r="AR27" i="4"/>
  <c r="AR30" i="4"/>
  <c r="AR31" i="4"/>
  <c r="AR506" i="4"/>
  <c r="AR33" i="4"/>
  <c r="AR37" i="4"/>
  <c r="AS506" i="4"/>
  <c r="AS33" i="4"/>
  <c r="AS37" i="4"/>
  <c r="AS27" i="4"/>
  <c r="AS30" i="4"/>
  <c r="Q35" i="18"/>
  <c r="Q36" i="18"/>
  <c r="AP433" i="4"/>
  <c r="E433" i="4"/>
  <c r="W433" i="4"/>
  <c r="F345" i="1"/>
  <c r="F15" i="1"/>
  <c r="F23" i="1"/>
  <c r="AP23" i="4"/>
  <c r="AP505" i="4"/>
  <c r="AP27" i="4"/>
  <c r="E23" i="4"/>
  <c r="E505" i="4"/>
  <c r="E27" i="4"/>
  <c r="E30" i="4"/>
  <c r="E31" i="4"/>
  <c r="W23" i="4"/>
  <c r="W505" i="4"/>
  <c r="W27" i="4"/>
  <c r="W30" i="4"/>
  <c r="W31" i="4"/>
  <c r="M15" i="4"/>
  <c r="M23" i="4"/>
  <c r="R442" i="4"/>
  <c r="R49" i="4"/>
  <c r="R53" i="4"/>
  <c r="J442" i="4"/>
  <c r="J49" i="4"/>
  <c r="J53" i="4"/>
  <c r="V442" i="4"/>
  <c r="V49" i="4"/>
  <c r="V53" i="4"/>
  <c r="Z442" i="4"/>
  <c r="Z49" i="4"/>
  <c r="Z53" i="4"/>
  <c r="AO442" i="4"/>
  <c r="AO49" i="4"/>
  <c r="AO53" i="4"/>
  <c r="AC442" i="4"/>
  <c r="AC49" i="4"/>
  <c r="AC53" i="4"/>
  <c r="BD442" i="4"/>
  <c r="BD49" i="4"/>
  <c r="AG442" i="4"/>
  <c r="AG49" i="4"/>
  <c r="AG53" i="4"/>
  <c r="AB442" i="4"/>
  <c r="AB49" i="4"/>
  <c r="AB53" i="4"/>
  <c r="N442" i="4"/>
  <c r="N49" i="4"/>
  <c r="N53" i="4"/>
  <c r="X442" i="4"/>
  <c r="X49" i="4"/>
  <c r="D442" i="4"/>
  <c r="D49" i="4"/>
  <c r="M442" i="4"/>
  <c r="M49" i="4"/>
  <c r="M53" i="4"/>
  <c r="AA442" i="4"/>
  <c r="AA49" i="4"/>
  <c r="AA53" i="4"/>
  <c r="AH442" i="4"/>
  <c r="AH49" i="4"/>
  <c r="AH53" i="4"/>
  <c r="AK442" i="4"/>
  <c r="AK49" i="4"/>
  <c r="AK53" i="4"/>
  <c r="AI442" i="4"/>
  <c r="AI49" i="4"/>
  <c r="AI53" i="4"/>
  <c r="AQ442" i="4"/>
  <c r="AQ49" i="4"/>
  <c r="AQ53" i="4"/>
  <c r="K442" i="4"/>
  <c r="K49" i="4"/>
  <c r="K53" i="4"/>
  <c r="AN442" i="4"/>
  <c r="AN49" i="4"/>
  <c r="AN53" i="4"/>
  <c r="AL442" i="4"/>
  <c r="AL49" i="4"/>
  <c r="AL53" i="4"/>
  <c r="AF442" i="4"/>
  <c r="AF49" i="4"/>
  <c r="AF53" i="4"/>
  <c r="AJ442" i="4"/>
  <c r="AJ49" i="4"/>
  <c r="AJ53" i="4"/>
  <c r="P442" i="4"/>
  <c r="P49" i="4"/>
  <c r="P53" i="4"/>
  <c r="AE442" i="4"/>
  <c r="AE49" i="4"/>
  <c r="AE53" i="4"/>
  <c r="W442" i="4"/>
  <c r="W49" i="4"/>
  <c r="W53" i="4"/>
  <c r="O442" i="4"/>
  <c r="O49" i="4"/>
  <c r="O53" i="4"/>
  <c r="AM442" i="4"/>
  <c r="AM49" i="4"/>
  <c r="AM53" i="4"/>
  <c r="S442" i="4"/>
  <c r="S49" i="4"/>
  <c r="S53" i="4"/>
  <c r="AD442" i="4"/>
  <c r="AD49" i="4"/>
  <c r="AD53" i="4"/>
  <c r="Q442" i="4"/>
  <c r="Q49" i="4"/>
  <c r="Q53" i="4"/>
  <c r="F442" i="4"/>
  <c r="F49" i="4"/>
  <c r="F53" i="4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37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F39" i="19"/>
  <c r="Z433" i="4"/>
  <c r="P433" i="4"/>
  <c r="AI433" i="4"/>
  <c r="P23" i="4"/>
  <c r="P505" i="4"/>
  <c r="P27" i="4"/>
  <c r="P30" i="4"/>
  <c r="P31" i="4"/>
  <c r="C456" i="1"/>
  <c r="C49" i="1"/>
  <c r="I47" i="5"/>
  <c r="Q40" i="18"/>
  <c r="Q41" i="18"/>
  <c r="D433" i="4"/>
  <c r="K23" i="4"/>
  <c r="K505" i="4"/>
  <c r="K506" i="4"/>
  <c r="K33" i="4"/>
  <c r="K37" i="4"/>
  <c r="C43" i="1"/>
  <c r="C45" i="1"/>
  <c r="AI23" i="4"/>
  <c r="BD433" i="4"/>
  <c r="BD23" i="4"/>
  <c r="BD505" i="4"/>
  <c r="I48" i="5"/>
  <c r="C446" i="1"/>
  <c r="C448" i="1"/>
  <c r="C15" i="1"/>
  <c r="C23" i="1"/>
  <c r="C53" i="5"/>
  <c r="AB433" i="4"/>
  <c r="AF433" i="4"/>
  <c r="AL23" i="4"/>
  <c r="T27" i="4"/>
  <c r="T30" i="4"/>
  <c r="T31" i="4"/>
  <c r="T506" i="4"/>
  <c r="T33" i="4"/>
  <c r="T37" i="4"/>
  <c r="BB27" i="4"/>
  <c r="BB30" i="4"/>
  <c r="BB31" i="4"/>
  <c r="BB506" i="4"/>
  <c r="BB33" i="4"/>
  <c r="BB37" i="4"/>
  <c r="AZ27" i="4"/>
  <c r="AZ30" i="4"/>
  <c r="AZ31" i="4"/>
  <c r="AZ506" i="4"/>
  <c r="AV27" i="4"/>
  <c r="AV30" i="4"/>
  <c r="AV31" i="4"/>
  <c r="AV506" i="4"/>
  <c r="G27" i="4"/>
  <c r="G30" i="4"/>
  <c r="G31" i="4"/>
  <c r="G506" i="4"/>
  <c r="G33" i="4"/>
  <c r="G37" i="4"/>
  <c r="BE27" i="4"/>
  <c r="BE30" i="4"/>
  <c r="BE31" i="4"/>
  <c r="BE506" i="4"/>
  <c r="BE33" i="4"/>
  <c r="BE37" i="4"/>
  <c r="AM23" i="4"/>
  <c r="E441" i="4"/>
  <c r="AD433" i="4"/>
  <c r="J15" i="4"/>
  <c r="J23" i="4"/>
  <c r="J505" i="4"/>
  <c r="J506" i="4"/>
  <c r="D23" i="4"/>
  <c r="D505" i="4"/>
  <c r="X433" i="4"/>
  <c r="AP441" i="4"/>
  <c r="L441" i="4"/>
  <c r="AE23" i="4"/>
  <c r="AE505" i="4"/>
  <c r="AE506" i="4"/>
  <c r="AE33" i="4"/>
  <c r="AE37" i="4"/>
  <c r="AH15" i="4"/>
  <c r="AH23" i="4"/>
  <c r="AH505" i="4"/>
  <c r="AN23" i="4"/>
  <c r="AN505" i="4"/>
  <c r="AN27" i="4"/>
  <c r="AN30" i="4"/>
  <c r="AN31" i="4"/>
  <c r="AK23" i="4"/>
  <c r="AK505" i="4"/>
  <c r="AK506" i="4"/>
  <c r="AK33" i="4"/>
  <c r="AK37" i="4"/>
  <c r="AE433" i="4"/>
  <c r="Z23" i="4"/>
  <c r="Z505" i="4"/>
  <c r="Z506" i="4"/>
  <c r="Z33" i="4"/>
  <c r="Z37" i="4"/>
  <c r="AF23" i="4"/>
  <c r="AF505" i="4"/>
  <c r="AF27" i="4"/>
  <c r="AF30" i="4"/>
  <c r="AF31" i="4"/>
  <c r="AM433" i="4"/>
  <c r="AN433" i="4"/>
  <c r="R23" i="4"/>
  <c r="R505" i="4"/>
  <c r="Y441" i="4"/>
  <c r="R433" i="4"/>
  <c r="AJ23" i="4"/>
  <c r="N12" i="4"/>
  <c r="V433" i="4"/>
  <c r="AK433" i="4"/>
  <c r="AL433" i="4"/>
  <c r="AJ433" i="4"/>
  <c r="O433" i="4"/>
  <c r="S15" i="4"/>
  <c r="S23" i="4"/>
  <c r="S505" i="4"/>
  <c r="S433" i="4"/>
  <c r="K433" i="4"/>
  <c r="AD23" i="4"/>
  <c r="AD505" i="4"/>
  <c r="AD27" i="4"/>
  <c r="AD30" i="4"/>
  <c r="AD31" i="4"/>
  <c r="O23" i="4"/>
  <c r="O505" i="4"/>
  <c r="O27" i="4"/>
  <c r="O30" i="4"/>
  <c r="O31" i="4"/>
  <c r="AQ433" i="4"/>
  <c r="AQ23" i="4"/>
  <c r="F15" i="4"/>
  <c r="F23" i="4"/>
  <c r="F505" i="4"/>
  <c r="F27" i="4"/>
  <c r="F433" i="4"/>
  <c r="AA15" i="4"/>
  <c r="AA23" i="4"/>
  <c r="AA433" i="4"/>
  <c r="AB23" i="4"/>
  <c r="AB505" i="4"/>
  <c r="AB27" i="4"/>
  <c r="AB30" i="4"/>
  <c r="AB31" i="4"/>
  <c r="N23" i="4"/>
  <c r="N433" i="4"/>
  <c r="V23" i="4"/>
  <c r="V505" i="4"/>
  <c r="V506" i="4"/>
  <c r="V33" i="4"/>
  <c r="V37" i="4"/>
  <c r="Y23" i="4"/>
  <c r="Y505" i="4"/>
  <c r="L23" i="4"/>
  <c r="L505" i="4"/>
  <c r="L506" i="4"/>
  <c r="L33" i="4"/>
  <c r="L37" i="4"/>
  <c r="Q15" i="4"/>
  <c r="Q23" i="4"/>
  <c r="Q433" i="4"/>
  <c r="AO15" i="4"/>
  <c r="AO23" i="4"/>
  <c r="AO433" i="4"/>
  <c r="F451" i="1"/>
  <c r="F453" i="1"/>
  <c r="X194" i="4"/>
  <c r="X251" i="4"/>
  <c r="X43" i="4"/>
  <c r="X45" i="4"/>
  <c r="AC15" i="4"/>
  <c r="AC23" i="4"/>
  <c r="AC433" i="4"/>
  <c r="AG23" i="4"/>
  <c r="AG505" i="4"/>
  <c r="AG27" i="4"/>
  <c r="AG30" i="4"/>
  <c r="AG31" i="4"/>
  <c r="G454" i="1"/>
  <c r="F306" i="1"/>
  <c r="C433" i="4"/>
  <c r="AG433" i="4"/>
  <c r="BD45" i="4"/>
  <c r="X506" i="4"/>
  <c r="X33" i="4"/>
  <c r="X37" i="4"/>
  <c r="X27" i="4"/>
  <c r="X30" i="4"/>
  <c r="X31" i="4"/>
  <c r="F172" i="1"/>
  <c r="E397" i="1"/>
  <c r="E393" i="1"/>
  <c r="E380" i="1"/>
  <c r="E376" i="1"/>
  <c r="E396" i="1"/>
  <c r="E392" i="1"/>
  <c r="E389" i="1"/>
  <c r="E383" i="1"/>
  <c r="E379" i="1"/>
  <c r="E375" i="1"/>
  <c r="E471" i="1"/>
  <c r="E463" i="1"/>
  <c r="E395" i="1"/>
  <c r="E384" i="1"/>
  <c r="E382" i="1"/>
  <c r="E378" i="1"/>
  <c r="E301" i="1"/>
  <c r="E288" i="1"/>
  <c r="E244" i="1"/>
  <c r="E235" i="1"/>
  <c r="E287" i="1"/>
  <c r="E387" i="1"/>
  <c r="E286" i="1"/>
  <c r="E394" i="1"/>
  <c r="E390" i="1"/>
  <c r="E377" i="1"/>
  <c r="E219" i="1"/>
  <c r="E381" i="1"/>
  <c r="E220" i="1"/>
  <c r="E187" i="1"/>
  <c r="E388" i="1"/>
  <c r="E283" i="1"/>
  <c r="E502" i="1"/>
  <c r="F180" i="1"/>
  <c r="F12" i="1"/>
  <c r="G7" i="1"/>
  <c r="H19" i="19"/>
  <c r="J7" i="19"/>
  <c r="G59" i="5"/>
  <c r="I39" i="5"/>
  <c r="I41" i="5"/>
  <c r="G18" i="5"/>
  <c r="G28" i="5"/>
  <c r="M18" i="5"/>
  <c r="M31" i="5"/>
  <c r="M53" i="5"/>
  <c r="I18" i="5"/>
  <c r="K9" i="5"/>
  <c r="K18" i="5"/>
  <c r="I28" i="5"/>
  <c r="K22" i="5"/>
  <c r="K28" i="5"/>
  <c r="K35" i="19"/>
  <c r="K39" i="19"/>
  <c r="M34" i="19"/>
  <c r="N34" i="19"/>
  <c r="H35" i="19"/>
  <c r="H39" i="19"/>
  <c r="J33" i="19"/>
  <c r="D53" i="4"/>
  <c r="C15" i="4"/>
  <c r="C23" i="4"/>
  <c r="C43" i="4"/>
  <c r="C45" i="4"/>
  <c r="AX510" i="4"/>
  <c r="E11" i="8"/>
  <c r="AY39" i="4"/>
  <c r="AY41" i="4"/>
  <c r="AY31" i="4"/>
  <c r="AY510" i="4"/>
  <c r="BF510" i="4"/>
  <c r="I31" i="4"/>
  <c r="AW510" i="4"/>
  <c r="I516" i="4"/>
  <c r="H31" i="4"/>
  <c r="H39" i="4"/>
  <c r="H41" i="4"/>
  <c r="H510" i="4"/>
  <c r="H516" i="4"/>
  <c r="AR510" i="4"/>
  <c r="AR516" i="4"/>
  <c r="AR39" i="4"/>
  <c r="AR41" i="4"/>
  <c r="AS510" i="4"/>
  <c r="AS516" i="4"/>
  <c r="AS31" i="4"/>
  <c r="AS39" i="4"/>
  <c r="AS41" i="4"/>
  <c r="F43" i="18"/>
  <c r="J43" i="18"/>
  <c r="F38" i="18"/>
  <c r="J38" i="18"/>
  <c r="AP30" i="4"/>
  <c r="AP31" i="4"/>
  <c r="AP506" i="4"/>
  <c r="AP510" i="4"/>
  <c r="F446" i="1"/>
  <c r="F448" i="1"/>
  <c r="W506" i="4"/>
  <c r="W33" i="4"/>
  <c r="W37" i="4"/>
  <c r="W39" i="4"/>
  <c r="W41" i="4"/>
  <c r="E506" i="4"/>
  <c r="E33" i="4"/>
  <c r="E37" i="4"/>
  <c r="E39" i="4"/>
  <c r="E41" i="4"/>
  <c r="M505" i="4"/>
  <c r="M27" i="4"/>
  <c r="M30" i="4"/>
  <c r="M31" i="4"/>
  <c r="A341" i="1"/>
  <c r="Y442" i="4"/>
  <c r="Y49" i="4"/>
  <c r="Y53" i="4"/>
  <c r="L442" i="4"/>
  <c r="L49" i="4"/>
  <c r="L53" i="4"/>
  <c r="E442" i="4"/>
  <c r="E49" i="4"/>
  <c r="E53" i="4"/>
  <c r="AP442" i="4"/>
  <c r="AP49" i="4"/>
  <c r="AP53" i="4"/>
  <c r="X53" i="4"/>
  <c r="AQ505" i="4"/>
  <c r="AQ506" i="4"/>
  <c r="AL505" i="4"/>
  <c r="AL27" i="4"/>
  <c r="AL30" i="4"/>
  <c r="AL31" i="4"/>
  <c r="P506" i="4"/>
  <c r="P33" i="4"/>
  <c r="P37" i="4"/>
  <c r="P39" i="4"/>
  <c r="P41" i="4"/>
  <c r="K39" i="5"/>
  <c r="K41" i="5"/>
  <c r="G31" i="5"/>
  <c r="G53" i="5"/>
  <c r="T39" i="4"/>
  <c r="T41" i="4"/>
  <c r="G39" i="4"/>
  <c r="G41" i="4"/>
  <c r="BE39" i="4"/>
  <c r="BE41" i="4"/>
  <c r="F506" i="4"/>
  <c r="F33" i="4"/>
  <c r="F37" i="4"/>
  <c r="T510" i="4"/>
  <c r="T516" i="4"/>
  <c r="F30" i="4"/>
  <c r="F31" i="4"/>
  <c r="BE510" i="4"/>
  <c r="BB39" i="4"/>
  <c r="BB41" i="4"/>
  <c r="AV510" i="4"/>
  <c r="AV516" i="4"/>
  <c r="AV33" i="4"/>
  <c r="AV37" i="4"/>
  <c r="AV39" i="4"/>
  <c r="AV41" i="4"/>
  <c r="BB510" i="4"/>
  <c r="G510" i="4"/>
  <c r="G516" i="4"/>
  <c r="AZ33" i="4"/>
  <c r="Z510" i="4"/>
  <c r="Z27" i="4"/>
  <c r="Z30" i="4"/>
  <c r="K27" i="4"/>
  <c r="K30" i="4"/>
  <c r="D506" i="4"/>
  <c r="D33" i="4"/>
  <c r="D27" i="4"/>
  <c r="AE27" i="4"/>
  <c r="AE30" i="4"/>
  <c r="AE510" i="4"/>
  <c r="N505" i="4"/>
  <c r="N506" i="4"/>
  <c r="AD506" i="4"/>
  <c r="AD33" i="4"/>
  <c r="AD37" i="4"/>
  <c r="AD39" i="4"/>
  <c r="AD41" i="4"/>
  <c r="AF506" i="4"/>
  <c r="AF33" i="4"/>
  <c r="AF37" i="4"/>
  <c r="AF39" i="4"/>
  <c r="AF41" i="4"/>
  <c r="L510" i="4"/>
  <c r="V510" i="4"/>
  <c r="C441" i="4"/>
  <c r="C442" i="4"/>
  <c r="F456" i="1"/>
  <c r="S506" i="4"/>
  <c r="S33" i="4"/>
  <c r="S37" i="4"/>
  <c r="S27" i="4"/>
  <c r="S30" i="4"/>
  <c r="S31" i="4"/>
  <c r="AN506" i="4"/>
  <c r="V27" i="4"/>
  <c r="V30" i="4"/>
  <c r="AB506" i="4"/>
  <c r="AB33" i="4"/>
  <c r="AB37" i="4"/>
  <c r="AB39" i="4"/>
  <c r="AB41" i="4"/>
  <c r="AA505" i="4"/>
  <c r="X39" i="4"/>
  <c r="X41" i="4"/>
  <c r="L27" i="4"/>
  <c r="L30" i="4"/>
  <c r="O506" i="4"/>
  <c r="O33" i="4"/>
  <c r="O37" i="4"/>
  <c r="O39" i="4"/>
  <c r="O41" i="4"/>
  <c r="Q505" i="4"/>
  <c r="Q506" i="4"/>
  <c r="Q33" i="4"/>
  <c r="Q37" i="4"/>
  <c r="AO505" i="4"/>
  <c r="AO506" i="4"/>
  <c r="AO33" i="4"/>
  <c r="AO37" i="4"/>
  <c r="K510" i="4"/>
  <c r="AG506" i="4"/>
  <c r="AG33" i="4"/>
  <c r="AG37" i="4"/>
  <c r="AG39" i="4"/>
  <c r="AG41" i="4"/>
  <c r="BD27" i="4"/>
  <c r="BD30" i="4"/>
  <c r="BD31" i="4"/>
  <c r="R27" i="4"/>
  <c r="R30" i="4"/>
  <c r="R31" i="4"/>
  <c r="BD506" i="4"/>
  <c r="BD33" i="4"/>
  <c r="BD37" i="4"/>
  <c r="AK27" i="4"/>
  <c r="AK30" i="4"/>
  <c r="AK510" i="4"/>
  <c r="R506" i="4"/>
  <c r="R33" i="4"/>
  <c r="R37" i="4"/>
  <c r="BD53" i="4"/>
  <c r="AH506" i="4"/>
  <c r="AH33" i="4"/>
  <c r="AH37" i="4"/>
  <c r="AH27" i="4"/>
  <c r="X510" i="4"/>
  <c r="X516" i="4"/>
  <c r="G502" i="1"/>
  <c r="D502" i="1"/>
  <c r="D301" i="1"/>
  <c r="G301" i="1"/>
  <c r="E385" i="1"/>
  <c r="D375" i="1"/>
  <c r="G375" i="1"/>
  <c r="D381" i="1"/>
  <c r="G381" i="1"/>
  <c r="D235" i="1"/>
  <c r="G235" i="1"/>
  <c r="G395" i="1"/>
  <c r="D395" i="1"/>
  <c r="D397" i="1"/>
  <c r="G397" i="1"/>
  <c r="E221" i="1"/>
  <c r="D219" i="1"/>
  <c r="G219" i="1"/>
  <c r="G286" i="1"/>
  <c r="D286" i="1"/>
  <c r="G244" i="1"/>
  <c r="D244" i="1"/>
  <c r="G382" i="1"/>
  <c r="D382" i="1"/>
  <c r="D463" i="1"/>
  <c r="G463" i="1"/>
  <c r="D383" i="1"/>
  <c r="G383" i="1"/>
  <c r="D376" i="1"/>
  <c r="G376" i="1"/>
  <c r="F204" i="1"/>
  <c r="F43" i="1"/>
  <c r="F45" i="1"/>
  <c r="G220" i="1"/>
  <c r="D220" i="1"/>
  <c r="D390" i="1"/>
  <c r="G390" i="1"/>
  <c r="D287" i="1"/>
  <c r="G287" i="1"/>
  <c r="G391" i="1"/>
  <c r="D392" i="1"/>
  <c r="G392" i="1"/>
  <c r="D393" i="1"/>
  <c r="G393" i="1"/>
  <c r="D283" i="1"/>
  <c r="G283" i="1"/>
  <c r="D394" i="1"/>
  <c r="G394" i="1"/>
  <c r="G378" i="1"/>
  <c r="D378" i="1"/>
  <c r="D379" i="1"/>
  <c r="G379" i="1"/>
  <c r="D396" i="1"/>
  <c r="G396" i="1"/>
  <c r="G388" i="1"/>
  <c r="D388" i="1"/>
  <c r="G187" i="1"/>
  <c r="D187" i="1"/>
  <c r="D377" i="1"/>
  <c r="G377" i="1"/>
  <c r="D387" i="1"/>
  <c r="G387" i="1"/>
  <c r="E398" i="1"/>
  <c r="D288" i="1"/>
  <c r="G288" i="1"/>
  <c r="D384" i="1"/>
  <c r="G384" i="1"/>
  <c r="G471" i="1"/>
  <c r="D471" i="1"/>
  <c r="D389" i="1"/>
  <c r="G389" i="1"/>
  <c r="D380" i="1"/>
  <c r="G380" i="1"/>
  <c r="Y27" i="4"/>
  <c r="Y30" i="4"/>
  <c r="Y31" i="4"/>
  <c r="Y506" i="4"/>
  <c r="J33" i="4"/>
  <c r="J37" i="4"/>
  <c r="J27" i="4"/>
  <c r="J30" i="4"/>
  <c r="J31" i="4"/>
  <c r="J510" i="4"/>
  <c r="K7" i="19"/>
  <c r="J19" i="19"/>
  <c r="K31" i="5"/>
  <c r="I31" i="5"/>
  <c r="I53" i="5"/>
  <c r="J35" i="19"/>
  <c r="J39" i="19"/>
  <c r="M33" i="19"/>
  <c r="D30" i="4"/>
  <c r="D31" i="4"/>
  <c r="D37" i="4"/>
  <c r="G10" i="3"/>
  <c r="E342" i="1"/>
  <c r="G342" i="1"/>
  <c r="G343" i="1"/>
  <c r="G12" i="3"/>
  <c r="N33" i="4"/>
  <c r="N37" i="4"/>
  <c r="AP33" i="4"/>
  <c r="AP37" i="4"/>
  <c r="AP39" i="4"/>
  <c r="AP41" i="4"/>
  <c r="AP516" i="4"/>
  <c r="E510" i="4"/>
  <c r="E516" i="4"/>
  <c r="W510" i="4"/>
  <c r="W516" i="4"/>
  <c r="M506" i="4"/>
  <c r="M33" i="4"/>
  <c r="M37" i="4"/>
  <c r="M39" i="4"/>
  <c r="M41" i="4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Y33" i="4"/>
  <c r="Y37" i="4"/>
  <c r="Y39" i="4"/>
  <c r="Y41" i="4"/>
  <c r="AL506" i="4"/>
  <c r="AL33" i="4"/>
  <c r="AL37" i="4"/>
  <c r="AL39" i="4"/>
  <c r="AL41" i="4"/>
  <c r="AK39" i="4"/>
  <c r="AK41" i="4"/>
  <c r="AK31" i="4"/>
  <c r="V39" i="4"/>
  <c r="V41" i="4"/>
  <c r="V31" i="4"/>
  <c r="Z39" i="4"/>
  <c r="Z41" i="4"/>
  <c r="Z31" i="4"/>
  <c r="AE39" i="4"/>
  <c r="AE41" i="4"/>
  <c r="AE31" i="4"/>
  <c r="K39" i="4"/>
  <c r="K41" i="4"/>
  <c r="K31" i="4"/>
  <c r="L39" i="4"/>
  <c r="L41" i="4"/>
  <c r="L31" i="4"/>
  <c r="D436" i="1"/>
  <c r="P510" i="4"/>
  <c r="P516" i="4"/>
  <c r="K53" i="5"/>
  <c r="K55" i="5"/>
  <c r="F510" i="4"/>
  <c r="F516" i="4"/>
  <c r="F39" i="4"/>
  <c r="F41" i="4"/>
  <c r="AK516" i="4"/>
  <c r="Z516" i="4"/>
  <c r="L516" i="4"/>
  <c r="K516" i="4"/>
  <c r="V516" i="4"/>
  <c r="AE516" i="4"/>
  <c r="J516" i="4"/>
  <c r="D510" i="4"/>
  <c r="N27" i="4"/>
  <c r="N30" i="4"/>
  <c r="N31" i="4"/>
  <c r="N510" i="4"/>
  <c r="AB510" i="4"/>
  <c r="AB516" i="4"/>
  <c r="AF510" i="4"/>
  <c r="AF516" i="4"/>
  <c r="AD510" i="4"/>
  <c r="AD516" i="4"/>
  <c r="S510" i="4"/>
  <c r="S516" i="4"/>
  <c r="S39" i="4"/>
  <c r="S41" i="4"/>
  <c r="AN33" i="4"/>
  <c r="AN37" i="4"/>
  <c r="AN39" i="4"/>
  <c r="AN41" i="4"/>
  <c r="AN510" i="4"/>
  <c r="AN516" i="4"/>
  <c r="AA27" i="4"/>
  <c r="AA30" i="4"/>
  <c r="AA31" i="4"/>
  <c r="AA506" i="4"/>
  <c r="AA33" i="4"/>
  <c r="AA37" i="4"/>
  <c r="AG510" i="4"/>
  <c r="AG516" i="4"/>
  <c r="O510" i="4"/>
  <c r="O516" i="4"/>
  <c r="Q27" i="4"/>
  <c r="Q30" i="4"/>
  <c r="Q510" i="4"/>
  <c r="R39" i="4"/>
  <c r="R41" i="4"/>
  <c r="AO27" i="4"/>
  <c r="AO30" i="4"/>
  <c r="AO510" i="4"/>
  <c r="R510" i="4"/>
  <c r="R516" i="4"/>
  <c r="G221" i="1"/>
  <c r="BD39" i="4"/>
  <c r="BD41" i="4"/>
  <c r="BD510" i="4"/>
  <c r="AH30" i="4"/>
  <c r="AH510" i="4"/>
  <c r="G385" i="1"/>
  <c r="G398" i="1"/>
  <c r="D385" i="1"/>
  <c r="D398" i="1"/>
  <c r="D221" i="1"/>
  <c r="E400" i="1"/>
  <c r="Y510" i="4"/>
  <c r="Y516" i="4"/>
  <c r="J39" i="4"/>
  <c r="K19" i="19"/>
  <c r="L7" i="19"/>
  <c r="M35" i="19"/>
  <c r="N33" i="19"/>
  <c r="N35" i="19"/>
  <c r="N39" i="19"/>
  <c r="D39" i="4"/>
  <c r="D41" i="4"/>
  <c r="D516" i="4"/>
  <c r="D36" i="6"/>
  <c r="D32" i="6"/>
  <c r="E329" i="1"/>
  <c r="G329" i="1"/>
  <c r="E512" i="1"/>
  <c r="D512" i="1"/>
  <c r="E317" i="1"/>
  <c r="G317" i="1"/>
  <c r="E72" i="1"/>
  <c r="D72" i="1"/>
  <c r="E69" i="1"/>
  <c r="D69" i="1"/>
  <c r="E319" i="1"/>
  <c r="D319" i="1"/>
  <c r="E326" i="1"/>
  <c r="D326" i="1"/>
  <c r="E241" i="1"/>
  <c r="G241" i="1"/>
  <c r="E328" i="1"/>
  <c r="G328" i="1"/>
  <c r="E162" i="1"/>
  <c r="G162" i="1"/>
  <c r="E310" i="1"/>
  <c r="D310" i="1"/>
  <c r="E336" i="1"/>
  <c r="E493" i="1"/>
  <c r="E281" i="1"/>
  <c r="D281" i="1"/>
  <c r="E118" i="1"/>
  <c r="D118" i="1"/>
  <c r="E67" i="1"/>
  <c r="G67" i="1"/>
  <c r="E335" i="1"/>
  <c r="D335" i="1"/>
  <c r="E343" i="1"/>
  <c r="E321" i="1"/>
  <c r="D321" i="1"/>
  <c r="E338" i="1"/>
  <c r="D338" i="1"/>
  <c r="E320" i="1"/>
  <c r="G320" i="1"/>
  <c r="E462" i="1"/>
  <c r="G462" i="1"/>
  <c r="E469" i="1"/>
  <c r="D469" i="1"/>
  <c r="E284" i="1"/>
  <c r="D284" i="1"/>
  <c r="E500" i="1"/>
  <c r="G500" i="1"/>
  <c r="E325" i="1"/>
  <c r="G325" i="1"/>
  <c r="E211" i="1"/>
  <c r="E117" i="1"/>
  <c r="G117" i="1"/>
  <c r="E339" i="1"/>
  <c r="G339" i="1"/>
  <c r="E460" i="1"/>
  <c r="D460" i="1"/>
  <c r="E316" i="1"/>
  <c r="G316" i="1"/>
  <c r="E66" i="1"/>
  <c r="G66" i="1"/>
  <c r="E192" i="1"/>
  <c r="D192" i="1"/>
  <c r="N25" i="13"/>
  <c r="E212" i="1"/>
  <c r="D212" i="1"/>
  <c r="E312" i="1"/>
  <c r="D312" i="1"/>
  <c r="E68" i="1"/>
  <c r="D68" i="1"/>
  <c r="E71" i="1"/>
  <c r="D71" i="1"/>
  <c r="E70" i="1"/>
  <c r="D70" i="1"/>
  <c r="E193" i="1"/>
  <c r="D193" i="1"/>
  <c r="E185" i="1"/>
  <c r="G185" i="1"/>
  <c r="D342" i="1"/>
  <c r="D343" i="1"/>
  <c r="E115" i="1"/>
  <c r="E113" i="1"/>
  <c r="E122" i="1"/>
  <c r="E114" i="1"/>
  <c r="E116" i="1"/>
  <c r="E234" i="1"/>
  <c r="E123" i="1"/>
  <c r="E124" i="1"/>
  <c r="E121" i="1"/>
  <c r="E120" i="1"/>
  <c r="E163" i="1"/>
  <c r="E119" i="1"/>
  <c r="M510" i="4"/>
  <c r="M516" i="4"/>
  <c r="AL510" i="4"/>
  <c r="AL516" i="4"/>
  <c r="AH39" i="4"/>
  <c r="AH41" i="4"/>
  <c r="AH31" i="4"/>
  <c r="Q39" i="4"/>
  <c r="Q41" i="4"/>
  <c r="Q31" i="4"/>
  <c r="N39" i="4"/>
  <c r="N41" i="4"/>
  <c r="AO39" i="4"/>
  <c r="AO41" i="4"/>
  <c r="AO31" i="4"/>
  <c r="G436" i="1"/>
  <c r="M55" i="5"/>
  <c r="N55" i="5"/>
  <c r="D400" i="1"/>
  <c r="N516" i="4"/>
  <c r="AH516" i="4"/>
  <c r="AO516" i="4"/>
  <c r="Q516" i="4"/>
  <c r="AA510" i="4"/>
  <c r="AA516" i="4"/>
  <c r="AA39" i="4"/>
  <c r="AA41" i="4"/>
  <c r="G453" i="1"/>
  <c r="E17" i="1"/>
  <c r="G17" i="1"/>
  <c r="G400" i="1"/>
  <c r="J41" i="4"/>
  <c r="M39" i="19"/>
  <c r="M41" i="19"/>
  <c r="N41" i="19"/>
  <c r="G14" i="3"/>
  <c r="G40" i="3"/>
  <c r="L19" i="19"/>
  <c r="M7" i="19"/>
  <c r="G38" i="3"/>
  <c r="G336" i="1"/>
  <c r="D211" i="1"/>
  <c r="D213" i="1"/>
  <c r="E213" i="1"/>
  <c r="D317" i="1"/>
  <c r="G310" i="1"/>
  <c r="D117" i="1"/>
  <c r="G338" i="1"/>
  <c r="G312" i="1"/>
  <c r="G72" i="1"/>
  <c r="D339" i="1"/>
  <c r="D336" i="1"/>
  <c r="D162" i="1"/>
  <c r="G192" i="1"/>
  <c r="D329" i="1"/>
  <c r="G512" i="1"/>
  <c r="D328" i="1"/>
  <c r="D325" i="1"/>
  <c r="G118" i="1"/>
  <c r="G326" i="1"/>
  <c r="G469" i="1"/>
  <c r="G70" i="1"/>
  <c r="D316" i="1"/>
  <c r="G319" i="1"/>
  <c r="G321" i="1"/>
  <c r="G211" i="1"/>
  <c r="D66" i="1"/>
  <c r="G284" i="1"/>
  <c r="D462" i="1"/>
  <c r="G69" i="1"/>
  <c r="D320" i="1"/>
  <c r="G68" i="1"/>
  <c r="G281" i="1"/>
  <c r="G460" i="1"/>
  <c r="G71" i="1"/>
  <c r="D500" i="1"/>
  <c r="G335" i="1"/>
  <c r="G193" i="1"/>
  <c r="D241" i="1"/>
  <c r="E74" i="1"/>
  <c r="E106" i="1"/>
  <c r="G212" i="1"/>
  <c r="D67" i="1"/>
  <c r="E125" i="1"/>
  <c r="E174" i="1"/>
  <c r="D185" i="1"/>
  <c r="D119" i="1"/>
  <c r="G119" i="1"/>
  <c r="D114" i="1"/>
  <c r="G114" i="1"/>
  <c r="D116" i="1"/>
  <c r="G116" i="1"/>
  <c r="D163" i="1"/>
  <c r="G163" i="1"/>
  <c r="D120" i="1"/>
  <c r="G120" i="1"/>
  <c r="G113" i="1"/>
  <c r="D113" i="1"/>
  <c r="G122" i="1"/>
  <c r="D122" i="1"/>
  <c r="D121" i="1"/>
  <c r="G121" i="1"/>
  <c r="D115" i="1"/>
  <c r="G115" i="1"/>
  <c r="G124" i="1"/>
  <c r="D124" i="1"/>
  <c r="G234" i="1"/>
  <c r="D234" i="1"/>
  <c r="G123" i="1"/>
  <c r="D123" i="1"/>
  <c r="E337" i="1"/>
  <c r="D337" i="1"/>
  <c r="D17" i="1"/>
  <c r="E311" i="1"/>
  <c r="G311" i="1"/>
  <c r="E511" i="1"/>
  <c r="G511" i="1"/>
  <c r="B36" i="6"/>
  <c r="E273" i="1"/>
  <c r="E275" i="1"/>
  <c r="E315" i="1"/>
  <c r="G315" i="1"/>
  <c r="E313" i="1"/>
  <c r="T25" i="13"/>
  <c r="B32" i="6"/>
  <c r="F32" i="6"/>
  <c r="E293" i="1"/>
  <c r="G293" i="1"/>
  <c r="E322" i="1"/>
  <c r="G322" i="1"/>
  <c r="L25" i="13"/>
  <c r="E240" i="1"/>
  <c r="G240" i="1"/>
  <c r="E318" i="1"/>
  <c r="D318" i="1"/>
  <c r="E242" i="1"/>
  <c r="D242" i="1"/>
  <c r="M19" i="19"/>
  <c r="N7" i="19"/>
  <c r="N19" i="19"/>
  <c r="I15" i="13"/>
  <c r="C12" i="28"/>
  <c r="E12" i="28"/>
  <c r="F12" i="28"/>
  <c r="J12" i="28"/>
  <c r="G16" i="3"/>
  <c r="E108" i="1"/>
  <c r="G213" i="1"/>
  <c r="D74" i="1"/>
  <c r="D106" i="1"/>
  <c r="G74" i="1"/>
  <c r="G106" i="1"/>
  <c r="H174" i="1"/>
  <c r="E178" i="1"/>
  <c r="G125" i="1"/>
  <c r="G178" i="1"/>
  <c r="D125" i="1"/>
  <c r="D174" i="1"/>
  <c r="G313" i="1"/>
  <c r="C10" i="28"/>
  <c r="E10" i="28"/>
  <c r="F10" i="28"/>
  <c r="J10" i="28"/>
  <c r="E340" i="1"/>
  <c r="T22" i="13"/>
  <c r="G273" i="1"/>
  <c r="D293" i="1"/>
  <c r="D322" i="1"/>
  <c r="D315" i="1"/>
  <c r="D313" i="1"/>
  <c r="D273" i="1"/>
  <c r="D275" i="1"/>
  <c r="D11" i="1"/>
  <c r="D240" i="1"/>
  <c r="D511" i="1"/>
  <c r="E431" i="1"/>
  <c r="G431" i="1"/>
  <c r="E439" i="1"/>
  <c r="D439" i="1"/>
  <c r="E427" i="1"/>
  <c r="D427" i="1"/>
  <c r="E426" i="1"/>
  <c r="D426" i="1"/>
  <c r="G242" i="1"/>
  <c r="G337" i="1"/>
  <c r="E434" i="1"/>
  <c r="G434" i="1"/>
  <c r="C24" i="28"/>
  <c r="E24" i="28"/>
  <c r="F24" i="28"/>
  <c r="J24" i="28"/>
  <c r="E443" i="1"/>
  <c r="G443" i="1"/>
  <c r="D340" i="1"/>
  <c r="E430" i="1"/>
  <c r="D430" i="1"/>
  <c r="E438" i="1"/>
  <c r="G438" i="1"/>
  <c r="D311" i="1"/>
  <c r="E442" i="1"/>
  <c r="G442" i="1"/>
  <c r="E437" i="1"/>
  <c r="G437" i="1"/>
  <c r="E428" i="1"/>
  <c r="G428" i="1"/>
  <c r="G318" i="1"/>
  <c r="E323" i="1"/>
  <c r="E432" i="1"/>
  <c r="D432" i="1"/>
  <c r="E429" i="1"/>
  <c r="E433" i="1"/>
  <c r="D433" i="1"/>
  <c r="G451" i="1"/>
  <c r="G275" i="1"/>
  <c r="E11" i="1"/>
  <c r="G11" i="1"/>
  <c r="E13" i="8"/>
  <c r="I13" i="8"/>
  <c r="E501" i="1"/>
  <c r="G501" i="1"/>
  <c r="E352" i="1"/>
  <c r="D352" i="1"/>
  <c r="E298" i="1"/>
  <c r="G298" i="1"/>
  <c r="E368" i="1"/>
  <c r="D368" i="1"/>
  <c r="E461" i="1"/>
  <c r="D461" i="1"/>
  <c r="E350" i="1"/>
  <c r="G350" i="1"/>
  <c r="E364" i="1"/>
  <c r="G364" i="1"/>
  <c r="E356" i="1"/>
  <c r="G356" i="1"/>
  <c r="E367" i="1"/>
  <c r="D367" i="1"/>
  <c r="E359" i="1"/>
  <c r="D359" i="1"/>
  <c r="E282" i="1"/>
  <c r="G282" i="1"/>
  <c r="E351" i="1"/>
  <c r="G351" i="1"/>
  <c r="E353" i="1"/>
  <c r="D353" i="1"/>
  <c r="E365" i="1"/>
  <c r="D365" i="1"/>
  <c r="E358" i="1"/>
  <c r="D358" i="1"/>
  <c r="E300" i="1"/>
  <c r="E215" i="1"/>
  <c r="D215" i="1"/>
  <c r="E289" i="1"/>
  <c r="D289" i="1"/>
  <c r="E243" i="1"/>
  <c r="G243" i="1"/>
  <c r="G245" i="1"/>
  <c r="E470" i="1"/>
  <c r="D470" i="1"/>
  <c r="E285" i="1"/>
  <c r="D285" i="1"/>
  <c r="E348" i="1"/>
  <c r="G348" i="1"/>
  <c r="E349" i="1"/>
  <c r="D349" i="1"/>
  <c r="E363" i="1"/>
  <c r="D363" i="1"/>
  <c r="E366" i="1"/>
  <c r="D366" i="1"/>
  <c r="E369" i="1"/>
  <c r="D369" i="1"/>
  <c r="H178" i="1"/>
  <c r="G20" i="3"/>
  <c r="E216" i="1"/>
  <c r="E186" i="1"/>
  <c r="D186" i="1"/>
  <c r="E476" i="1"/>
  <c r="D476" i="1"/>
  <c r="D477" i="1"/>
  <c r="G174" i="1"/>
  <c r="D178" i="1"/>
  <c r="G323" i="1"/>
  <c r="G340" i="1"/>
  <c r="D431" i="1"/>
  <c r="D323" i="1"/>
  <c r="D434" i="1"/>
  <c r="D438" i="1"/>
  <c r="D428" i="1"/>
  <c r="D443" i="1"/>
  <c r="G432" i="1"/>
  <c r="D108" i="1"/>
  <c r="D110" i="1"/>
  <c r="D182" i="1"/>
  <c r="G108" i="1"/>
  <c r="G110" i="1"/>
  <c r="G182" i="1"/>
  <c r="G430" i="1"/>
  <c r="G439" i="1"/>
  <c r="G427" i="1"/>
  <c r="E440" i="1"/>
  <c r="E444" i="1"/>
  <c r="G455" i="1"/>
  <c r="D429" i="1"/>
  <c r="D442" i="1"/>
  <c r="G426" i="1"/>
  <c r="G429" i="1"/>
  <c r="G433" i="1"/>
  <c r="D437" i="1"/>
  <c r="E110" i="1"/>
  <c r="E182" i="1"/>
  <c r="G22" i="3"/>
  <c r="D493" i="1"/>
  <c r="G493" i="1"/>
  <c r="G285" i="1"/>
  <c r="G289" i="1"/>
  <c r="G352" i="1"/>
  <c r="E302" i="1"/>
  <c r="D501" i="1"/>
  <c r="D298" i="1"/>
  <c r="E245" i="1"/>
  <c r="E48" i="1"/>
  <c r="G48" i="1"/>
  <c r="D243" i="1"/>
  <c r="D245" i="1"/>
  <c r="D48" i="1"/>
  <c r="G359" i="1"/>
  <c r="D282" i="1"/>
  <c r="D290" i="1"/>
  <c r="D351" i="1"/>
  <c r="G215" i="1"/>
  <c r="G367" i="1"/>
  <c r="E290" i="1"/>
  <c r="G368" i="1"/>
  <c r="G461" i="1"/>
  <c r="G369" i="1"/>
  <c r="G366" i="1"/>
  <c r="E217" i="1"/>
  <c r="G353" i="1"/>
  <c r="G365" i="1"/>
  <c r="G470" i="1"/>
  <c r="D350" i="1"/>
  <c r="G300" i="1"/>
  <c r="G302" i="1"/>
  <c r="G363" i="1"/>
  <c r="D364" i="1"/>
  <c r="D370" i="1"/>
  <c r="D300" i="1"/>
  <c r="E370" i="1"/>
  <c r="D356" i="1"/>
  <c r="D348" i="1"/>
  <c r="G358" i="1"/>
  <c r="E360" i="1"/>
  <c r="G349" i="1"/>
  <c r="G186" i="1"/>
  <c r="G216" i="1"/>
  <c r="D216" i="1"/>
  <c r="D217" i="1"/>
  <c r="E477" i="1"/>
  <c r="G476" i="1"/>
  <c r="G477" i="1"/>
  <c r="D440" i="1"/>
  <c r="D444" i="1"/>
  <c r="E21" i="1"/>
  <c r="G21" i="1"/>
  <c r="G440" i="1"/>
  <c r="G444" i="1"/>
  <c r="E504" i="1"/>
  <c r="H182" i="1"/>
  <c r="G290" i="1"/>
  <c r="G304" i="1"/>
  <c r="G306" i="1"/>
  <c r="E304" i="1"/>
  <c r="E306" i="1"/>
  <c r="G32" i="3"/>
  <c r="D302" i="1"/>
  <c r="D304" i="1"/>
  <c r="D306" i="1"/>
  <c r="G217" i="1"/>
  <c r="G370" i="1"/>
  <c r="E372" i="1"/>
  <c r="E16" i="1"/>
  <c r="D360" i="1"/>
  <c r="D372" i="1"/>
  <c r="G360" i="1"/>
  <c r="D21" i="1"/>
  <c r="D504" i="1"/>
  <c r="G504" i="1"/>
  <c r="G452" i="1"/>
  <c r="G456" i="1"/>
  <c r="G457" i="1"/>
  <c r="E456" i="1"/>
  <c r="E49" i="1"/>
  <c r="E464" i="1"/>
  <c r="E497" i="1"/>
  <c r="E472" i="1"/>
  <c r="E224" i="1"/>
  <c r="E229" i="1"/>
  <c r="E196" i="1"/>
  <c r="E155" i="1"/>
  <c r="E151" i="1"/>
  <c r="E147" i="1"/>
  <c r="E503" i="1"/>
  <c r="E40" i="1"/>
  <c r="E236" i="1"/>
  <c r="E223" i="1"/>
  <c r="E188" i="1"/>
  <c r="E154" i="1"/>
  <c r="E150" i="1"/>
  <c r="E468" i="1"/>
  <c r="E165" i="1"/>
  <c r="E161" i="1"/>
  <c r="E153" i="1"/>
  <c r="E149" i="1"/>
  <c r="E146" i="1"/>
  <c r="E156" i="1"/>
  <c r="E60" i="1"/>
  <c r="E152" i="1"/>
  <c r="E148" i="1"/>
  <c r="E61" i="1"/>
  <c r="H306" i="1"/>
  <c r="E10" i="1"/>
  <c r="E12" i="1"/>
  <c r="G372" i="1"/>
  <c r="D456" i="1"/>
  <c r="D49" i="1"/>
  <c r="D10" i="1"/>
  <c r="D12" i="1"/>
  <c r="E166" i="1"/>
  <c r="G161" i="1"/>
  <c r="D161" i="1"/>
  <c r="D464" i="1"/>
  <c r="D465" i="1"/>
  <c r="G464" i="1"/>
  <c r="G465" i="1"/>
  <c r="E465" i="1"/>
  <c r="G165" i="1"/>
  <c r="D165" i="1"/>
  <c r="D188" i="1"/>
  <c r="D189" i="1"/>
  <c r="G188" i="1"/>
  <c r="G189" i="1"/>
  <c r="E189" i="1"/>
  <c r="D147" i="1"/>
  <c r="G147" i="1"/>
  <c r="D224" i="1"/>
  <c r="D229" i="1"/>
  <c r="G224" i="1"/>
  <c r="G229" i="1"/>
  <c r="D156" i="1"/>
  <c r="G156" i="1"/>
  <c r="D503" i="1"/>
  <c r="D40" i="1"/>
  <c r="G503" i="1"/>
  <c r="G40" i="1"/>
  <c r="E32" i="8"/>
  <c r="I32" i="8"/>
  <c r="D148" i="1"/>
  <c r="G148" i="1"/>
  <c r="D152" i="1"/>
  <c r="G152" i="1"/>
  <c r="D468" i="1"/>
  <c r="E473" i="1"/>
  <c r="G468" i="1"/>
  <c r="D151" i="1"/>
  <c r="G151" i="1"/>
  <c r="D16" i="1"/>
  <c r="G61" i="1"/>
  <c r="D61" i="1"/>
  <c r="D154" i="1"/>
  <c r="G154" i="1"/>
  <c r="D196" i="1"/>
  <c r="D197" i="1"/>
  <c r="G196" i="1"/>
  <c r="G197" i="1"/>
  <c r="E197" i="1"/>
  <c r="G146" i="1"/>
  <c r="E158" i="1"/>
  <c r="D146" i="1"/>
  <c r="G149" i="1"/>
  <c r="D149" i="1"/>
  <c r="E225" i="1"/>
  <c r="E227" i="1"/>
  <c r="D223" i="1"/>
  <c r="G223" i="1"/>
  <c r="E230" i="1"/>
  <c r="E50" i="1"/>
  <c r="D472" i="1"/>
  <c r="G472" i="1"/>
  <c r="G16" i="1"/>
  <c r="E62" i="1"/>
  <c r="D60" i="1"/>
  <c r="G60" i="1"/>
  <c r="G153" i="1"/>
  <c r="D153" i="1"/>
  <c r="D150" i="1"/>
  <c r="G150" i="1"/>
  <c r="D236" i="1"/>
  <c r="D237" i="1"/>
  <c r="D46" i="1"/>
  <c r="G236" i="1"/>
  <c r="G237" i="1"/>
  <c r="E237" i="1"/>
  <c r="E46" i="1"/>
  <c r="G46" i="1"/>
  <c r="D155" i="1"/>
  <c r="G155" i="1"/>
  <c r="G497" i="1"/>
  <c r="D497" i="1"/>
  <c r="G10" i="1"/>
  <c r="E12" i="8"/>
  <c r="E15" i="8"/>
  <c r="G202" i="1"/>
  <c r="D202" i="1"/>
  <c r="G62" i="1"/>
  <c r="E180" i="1"/>
  <c r="E44" i="1"/>
  <c r="G158" i="1"/>
  <c r="D473" i="1"/>
  <c r="D479" i="1"/>
  <c r="D25" i="1"/>
  <c r="D166" i="1"/>
  <c r="G225" i="1"/>
  <c r="G227" i="1"/>
  <c r="G230" i="1"/>
  <c r="G50" i="1"/>
  <c r="D158" i="1"/>
  <c r="G44" i="1"/>
  <c r="E479" i="1"/>
  <c r="E25" i="1"/>
  <c r="G25" i="1"/>
  <c r="G166" i="1"/>
  <c r="D62" i="1"/>
  <c r="D225" i="1"/>
  <c r="D227" i="1"/>
  <c r="D230" i="1"/>
  <c r="D50" i="1"/>
  <c r="E202" i="1"/>
  <c r="G473" i="1"/>
  <c r="G479" i="1"/>
  <c r="D44" i="1"/>
  <c r="E172" i="1"/>
  <c r="I12" i="8"/>
  <c r="G12" i="1"/>
  <c r="H180" i="1"/>
  <c r="G24" i="3"/>
  <c r="E19" i="8"/>
  <c r="I19" i="8"/>
  <c r="C18" i="28"/>
  <c r="E18" i="28"/>
  <c r="F18" i="28"/>
  <c r="J18" i="28"/>
  <c r="G172" i="1"/>
  <c r="G204" i="1"/>
  <c r="G180" i="1"/>
  <c r="D172" i="1"/>
  <c r="D43" i="1"/>
  <c r="D45" i="1"/>
  <c r="D180" i="1"/>
  <c r="E204" i="1"/>
  <c r="E43" i="1"/>
  <c r="E45" i="1"/>
  <c r="G26" i="3"/>
  <c r="E488" i="1"/>
  <c r="G488" i="1"/>
  <c r="C26" i="28"/>
  <c r="E26" i="28"/>
  <c r="F26" i="28"/>
  <c r="J26" i="28"/>
  <c r="E491" i="1"/>
  <c r="G43" i="1"/>
  <c r="G45" i="1"/>
  <c r="I25" i="13"/>
  <c r="I13" i="13"/>
  <c r="X25" i="13"/>
  <c r="E489" i="1"/>
  <c r="G489" i="1"/>
  <c r="V25" i="13"/>
  <c r="E249" i="1"/>
  <c r="D249" i="1"/>
  <c r="D204" i="1"/>
  <c r="AA15" i="13"/>
  <c r="AC15" i="13"/>
  <c r="AA13" i="13"/>
  <c r="AC13" i="13"/>
  <c r="I17" i="13"/>
  <c r="D488" i="1"/>
  <c r="G491" i="1"/>
  <c r="D491" i="1"/>
  <c r="G248" i="1"/>
  <c r="D489" i="1"/>
  <c r="E250" i="1"/>
  <c r="E47" i="1"/>
  <c r="G47" i="1"/>
  <c r="G249" i="1"/>
  <c r="D250" i="1"/>
  <c r="E514" i="1"/>
  <c r="E516" i="1"/>
  <c r="D47" i="1"/>
  <c r="G250" i="1"/>
  <c r="I19" i="13"/>
  <c r="D516" i="1"/>
  <c r="G516" i="1"/>
  <c r="D514" i="1"/>
  <c r="G514" i="1"/>
  <c r="E517" i="1"/>
  <c r="E29" i="1"/>
  <c r="G515" i="1"/>
  <c r="I22" i="13"/>
  <c r="E11" i="10"/>
  <c r="G517" i="1"/>
  <c r="G29" i="1"/>
  <c r="D517" i="1"/>
  <c r="D29" i="1"/>
  <c r="E22" i="8"/>
  <c r="I22" i="8"/>
  <c r="AC17" i="13"/>
  <c r="E15" i="10"/>
  <c r="AC19" i="13"/>
  <c r="AC22" i="13"/>
  <c r="AA19" i="13"/>
  <c r="AA22" i="13"/>
  <c r="E17" i="10"/>
  <c r="G11" i="10"/>
  <c r="G15" i="10"/>
  <c r="G13" i="10"/>
  <c r="I40" i="8"/>
  <c r="K11" i="10"/>
  <c r="G35" i="10"/>
  <c r="K15" i="10"/>
  <c r="E35" i="10"/>
  <c r="K13" i="10"/>
  <c r="M13" i="10"/>
  <c r="G17" i="10"/>
  <c r="K17" i="10"/>
  <c r="I35" i="10"/>
  <c r="AQ27" i="4"/>
  <c r="E10" i="9"/>
  <c r="I41" i="8"/>
  <c r="AQ30" i="4"/>
  <c r="AQ33" i="4"/>
  <c r="AQ510" i="4"/>
  <c r="AQ516" i="4"/>
  <c r="AQ31" i="4"/>
  <c r="AQ37" i="4"/>
  <c r="AQ39" i="4"/>
  <c r="AQ41" i="4"/>
  <c r="E327" i="1"/>
  <c r="K327" i="1"/>
  <c r="D327" i="1"/>
  <c r="D330" i="1"/>
  <c r="D401" i="1"/>
  <c r="G327" i="1"/>
  <c r="G330" i="1"/>
  <c r="G401" i="1"/>
  <c r="E330" i="1"/>
  <c r="E332" i="1"/>
  <c r="E345" i="1"/>
  <c r="E15" i="1"/>
  <c r="D332" i="1"/>
  <c r="D345" i="1"/>
  <c r="G332" i="1"/>
  <c r="G345" i="1"/>
  <c r="E401" i="1"/>
  <c r="E446" i="1"/>
  <c r="G15" i="1"/>
  <c r="G23" i="1"/>
  <c r="E18" i="8"/>
  <c r="E23" i="1"/>
  <c r="G446" i="1"/>
  <c r="G448" i="1"/>
  <c r="D15" i="1"/>
  <c r="D23" i="1"/>
  <c r="D446" i="1"/>
  <c r="D448" i="1"/>
  <c r="H446" i="1"/>
  <c r="G28" i="3"/>
  <c r="E448" i="1"/>
  <c r="H448" i="1"/>
  <c r="G30" i="3"/>
  <c r="E484" i="1"/>
  <c r="D484" i="1"/>
  <c r="E483" i="1"/>
  <c r="D483" i="1"/>
  <c r="G484" i="1"/>
  <c r="C28" i="28"/>
  <c r="E28" i="28"/>
  <c r="F28" i="28"/>
  <c r="J28" i="28"/>
  <c r="E496" i="1"/>
  <c r="G496" i="1"/>
  <c r="C20" i="28"/>
  <c r="E20" i="28"/>
  <c r="F20" i="28"/>
  <c r="J20" i="28"/>
  <c r="E485" i="1"/>
  <c r="G485" i="1"/>
  <c r="D496" i="1"/>
  <c r="D485" i="1"/>
  <c r="D486" i="1"/>
  <c r="E486" i="1"/>
  <c r="E498" i="1"/>
  <c r="E26" i="1"/>
  <c r="G26" i="1"/>
  <c r="E20" i="8"/>
  <c r="G483" i="1"/>
  <c r="G486" i="1"/>
  <c r="G498" i="1"/>
  <c r="C14" i="28"/>
  <c r="E14" i="28"/>
  <c r="D498" i="1"/>
  <c r="D26" i="1"/>
  <c r="I20" i="8"/>
  <c r="F14" i="28"/>
  <c r="J14" i="28"/>
  <c r="U27" i="4"/>
  <c r="U30" i="4"/>
  <c r="U31" i="4"/>
  <c r="U33" i="4"/>
  <c r="BB52" i="4"/>
  <c r="BB53" i="4"/>
  <c r="BB249" i="4"/>
  <c r="BB251" i="4"/>
  <c r="C241" i="4"/>
  <c r="U52" i="4"/>
  <c r="U249" i="4"/>
  <c r="U251" i="4"/>
  <c r="C262" i="1"/>
  <c r="C264" i="1"/>
  <c r="C52" i="1"/>
  <c r="C53" i="1"/>
  <c r="D254" i="1"/>
  <c r="E262" i="1"/>
  <c r="E264" i="1"/>
  <c r="E52" i="1"/>
  <c r="E53" i="1"/>
  <c r="D262" i="1"/>
  <c r="D264" i="1"/>
  <c r="D52" i="1"/>
  <c r="D53" i="1"/>
  <c r="C52" i="4"/>
  <c r="U53" i="4"/>
  <c r="F254" i="1"/>
  <c r="C249" i="4"/>
  <c r="C251" i="4"/>
  <c r="G254" i="1"/>
  <c r="G262" i="1"/>
  <c r="G264" i="1"/>
  <c r="F262" i="1"/>
  <c r="F264" i="1"/>
  <c r="F52" i="1"/>
  <c r="G52" i="1"/>
  <c r="AT505" i="4"/>
  <c r="AT506" i="4"/>
  <c r="AT33" i="4"/>
  <c r="AT27" i="4"/>
  <c r="AT30" i="4"/>
  <c r="AT31" i="4"/>
  <c r="AJ507" i="4"/>
  <c r="AJ34" i="4"/>
  <c r="AJ505" i="4"/>
  <c r="AJ506" i="4"/>
  <c r="AJ33" i="4"/>
  <c r="AJ37" i="4"/>
  <c r="AC507" i="4"/>
  <c r="AC34" i="4"/>
  <c r="AJ27" i="4"/>
  <c r="AJ30" i="4"/>
  <c r="AJ510" i="4"/>
  <c r="E41" i="28"/>
  <c r="F41" i="28"/>
  <c r="J41" i="28"/>
  <c r="AC505" i="4"/>
  <c r="AC506" i="4"/>
  <c r="AC33" i="4"/>
  <c r="AC37" i="4"/>
  <c r="AJ516" i="4"/>
  <c r="AJ31" i="4"/>
  <c r="AJ39" i="4"/>
  <c r="AJ41" i="4"/>
  <c r="AC510" i="4"/>
  <c r="AC27" i="4"/>
  <c r="AC30" i="4"/>
  <c r="AU507" i="4"/>
  <c r="AT507" i="4"/>
  <c r="AT34" i="4"/>
  <c r="AT37" i="4"/>
  <c r="AT39" i="4"/>
  <c r="AT41" i="4"/>
  <c r="AT510" i="4"/>
  <c r="AT516" i="4"/>
  <c r="AU34" i="4"/>
  <c r="AU37" i="4"/>
  <c r="AU39" i="4"/>
  <c r="AU41" i="4"/>
  <c r="AU510" i="4"/>
  <c r="AU516" i="4"/>
  <c r="C34" i="1"/>
  <c r="AC31" i="4"/>
  <c r="AC39" i="4"/>
  <c r="AC41" i="4"/>
  <c r="AC516" i="4"/>
  <c r="U34" i="4"/>
  <c r="U37" i="4"/>
  <c r="U39" i="4"/>
  <c r="U510" i="4"/>
  <c r="U516" i="4"/>
  <c r="AI507" i="4"/>
  <c r="AI34" i="4"/>
  <c r="AI505" i="4"/>
  <c r="AI506" i="4"/>
  <c r="AI33" i="4"/>
  <c r="AI27" i="4"/>
  <c r="U41" i="4"/>
  <c r="AI510" i="4"/>
  <c r="AI30" i="4"/>
  <c r="AI37" i="4"/>
  <c r="AI31" i="4"/>
  <c r="AI39" i="4"/>
  <c r="AI516" i="4"/>
  <c r="C27" i="1"/>
  <c r="C30" i="1"/>
  <c r="C526" i="1"/>
  <c r="AI41" i="4"/>
  <c r="C33" i="1"/>
  <c r="C37" i="1"/>
  <c r="C39" i="1"/>
  <c r="C41" i="1"/>
  <c r="C55" i="1"/>
  <c r="AZ34" i="4"/>
  <c r="AZ37" i="4"/>
  <c r="AZ39" i="4"/>
  <c r="AZ41" i="4"/>
  <c r="AZ510" i="4"/>
  <c r="E34" i="1"/>
  <c r="D523" i="1"/>
  <c r="D34" i="1"/>
  <c r="AM507" i="4"/>
  <c r="AM505" i="4"/>
  <c r="AM506" i="4"/>
  <c r="AM33" i="4"/>
  <c r="C512" i="4"/>
  <c r="AM27" i="4"/>
  <c r="AM30" i="4"/>
  <c r="AM510" i="4"/>
  <c r="AM34" i="4"/>
  <c r="C34" i="4"/>
  <c r="C507" i="4"/>
  <c r="AM516" i="4"/>
  <c r="AM31" i="4"/>
  <c r="F523" i="1"/>
  <c r="AM37" i="4"/>
  <c r="AM39" i="4"/>
  <c r="AM41" i="4"/>
  <c r="G523" i="1"/>
  <c r="C36" i="28"/>
  <c r="E36" i="28"/>
  <c r="F36" i="28"/>
  <c r="J36" i="28"/>
  <c r="F34" i="1"/>
  <c r="G34" i="1"/>
  <c r="E25" i="8"/>
  <c r="I25" i="8"/>
  <c r="E27" i="1"/>
  <c r="D522" i="1"/>
  <c r="D33" i="1"/>
  <c r="D37" i="1"/>
  <c r="BA27" i="4"/>
  <c r="BA33" i="4"/>
  <c r="F522" i="1"/>
  <c r="E526" i="1"/>
  <c r="BA37" i="4"/>
  <c r="C33" i="4"/>
  <c r="C37" i="4"/>
  <c r="C27" i="4"/>
  <c r="C30" i="4"/>
  <c r="C31" i="4"/>
  <c r="BA30" i="4"/>
  <c r="E30" i="1"/>
  <c r="E33" i="1"/>
  <c r="D521" i="1"/>
  <c r="BA510" i="4"/>
  <c r="F33" i="1"/>
  <c r="F37" i="1"/>
  <c r="G522" i="1"/>
  <c r="C35" i="28"/>
  <c r="E35" i="28"/>
  <c r="E37" i="1"/>
  <c r="E39" i="1"/>
  <c r="E41" i="1"/>
  <c r="E55" i="1"/>
  <c r="E31" i="1"/>
  <c r="BA39" i="4"/>
  <c r="BA31" i="4"/>
  <c r="D27" i="1"/>
  <c r="D30" i="1"/>
  <c r="D39" i="1"/>
  <c r="D41" i="1"/>
  <c r="D55" i="1"/>
  <c r="D526" i="1"/>
  <c r="C510" i="4"/>
  <c r="F521" i="1"/>
  <c r="G33" i="1"/>
  <c r="G37" i="1"/>
  <c r="C37" i="28"/>
  <c r="C39" i="4"/>
  <c r="C41" i="4"/>
  <c r="BA41" i="4"/>
  <c r="F27" i="1"/>
  <c r="F526" i="1"/>
  <c r="G521" i="1"/>
  <c r="F35" i="28"/>
  <c r="J35" i="28"/>
  <c r="J37" i="28"/>
  <c r="E37" i="28"/>
  <c r="E24" i="8"/>
  <c r="C40" i="28"/>
  <c r="G526" i="1"/>
  <c r="F30" i="1"/>
  <c r="G27" i="1"/>
  <c r="G30" i="1"/>
  <c r="E21" i="8"/>
  <c r="F31" i="1"/>
  <c r="F39" i="1"/>
  <c r="F41" i="1"/>
  <c r="E40" i="28"/>
  <c r="C42" i="28"/>
  <c r="E28" i="8"/>
  <c r="E31" i="8"/>
  <c r="E34" i="8"/>
  <c r="F40" i="28"/>
  <c r="J40" i="28"/>
  <c r="J42" i="28"/>
  <c r="E42" i="28"/>
  <c r="G31" i="1"/>
  <c r="G39" i="1"/>
  <c r="G41" i="1"/>
  <c r="E14" i="9"/>
  <c r="K28" i="10"/>
  <c r="M28" i="10"/>
  <c r="K29" i="10"/>
  <c r="M29" i="10"/>
  <c r="K30" i="10"/>
  <c r="M30" i="10"/>
  <c r="K31" i="10"/>
  <c r="M31" i="10"/>
  <c r="K32" i="10"/>
  <c r="M32" i="10"/>
  <c r="K33" i="10"/>
  <c r="M33" i="10"/>
  <c r="K34" i="10"/>
  <c r="M34" i="10"/>
  <c r="K35" i="10"/>
  <c r="M35" i="10"/>
  <c r="K36" i="10"/>
  <c r="M36" i="10"/>
  <c r="K37" i="10"/>
  <c r="M37" i="10"/>
  <c r="K38" i="10"/>
  <c r="M38" i="10"/>
  <c r="K39" i="10"/>
  <c r="M39" i="10"/>
  <c r="K40" i="10"/>
  <c r="M40" i="10"/>
  <c r="K41" i="10"/>
  <c r="M41" i="10"/>
  <c r="K42" i="10"/>
  <c r="M42" i="10"/>
  <c r="K43" i="10"/>
  <c r="M43" i="10"/>
  <c r="K44" i="10"/>
  <c r="M44" i="10"/>
  <c r="K45" i="10"/>
  <c r="M45" i="10"/>
  <c r="K46" i="10"/>
  <c r="M46" i="10"/>
  <c r="K47" i="10"/>
  <c r="M47" i="10"/>
  <c r="K48" i="10"/>
  <c r="M48" i="10"/>
  <c r="K49" i="10"/>
  <c r="M49" i="10"/>
  <c r="C46" i="28"/>
  <c r="E46" i="28"/>
  <c r="F46" i="28"/>
  <c r="J46" i="28"/>
  <c r="C48" i="28"/>
  <c r="E48" i="28"/>
  <c r="G21" i="8"/>
  <c r="I21" i="8"/>
  <c r="G24" i="8"/>
  <c r="I24" i="8"/>
  <c r="G28" i="8"/>
  <c r="G18" i="8"/>
  <c r="I18" i="8"/>
  <c r="I28" i="8"/>
  <c r="G31" i="8"/>
  <c r="G34" i="8"/>
  <c r="I31" i="8"/>
  <c r="I34" i="8"/>
  <c r="I38" i="8"/>
  <c r="I11" i="8"/>
  <c r="I15" i="8"/>
  <c r="I44" i="8"/>
  <c r="F53" i="1"/>
  <c r="G55" i="1"/>
  <c r="C53" i="4"/>
  <c r="BC53" i="4"/>
  <c r="F12" i="23"/>
  <c r="D16" i="23"/>
  <c r="C44" i="28"/>
  <c r="E44" i="28"/>
  <c r="F44" i="28"/>
  <c r="J44" i="28"/>
  <c r="J48" i="28"/>
  <c r="J52" i="28"/>
  <c r="BC441" i="4"/>
  <c r="BC442" i="4"/>
  <c r="BC49" i="4"/>
  <c r="C49" i="4"/>
  <c r="F457" i="1"/>
  <c r="F49" i="1"/>
  <c r="G49" i="1"/>
  <c r="G53" i="1"/>
  <c r="I37" i="8"/>
  <c r="E8" i="9"/>
  <c r="E12" i="9"/>
  <c r="E16" i="9"/>
  <c r="E20" i="9"/>
  <c r="G11" i="8"/>
  <c r="G15" i="8"/>
  <c r="I47" i="8"/>
  <c r="D12" i="23"/>
  <c r="F16" i="23"/>
</calcChain>
</file>

<file path=xl/sharedStrings.xml><?xml version="1.0" encoding="utf-8"?>
<sst xmlns="http://schemas.openxmlformats.org/spreadsheetml/2006/main" count="2273" uniqueCount="1186">
  <si>
    <t>PER BOOKS</t>
  </si>
  <si>
    <t>ADJUSTED</t>
  </si>
  <si>
    <t>Line</t>
  </si>
  <si>
    <t>COMPANY</t>
  </si>
  <si>
    <t>GOING LEVEL</t>
  </si>
  <si>
    <t xml:space="preserve">HARD CODES  </t>
  </si>
  <si>
    <t>No.</t>
  </si>
  <si>
    <t>Description</t>
  </si>
  <si>
    <t>JURIS</t>
  </si>
  <si>
    <t>ADJUSTMENTS</t>
  </si>
  <si>
    <t>ALLOCATOR</t>
  </si>
  <si>
    <t>TO BE ALLOCATED</t>
  </si>
  <si>
    <t>(1)</t>
  </si>
  <si>
    <t>(2)</t>
  </si>
  <si>
    <t>Operating Revenues - Firm Wholesale Sales of Electricity</t>
  </si>
  <si>
    <t>Provision for Rate Refund</t>
  </si>
  <si>
    <t>Other Electric Operating Revenues</t>
  </si>
  <si>
    <t>Non-Firm Sales Revenues</t>
  </si>
  <si>
    <t xml:space="preserve">  Total Operating Revenues</t>
  </si>
  <si>
    <t>Operation and Maintenance Expenses</t>
  </si>
  <si>
    <t>Power Production</t>
  </si>
  <si>
    <t>Transmission</t>
  </si>
  <si>
    <t>Distribution</t>
  </si>
  <si>
    <t>Customer Accounts</t>
  </si>
  <si>
    <t>Sales Expense</t>
  </si>
  <si>
    <t>Customer Service &amp; Information</t>
  </si>
  <si>
    <t>Administrative and General</t>
  </si>
  <si>
    <t>Undistributed Adjustments</t>
  </si>
  <si>
    <t xml:space="preserve">  Total Operation and Maintenance Expense</t>
  </si>
  <si>
    <t>Depreciation and Amortization Expense</t>
  </si>
  <si>
    <t>Taxes Other than Federal Income Taxes</t>
  </si>
  <si>
    <t>State Income Tax</t>
  </si>
  <si>
    <t>Interest on Customer Deposits</t>
  </si>
  <si>
    <t>Other</t>
  </si>
  <si>
    <t>Net Operating Income Before F.I.T.</t>
  </si>
  <si>
    <t>Federal Income Tax</t>
  </si>
  <si>
    <t xml:space="preserve">  Current Federal Income Tax</t>
  </si>
  <si>
    <t xml:space="preserve">  Deferred Federal Income Tax</t>
  </si>
  <si>
    <t xml:space="preserve">  Deferred Investment Tax Credit</t>
  </si>
  <si>
    <t xml:space="preserve">    Total Federal Income Taxes</t>
  </si>
  <si>
    <t>Operating Income</t>
  </si>
  <si>
    <t>Net Operating Income</t>
  </si>
  <si>
    <t>Electric Plant in Service - Original Cost</t>
  </si>
  <si>
    <t>Accumulated Provision for Depreciation &amp; Amortization</t>
  </si>
  <si>
    <t>Construction Work in Progress</t>
  </si>
  <si>
    <t>Electric Plant Held for Future Use</t>
  </si>
  <si>
    <t>Accumulated Deferred Income Taxes</t>
  </si>
  <si>
    <t>Rate Base</t>
  </si>
  <si>
    <t>`</t>
  </si>
  <si>
    <t>Rate of Return</t>
  </si>
  <si>
    <t>Development of Rate Base</t>
  </si>
  <si>
    <t>Electric Plant in Service</t>
  </si>
  <si>
    <t>Intangible Plant</t>
  </si>
  <si>
    <t>Capitalized Software</t>
  </si>
  <si>
    <t>Direct</t>
  </si>
  <si>
    <t xml:space="preserve">     AFUDC</t>
  </si>
  <si>
    <t>Production Plant</t>
  </si>
  <si>
    <t>Steam Production</t>
  </si>
  <si>
    <t>A310 Land &amp; Land Rights</t>
  </si>
  <si>
    <t>Demand</t>
  </si>
  <si>
    <t>A311 Structures and Improvements</t>
  </si>
  <si>
    <t xml:space="preserve">A312 Boiler Plant Equipment </t>
  </si>
  <si>
    <t>A313 Engines/Engine Driven Gen.</t>
  </si>
  <si>
    <t>A314 Turbogenerator Units</t>
  </si>
  <si>
    <t>A315 Accessory Electric Equip.</t>
  </si>
  <si>
    <t>A316 Misc. Power Plant Equip.</t>
  </si>
  <si>
    <t>A317 ARO Steam Production Plant</t>
  </si>
  <si>
    <t>Nuclear Production</t>
  </si>
  <si>
    <t>A320 Land &amp; Land Rights</t>
  </si>
  <si>
    <t>A321 Structures and Improvements</t>
  </si>
  <si>
    <t xml:space="preserve">A322 Reactor Plant Equipment </t>
  </si>
  <si>
    <t>A323 Turbogenerator Units</t>
  </si>
  <si>
    <t>A324 Accessory Electric Equip.</t>
  </si>
  <si>
    <t>A325 Misc. Power Plant Equipment</t>
  </si>
  <si>
    <t>Hydraulic Production</t>
  </si>
  <si>
    <t>A330 Land &amp; Land Rights(MACSS Cap)</t>
  </si>
  <si>
    <t>A331 Structures and Improvements</t>
  </si>
  <si>
    <t>A333 Water Wheels, Turbines, and Generators</t>
  </si>
  <si>
    <t>A334 Accessory Electric Equipment</t>
  </si>
  <si>
    <t>A335 Miscellaneous Power Plant Equip.</t>
  </si>
  <si>
    <t>A336 Roads, Railroads, and Bridges</t>
  </si>
  <si>
    <t>A337 ARO Hydraulic Production</t>
  </si>
  <si>
    <t>Other Production</t>
  </si>
  <si>
    <t>A340 Land &amp; Land Rights</t>
  </si>
  <si>
    <t>A341 Structures and Improvements</t>
  </si>
  <si>
    <t>A342 Fuel Holder, Producer &amp; Acc</t>
  </si>
  <si>
    <t>A343 Prime Movers</t>
  </si>
  <si>
    <t>A344 Generators</t>
  </si>
  <si>
    <t>A345 Accessory Plant Equipment</t>
  </si>
  <si>
    <t>A346 Misc. Power Plant Equipment</t>
  </si>
  <si>
    <t>FERC AFUDC Adjustment</t>
  </si>
  <si>
    <t>Contra AFUDC Adjustment</t>
  </si>
  <si>
    <t>Transmission Plant</t>
  </si>
  <si>
    <t>A350 Land and Land Rights</t>
  </si>
  <si>
    <t>A352 Structures and Improvements TRAN</t>
  </si>
  <si>
    <t>A353 Station Equipment TRAN</t>
  </si>
  <si>
    <t>A352 Structures and Improvements GEN</t>
  </si>
  <si>
    <t>A353 Station Equipment GEN</t>
  </si>
  <si>
    <t>A354 Towers and Fixtures</t>
  </si>
  <si>
    <t>A355 Poles and Fixtures</t>
  </si>
  <si>
    <t>A356 O.H. Conductors &amp; Devices</t>
  </si>
  <si>
    <t>A358 Underground Conductors</t>
  </si>
  <si>
    <t>A359 Roads and Trails</t>
  </si>
  <si>
    <t>Distribution Plant</t>
  </si>
  <si>
    <t>A360Land and Land Rights</t>
  </si>
  <si>
    <t>A361Structures and Improvements</t>
  </si>
  <si>
    <t>A362Station Equipment</t>
  </si>
  <si>
    <t>A363Storage Battery Equipment</t>
  </si>
  <si>
    <t>A364Poles,Towers &amp; Fixtures Primary</t>
  </si>
  <si>
    <t>A365O.H. Conductors &amp; Devices Primary</t>
  </si>
  <si>
    <t>A366Underground Conduits Primary</t>
  </si>
  <si>
    <t>A367U.G. Conductors &amp; Devices Primary</t>
  </si>
  <si>
    <t>A368Line Transformers Primary</t>
  </si>
  <si>
    <t>A369Services</t>
  </si>
  <si>
    <t>A370Meters</t>
  </si>
  <si>
    <t>A371Install. on Customer Prem.</t>
  </si>
  <si>
    <t>A372Leased Prop. on Cust. Premises</t>
  </si>
  <si>
    <t>A373Street Lights</t>
  </si>
  <si>
    <t>A374ARO</t>
  </si>
  <si>
    <t>General Plant</t>
  </si>
  <si>
    <t>A389Land and Land Rights</t>
  </si>
  <si>
    <t>A390Structures and Improvements</t>
  </si>
  <si>
    <t>A391Office Furniture &amp; Equip.</t>
  </si>
  <si>
    <t>A392Transportation Equipment</t>
  </si>
  <si>
    <t xml:space="preserve">A393Stores Equipment </t>
  </si>
  <si>
    <t>A394Tools, Shop &amp; Garage Equip.</t>
  </si>
  <si>
    <t>A395Laboratory Equipment</t>
  </si>
  <si>
    <t>A396Power Operated Equipment</t>
  </si>
  <si>
    <t>A397Communication Equipment</t>
  </si>
  <si>
    <t>A398Misc. Equipment</t>
  </si>
  <si>
    <t>A399Other Tang. Property</t>
  </si>
  <si>
    <t>39919ARO General Plant</t>
  </si>
  <si>
    <t>Total Plant in Service</t>
  </si>
  <si>
    <t>Less: Reserve for Depreciation/RWIP - Accts 1080001,1080011,1080005</t>
  </si>
  <si>
    <t xml:space="preserve">     Production</t>
  </si>
  <si>
    <t xml:space="preserve">     Transmission Plant</t>
  </si>
  <si>
    <t xml:space="preserve">     Distribution</t>
  </si>
  <si>
    <t xml:space="preserve">     General</t>
  </si>
  <si>
    <t>Less Reserve for Amortization</t>
  </si>
  <si>
    <t>Net Electric Plant in Service</t>
  </si>
  <si>
    <t>Construction Work in Progress - Account 107</t>
  </si>
  <si>
    <t xml:space="preserve">     Intangible</t>
  </si>
  <si>
    <t xml:space="preserve">    AFUDC</t>
  </si>
  <si>
    <t xml:space="preserve">     Transmission</t>
  </si>
  <si>
    <t>Total Construction Work in Progress</t>
  </si>
  <si>
    <t>Completed Construction Not Classified -Acct 106</t>
  </si>
  <si>
    <t xml:space="preserve">    Intangible Plant</t>
  </si>
  <si>
    <t xml:space="preserve">     Production Plant</t>
  </si>
  <si>
    <t xml:space="preserve">     Distribution Plant</t>
  </si>
  <si>
    <t xml:space="preserve">     General Plant</t>
  </si>
  <si>
    <t>Plant Held for Future Use - Acct 105</t>
  </si>
  <si>
    <t xml:space="preserve">     Fuel / Allowance Inventory</t>
  </si>
  <si>
    <t>Energy</t>
  </si>
  <si>
    <t xml:space="preserve">     Production M&amp;S Inventory</t>
  </si>
  <si>
    <t xml:space="preserve">     Transmission M&amp;S Inventory</t>
  </si>
  <si>
    <t xml:space="preserve">     Distribution M&amp;S Inventory</t>
  </si>
  <si>
    <t xml:space="preserve">     Prepaid Pension Benefit</t>
  </si>
  <si>
    <t xml:space="preserve">     Prepaid Other</t>
  </si>
  <si>
    <t>Rate Base Additions (Deductions)</t>
  </si>
  <si>
    <t xml:space="preserve">     Accumulated Deferred Income Taxes, other than Deferred Fuel</t>
  </si>
  <si>
    <t xml:space="preserve">     Unallocated Deferred FIT</t>
  </si>
  <si>
    <t xml:space="preserve">     Deferred Investment Tax Credit</t>
  </si>
  <si>
    <t xml:space="preserve">     Customer Deposits</t>
  </si>
  <si>
    <t xml:space="preserve">     After Tax Effect of ARO </t>
  </si>
  <si>
    <t xml:space="preserve">     Total Rate Base Deductions</t>
  </si>
  <si>
    <t>Total Rate Base</t>
  </si>
  <si>
    <t>Non-Firm Sales:</t>
  </si>
  <si>
    <t xml:space="preserve">     Demand Related </t>
  </si>
  <si>
    <t xml:space="preserve">     Energy Related</t>
  </si>
  <si>
    <t xml:space="preserve">     Unallocated</t>
  </si>
  <si>
    <t>Other Operating Revenues</t>
  </si>
  <si>
    <t xml:space="preserve">     450-Forfeited Discounts</t>
  </si>
  <si>
    <t xml:space="preserve">     451-Miscellaneous Service Revenues</t>
  </si>
  <si>
    <t>Rent from Electric Property</t>
  </si>
  <si>
    <t xml:space="preserve">     4541-Rent-Assoc Cos- Production</t>
  </si>
  <si>
    <t xml:space="preserve">     4541-Rent-Assoc Cos- Transmission</t>
  </si>
  <si>
    <t xml:space="preserve">     4541-Rent-Assoc Cos- Distribution </t>
  </si>
  <si>
    <t xml:space="preserve">     4542-Rent-Non-Assoc Cos- Production</t>
  </si>
  <si>
    <t xml:space="preserve">     4542-Rent-Non-Assoc Cos- Transmission</t>
  </si>
  <si>
    <t xml:space="preserve">     4542-Rent-Non-Assoc Cos- Distribution </t>
  </si>
  <si>
    <t xml:space="preserve">     4540004-Rent-Non-Assoc Cos-ABD Distribution</t>
  </si>
  <si>
    <t xml:space="preserve">     4540004-Rent-Non-Assoc Cos-ABD Transmission</t>
  </si>
  <si>
    <t>Other Electric Revenues</t>
  </si>
  <si>
    <t xml:space="preserve">     456-Other Electric Production</t>
  </si>
  <si>
    <t>Power Production Expenses</t>
  </si>
  <si>
    <t xml:space="preserve"> Steam Generation Expenses</t>
  </si>
  <si>
    <t xml:space="preserve">     500-Supervision  &amp; Engineering</t>
  </si>
  <si>
    <t xml:space="preserve">     503-Steam other Sources</t>
  </si>
  <si>
    <t xml:space="preserve">     504-Steam Transferred Credit</t>
  </si>
  <si>
    <t xml:space="preserve">     505-Electric</t>
  </si>
  <si>
    <t xml:space="preserve">     506-Misc. Steam Power Expenses</t>
  </si>
  <si>
    <t xml:space="preserve">     507-Rents</t>
  </si>
  <si>
    <t xml:space="preserve">     509-Allowances</t>
  </si>
  <si>
    <t xml:space="preserve">          Total Steam Operation</t>
  </si>
  <si>
    <t xml:space="preserve">     510-Supervision &amp; Engineering</t>
  </si>
  <si>
    <t xml:space="preserve">     511-Structures</t>
  </si>
  <si>
    <t xml:space="preserve">     512-Boiler Plant</t>
  </si>
  <si>
    <t xml:space="preserve">     513-Electric Plant</t>
  </si>
  <si>
    <t xml:space="preserve">     514-Misc Steam Plant</t>
  </si>
  <si>
    <t xml:space="preserve">     Total Steam Generation Expense</t>
  </si>
  <si>
    <t>Other Power Supply Expense</t>
  </si>
  <si>
    <t xml:space="preserve">     555-Purchased Power Expense Demand</t>
  </si>
  <si>
    <t xml:space="preserve">     555-Purchased Power Expense Energy</t>
  </si>
  <si>
    <t xml:space="preserve">     556-Sys Control &amp; Load Dispatching</t>
  </si>
  <si>
    <t xml:space="preserve">     557- Other Expenses</t>
  </si>
  <si>
    <t xml:space="preserve">         Total Other Power Supply Expense</t>
  </si>
  <si>
    <t xml:space="preserve">   Total Production O&amp;M Expense</t>
  </si>
  <si>
    <t>Transmission Expense</t>
  </si>
  <si>
    <t xml:space="preserve">     560-Supervision &amp; Engineering</t>
  </si>
  <si>
    <t xml:space="preserve">     562-Station Equipment</t>
  </si>
  <si>
    <t xml:space="preserve">     563-Overhead Lines</t>
  </si>
  <si>
    <t xml:space="preserve">     564-Underground Lines</t>
  </si>
  <si>
    <t xml:space="preserve">     566-Misc Transmission</t>
  </si>
  <si>
    <t xml:space="preserve">     567-Rents</t>
  </si>
  <si>
    <t xml:space="preserve">   Total Transmission Operation Expense</t>
  </si>
  <si>
    <t>Transmission Maintenance</t>
  </si>
  <si>
    <t xml:space="preserve">     568-Supervision &amp; Engineering</t>
  </si>
  <si>
    <t xml:space="preserve">     569-Structures</t>
  </si>
  <si>
    <t xml:space="preserve">     570-Station Equipment</t>
  </si>
  <si>
    <t xml:space="preserve">     571-Overhead Lines</t>
  </si>
  <si>
    <t xml:space="preserve">     572-Underground Lines</t>
  </si>
  <si>
    <t xml:space="preserve">     573-Misc Transmission Expenses</t>
  </si>
  <si>
    <t xml:space="preserve">     575- PJM Admin</t>
  </si>
  <si>
    <t xml:space="preserve">   Total Transmission Maintenance Expense</t>
  </si>
  <si>
    <t xml:space="preserve">   Total Transmission O&amp;M Expense</t>
  </si>
  <si>
    <t>Distribution Expense</t>
  </si>
  <si>
    <t xml:space="preserve">     580-Supervision &amp; Engineering</t>
  </si>
  <si>
    <t xml:space="preserve">     581-Load Dispatching</t>
  </si>
  <si>
    <t xml:space="preserve">     582-Station Equipment</t>
  </si>
  <si>
    <t xml:space="preserve">     583-Overhead Lines</t>
  </si>
  <si>
    <t xml:space="preserve">     584-Underground Lines</t>
  </si>
  <si>
    <t xml:space="preserve">     585-Street &amp; Area Lighting</t>
  </si>
  <si>
    <t xml:space="preserve">     586-Meters</t>
  </si>
  <si>
    <t xml:space="preserve">     587-Customer Installations</t>
  </si>
  <si>
    <t xml:space="preserve">     588-Misc Distribution </t>
  </si>
  <si>
    <t xml:space="preserve">     589-Rents</t>
  </si>
  <si>
    <t xml:space="preserve">     590-Supervision &amp; Engineering</t>
  </si>
  <si>
    <t xml:space="preserve">     591-Structures</t>
  </si>
  <si>
    <t xml:space="preserve">     592-Station Equipment</t>
  </si>
  <si>
    <t xml:space="preserve">     593-Overhead Lines</t>
  </si>
  <si>
    <t xml:space="preserve">     593-Forestry Direct Assigned</t>
  </si>
  <si>
    <t xml:space="preserve">     594-Underground Lines</t>
  </si>
  <si>
    <t xml:space="preserve">     595-Line Transformers</t>
  </si>
  <si>
    <t xml:space="preserve">     596-Street &amp; Area Lighting</t>
  </si>
  <si>
    <t xml:space="preserve">     597-Meters</t>
  </si>
  <si>
    <t xml:space="preserve">     598-Misc Distribution Plant</t>
  </si>
  <si>
    <t xml:space="preserve">     Total Distribution Expense</t>
  </si>
  <si>
    <t>Customer Accounts Expense</t>
  </si>
  <si>
    <t xml:space="preserve">     901-Supervision &amp; Engineering</t>
  </si>
  <si>
    <t xml:space="preserve">     902-Meter Reading</t>
  </si>
  <si>
    <t xml:space="preserve">     903-Customer Records &amp; Collection Expense</t>
  </si>
  <si>
    <t xml:space="preserve">     9040000-Uncollectable Accounts</t>
  </si>
  <si>
    <t xml:space="preserve">     9040007-Uncollectible Misc Receivables</t>
  </si>
  <si>
    <t xml:space="preserve">     905-Misc Customer Accounts</t>
  </si>
  <si>
    <t>Customer Information Expense</t>
  </si>
  <si>
    <t xml:space="preserve">     907-Supervision</t>
  </si>
  <si>
    <t xml:space="preserve">     908-Customer Assistance</t>
  </si>
  <si>
    <t xml:space="preserve">     909-Information &amp; Instruction</t>
  </si>
  <si>
    <t xml:space="preserve">     910-Misc Customer Service</t>
  </si>
  <si>
    <t>Customer Service</t>
  </si>
  <si>
    <t xml:space="preserve">     911-Supervision</t>
  </si>
  <si>
    <t xml:space="preserve">     912-Demo &amp; Selling</t>
  </si>
  <si>
    <t xml:space="preserve">     913-Advertising</t>
  </si>
  <si>
    <t xml:space="preserve">     916-Misc SALES Expense</t>
  </si>
  <si>
    <t>Administrative &amp; General Expense</t>
  </si>
  <si>
    <t xml:space="preserve">     920-Salaries</t>
  </si>
  <si>
    <t xml:space="preserve">     921-Office Supplies</t>
  </si>
  <si>
    <t xml:space="preserve">     922-Administrative Expense Transferred</t>
  </si>
  <si>
    <t xml:space="preserve">     923-Outside Services</t>
  </si>
  <si>
    <t xml:space="preserve">     924-Property Insurance</t>
  </si>
  <si>
    <t xml:space="preserve">     925-Injuries &amp; Damages</t>
  </si>
  <si>
    <t xml:space="preserve">     926-Employee Pension &amp; Benefits</t>
  </si>
  <si>
    <t xml:space="preserve">     9260057 Post Ret Medicare Subsidy Direct</t>
  </si>
  <si>
    <t xml:space="preserve">     927-Franchise Requirements</t>
  </si>
  <si>
    <t xml:space="preserve">     928-Regulatory Commission Expense Allocated</t>
  </si>
  <si>
    <t xml:space="preserve">     930.1-General Advertising Expense</t>
  </si>
  <si>
    <t xml:space="preserve">     930.2-Misc General Expense</t>
  </si>
  <si>
    <t xml:space="preserve">     931-Rent</t>
  </si>
  <si>
    <t xml:space="preserve">     935-Admin &amp; General Maintenance</t>
  </si>
  <si>
    <t xml:space="preserve">     9350015 - Software License Deferral</t>
  </si>
  <si>
    <t xml:space="preserve">     Total Admin &amp; General Expense</t>
  </si>
  <si>
    <t>Depreciation Expense</t>
  </si>
  <si>
    <t xml:space="preserve">      Production</t>
  </si>
  <si>
    <t xml:space="preserve">     Transmission Excl. GSU's</t>
  </si>
  <si>
    <t xml:space="preserve">     Transmission - GSU's</t>
  </si>
  <si>
    <t>Amortization Expense</t>
  </si>
  <si>
    <t xml:space="preserve">     Intangible Plant</t>
  </si>
  <si>
    <t>Regulatory Debits</t>
  </si>
  <si>
    <t>Taxes Other than F.I.T.</t>
  </si>
  <si>
    <t>Current Payroll Taxes</t>
  </si>
  <si>
    <t xml:space="preserve">     FICA</t>
  </si>
  <si>
    <t xml:space="preserve">     Fed Unemployment</t>
  </si>
  <si>
    <t xml:space="preserve">     State Unemployment</t>
  </si>
  <si>
    <t xml:space="preserve"> Real and Personal Property Tax</t>
  </si>
  <si>
    <t>Net Plant</t>
  </si>
  <si>
    <t>Sales &amp; Use</t>
  </si>
  <si>
    <t>Regis Fee</t>
  </si>
  <si>
    <t>Business Franchise Taxes</t>
  </si>
  <si>
    <t>Federal Excise</t>
  </si>
  <si>
    <t>Taxes on Capital Leases</t>
  </si>
  <si>
    <t>Interest On Customer Deposits</t>
  </si>
  <si>
    <t>Other Expense Items</t>
  </si>
  <si>
    <t>G/L Disp. Of Util Plant Gain Disp. Of Util Plant 4116000</t>
  </si>
  <si>
    <t>Loss Disp. Of Util Plant 4117000</t>
  </si>
  <si>
    <t>Accretion 4110005</t>
  </si>
  <si>
    <t>A/R Factoring</t>
  </si>
  <si>
    <t>431-Other Interest Expense</t>
  </si>
  <si>
    <t xml:space="preserve">     Total Other</t>
  </si>
  <si>
    <t>Income Taxes</t>
  </si>
  <si>
    <t>Current Federal Income Taxes</t>
  </si>
  <si>
    <t>Deferred Federal Income Taxes</t>
  </si>
  <si>
    <t>Deferred Investment Tax Credit</t>
  </si>
  <si>
    <t xml:space="preserve">     Total Income Taxes</t>
  </si>
  <si>
    <t>Production</t>
  </si>
  <si>
    <t>KPCo TOTAL</t>
  </si>
  <si>
    <t>Operating Revenues - Sale of Electricity</t>
  </si>
  <si>
    <t>Operating Revenues - Sales of Electricity</t>
  </si>
  <si>
    <t xml:space="preserve">     5010005-Def Fuel</t>
  </si>
  <si>
    <t xml:space="preserve">     561-Load Dispatching</t>
  </si>
  <si>
    <t xml:space="preserve">     5930010 Storm Expense Amortization</t>
  </si>
  <si>
    <t xml:space="preserve">     928- Rate Case Expense</t>
  </si>
  <si>
    <t xml:space="preserve">    Reg Debits - 4073000</t>
  </si>
  <si>
    <t>Municipal License</t>
  </si>
  <si>
    <t>P.S.C.</t>
  </si>
  <si>
    <t>Current/Deferred State Income Tax</t>
  </si>
  <si>
    <t>ITC Adjustment</t>
  </si>
  <si>
    <t>AFUDC Offset</t>
  </si>
  <si>
    <t>Prov-Leased Assets - Capital Leases 1011006</t>
  </si>
  <si>
    <t>Capital Leases Acct 1011001</t>
  </si>
  <si>
    <t>Accrued Capital Leases Acct 1011012</t>
  </si>
  <si>
    <t>KENTUCKY POWER COMPANY</t>
  </si>
  <si>
    <t>LINE       NO.</t>
  </si>
  <si>
    <t>DESCRIPTION</t>
  </si>
  <si>
    <t>FACTOR</t>
  </si>
  <si>
    <t>RETAIL</t>
  </si>
  <si>
    <t>SOURCE</t>
  </si>
  <si>
    <t>Production Demand</t>
  </si>
  <si>
    <t>PDAF</t>
  </si>
  <si>
    <t>Transmission Demand</t>
  </si>
  <si>
    <t>TDAF</t>
  </si>
  <si>
    <t>EAF</t>
  </si>
  <si>
    <t>Gross Plant Transmission</t>
  </si>
  <si>
    <t>GP-TRANS</t>
  </si>
  <si>
    <t>Gross Plant Distribution</t>
  </si>
  <si>
    <t>GP-DIST</t>
  </si>
  <si>
    <t>Gross Plant - T&amp;D</t>
  </si>
  <si>
    <t>GP-T&amp;D</t>
  </si>
  <si>
    <t>Gross Plant - PTD</t>
  </si>
  <si>
    <t>GP-PTD</t>
  </si>
  <si>
    <t>Gross Plant - Total</t>
  </si>
  <si>
    <t>GP-TOT</t>
  </si>
  <si>
    <t>NP</t>
  </si>
  <si>
    <t>O&amp;M Expense</t>
  </si>
  <si>
    <t>O&amp;M</t>
  </si>
  <si>
    <t>O&amp;M Labor</t>
  </si>
  <si>
    <t>OML</t>
  </si>
  <si>
    <t>Operating Revenue</t>
  </si>
  <si>
    <t>OP-REV</t>
  </si>
  <si>
    <t>SPECIFIC</t>
  </si>
  <si>
    <t>N/A</t>
  </si>
  <si>
    <t>JURIS ONLY</t>
  </si>
  <si>
    <t>KENTUCKY PSC</t>
  </si>
  <si>
    <t>NON-KY P.S.C</t>
  </si>
  <si>
    <t>PDAF / EAF</t>
  </si>
  <si>
    <t>Operating Revenues - Wholesale Sales of Electricity</t>
  </si>
  <si>
    <t>System Sales Clause</t>
  </si>
  <si>
    <t>Labor - OML</t>
  </si>
  <si>
    <t>Regional Market Expenses</t>
  </si>
  <si>
    <t xml:space="preserve">     Electric Plant In Service - Net</t>
  </si>
  <si>
    <t>Prepayments</t>
  </si>
  <si>
    <t>Materials &amp; Supplies</t>
  </si>
  <si>
    <t>Cash Working Capital</t>
  </si>
  <si>
    <t xml:space="preserve">     Customer Advances</t>
  </si>
  <si>
    <t>Specific</t>
  </si>
  <si>
    <t xml:space="preserve">     Total Power Production</t>
  </si>
  <si>
    <t xml:space="preserve">     Transmission Expense</t>
  </si>
  <si>
    <t xml:space="preserve">     Total Customer Related Expense</t>
  </si>
  <si>
    <t xml:space="preserve">     Total A&amp;G Expense</t>
  </si>
  <si>
    <t xml:space="preserve">     501-Fuel Delivered and Consumed</t>
  </si>
  <si>
    <t xml:space="preserve">     501-Fuel Other</t>
  </si>
  <si>
    <t>State Income Tax Rate</t>
  </si>
  <si>
    <t>Federal Income Tax Rate</t>
  </si>
  <si>
    <t xml:space="preserve">  ITC Adjustment</t>
  </si>
  <si>
    <t>KY PSC JURIS</t>
  </si>
  <si>
    <t xml:space="preserve">     Total Transmission Expense</t>
  </si>
  <si>
    <t xml:space="preserve">     Total Power Production Expense</t>
  </si>
  <si>
    <t xml:space="preserve">     Total Admin.&amp; General Expense</t>
  </si>
  <si>
    <t>Labor - OML / SPECIFIC</t>
  </si>
  <si>
    <t>Kentucky Power Company</t>
  </si>
  <si>
    <r>
      <t xml:space="preserve">Acct       </t>
    </r>
    <r>
      <rPr>
        <u/>
        <sz val="10"/>
        <rFont val="Arial"/>
        <family val="2"/>
      </rPr>
      <t>No.</t>
    </r>
  </si>
  <si>
    <t>Expense</t>
  </si>
  <si>
    <t>Supervision &amp; Engineering</t>
  </si>
  <si>
    <t>Fuel</t>
  </si>
  <si>
    <t>Fuel Expense Deferred</t>
  </si>
  <si>
    <t>Steam Expense</t>
  </si>
  <si>
    <t>Electric Expense</t>
  </si>
  <si>
    <t>Misc Steam Power Expense</t>
  </si>
  <si>
    <t>Rents</t>
  </si>
  <si>
    <t>Steam Generation Maintenance</t>
  </si>
  <si>
    <t>514 &amp; 515</t>
  </si>
  <si>
    <t>Maintenance of Structures</t>
  </si>
  <si>
    <t>Maintenance of Boiler Plant</t>
  </si>
  <si>
    <t>Maintenance of Electric Plant</t>
  </si>
  <si>
    <t>Maintenance of Miscellaneous Steam</t>
  </si>
  <si>
    <t>Total Steam Power O &amp; M</t>
  </si>
  <si>
    <t>Total Steam Generation - Maintenance</t>
  </si>
  <si>
    <t>Total KPCo O&amp;M Expense Per Books</t>
  </si>
  <si>
    <t>Total O&amp;M Payroll</t>
  </si>
  <si>
    <t>A&amp;G Excluding Regulation</t>
  </si>
  <si>
    <t>Restated Expense</t>
  </si>
  <si>
    <t>Non-Jurisdictional</t>
  </si>
  <si>
    <t>Customer Account Expense</t>
  </si>
  <si>
    <t>Customer Services</t>
  </si>
  <si>
    <t>A &amp; G Regulatory</t>
  </si>
  <si>
    <t>A &amp; G Other</t>
  </si>
  <si>
    <t>Total Operating &amp; Maintenance Expense</t>
  </si>
  <si>
    <t>Operations</t>
  </si>
  <si>
    <t>Maintenance</t>
  </si>
  <si>
    <t>Distribution Operations Expense</t>
  </si>
  <si>
    <t>Distribution Maintenance Expense</t>
  </si>
  <si>
    <t>Purchased</t>
  </si>
  <si>
    <t>System Pool</t>
  </si>
  <si>
    <t>Total Purchased Power</t>
  </si>
  <si>
    <t>Less:</t>
  </si>
  <si>
    <t>System Sales / Resale</t>
  </si>
  <si>
    <t>System Sales/Resale's - Associated Companies</t>
  </si>
  <si>
    <t>Transmission Charges</t>
  </si>
  <si>
    <t>Total System Sales</t>
  </si>
  <si>
    <t>Backup Energy</t>
  </si>
  <si>
    <t xml:space="preserve">Total </t>
  </si>
  <si>
    <t>Purchased Power</t>
  </si>
  <si>
    <t>Capacity</t>
  </si>
  <si>
    <t>Total</t>
  </si>
  <si>
    <t>MONTHLY BOOK CREDITS</t>
  </si>
  <si>
    <t>ALLOWANCE FOR FUNDS USED DURING CONSTRUCTION (AFUDC) - CREDITS</t>
  </si>
  <si>
    <r>
      <t xml:space="preserve">LINE             </t>
    </r>
    <r>
      <rPr>
        <u/>
        <sz val="10"/>
        <rFont val="Arial"/>
        <family val="2"/>
      </rPr>
      <t>NO.</t>
    </r>
  </si>
  <si>
    <t>MONTH</t>
  </si>
  <si>
    <r>
      <t xml:space="preserve">432         </t>
    </r>
    <r>
      <rPr>
        <u/>
        <sz val="10"/>
        <rFont val="Arial"/>
        <family val="2"/>
      </rPr>
      <t>Borrowed</t>
    </r>
  </si>
  <si>
    <r>
      <t xml:space="preserve">419               </t>
    </r>
    <r>
      <rPr>
        <u/>
        <sz val="10"/>
        <rFont val="Arial"/>
        <family val="2"/>
      </rPr>
      <t>Other</t>
    </r>
  </si>
  <si>
    <r>
      <t xml:space="preserve">Total             </t>
    </r>
    <r>
      <rPr>
        <u/>
        <sz val="10"/>
        <rFont val="Arial"/>
        <family val="2"/>
      </rPr>
      <t>AFUDC</t>
    </r>
  </si>
  <si>
    <t>April</t>
  </si>
  <si>
    <t xml:space="preserve"> 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</si>
  <si>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</si>
  <si>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</si>
  <si>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</si>
  <si>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</si>
  <si>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</si>
  <si>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</si>
  <si>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</si>
  <si>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</si>
  <si>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</si>
  <si>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</si>
  <si>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</si>
  <si>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-------------</t>
  </si>
  <si>
    <t>TOTAL</t>
  </si>
  <si>
    <t>=======</t>
  </si>
  <si>
    <t>=========</t>
  </si>
  <si>
    <t xml:space="preserve">    Total Operating Revenues</t>
  </si>
  <si>
    <t xml:space="preserve">    Total Operation and Maintenance Expense</t>
  </si>
  <si>
    <t xml:space="preserve">    Electric Plant In Service - Net</t>
  </si>
  <si>
    <t xml:space="preserve">    Total Intangible Plant</t>
  </si>
  <si>
    <t xml:space="preserve">    Total Steam Production</t>
  </si>
  <si>
    <t xml:space="preserve">    Total Nuclear Production</t>
  </si>
  <si>
    <t xml:space="preserve">    Total  Hydraulic Production</t>
  </si>
  <si>
    <t xml:space="preserve">    Total Other Production</t>
  </si>
  <si>
    <t xml:space="preserve">    Total Production Plant</t>
  </si>
  <si>
    <t xml:space="preserve">    Total Transmission Plant</t>
  </si>
  <si>
    <t xml:space="preserve">    Total Distribution Plant</t>
  </si>
  <si>
    <t xml:space="preserve">    Total General Plant</t>
  </si>
  <si>
    <t xml:space="preserve">    Total Capital Leases</t>
  </si>
  <si>
    <t xml:space="preserve">     Total Transmission Plant</t>
  </si>
  <si>
    <t xml:space="preserve">     Total Distribution Plant</t>
  </si>
  <si>
    <t xml:space="preserve">     Total General Plant</t>
  </si>
  <si>
    <t xml:space="preserve">     Total Reserve for Amortization</t>
  </si>
  <si>
    <t xml:space="preserve">     Total Production Plant</t>
  </si>
  <si>
    <t xml:space="preserve">     Total Prov-Leased Assets</t>
  </si>
  <si>
    <t xml:space="preserve">     Total Plant Held for Future Use</t>
  </si>
  <si>
    <t xml:space="preserve">     Total Completed Construction Not Classified</t>
  </si>
  <si>
    <t xml:space="preserve">     Total Non-Firm Sales</t>
  </si>
  <si>
    <t xml:space="preserve">     Total Rent from Electric Property</t>
  </si>
  <si>
    <t xml:space="preserve">     Total Other Electric Revenues</t>
  </si>
  <si>
    <t xml:space="preserve">     Total Other Operating Revenues</t>
  </si>
  <si>
    <t xml:space="preserve">     Total Operating Revenues</t>
  </si>
  <si>
    <t xml:space="preserve">     Total Steam Operation</t>
  </si>
  <si>
    <t xml:space="preserve">     Total Steam Maintenance</t>
  </si>
  <si>
    <t xml:space="preserve">     Total Other Power Supply Expense</t>
  </si>
  <si>
    <t xml:space="preserve">     Total Production O&amp;M Expense</t>
  </si>
  <si>
    <t xml:space="preserve">     Total Transmission Operation Expense</t>
  </si>
  <si>
    <t xml:space="preserve">     Total Transmission Maintenance Expense</t>
  </si>
  <si>
    <t xml:space="preserve">     Total Transmission O&amp;M Expense</t>
  </si>
  <si>
    <t xml:space="preserve">     Total Distribution Operation</t>
  </si>
  <si>
    <t xml:space="preserve">     Total Distribution Maintenance</t>
  </si>
  <si>
    <t xml:space="preserve">     Total Customer Accounts</t>
  </si>
  <si>
    <t xml:space="preserve">     Total Customer Information</t>
  </si>
  <si>
    <t xml:space="preserve">     Total Customer Service</t>
  </si>
  <si>
    <t xml:space="preserve">     Total Admin &amp; General Operation</t>
  </si>
  <si>
    <t xml:space="preserve">     Total Operation &amp; Maint Exp</t>
  </si>
  <si>
    <t xml:space="preserve">        Subtotal</t>
  </si>
  <si>
    <t xml:space="preserve">     Total Cash Working Capital</t>
  </si>
  <si>
    <t xml:space="preserve">     Total Depreciation Expense</t>
  </si>
  <si>
    <t xml:space="preserve">     Total Amortization Expense</t>
  </si>
  <si>
    <t xml:space="preserve">     Total Regulatory Debits</t>
  </si>
  <si>
    <t xml:space="preserve">     Total Depreciation &amp; Amortization Expense</t>
  </si>
  <si>
    <t xml:space="preserve">     Total Payroll Related Tax</t>
  </si>
  <si>
    <t xml:space="preserve">     Total Taxes Other than F.I.T.</t>
  </si>
  <si>
    <t xml:space="preserve">     Total Acc Prov Depreciation and Amortization</t>
  </si>
  <si>
    <t xml:space="preserve">     Total Materials &amp; Supplies</t>
  </si>
  <si>
    <t xml:space="preserve">     Total Prepayments</t>
  </si>
  <si>
    <t xml:space="preserve">     Total Intangible Plant</t>
  </si>
  <si>
    <t xml:space="preserve">     Total Steam Production</t>
  </si>
  <si>
    <t xml:space="preserve">     Total Nuclear Production</t>
  </si>
  <si>
    <t xml:space="preserve">     Total  Hydraulic Production</t>
  </si>
  <si>
    <t xml:space="preserve">     Total Other Production</t>
  </si>
  <si>
    <t xml:space="preserve">     Total Capital Leases</t>
  </si>
  <si>
    <t>Real and Personal Property Tax</t>
  </si>
  <si>
    <t>System Sales Adjusted</t>
  </si>
  <si>
    <t>SECTION   V</t>
  </si>
  <si>
    <t>FULLY ADJUSTED BASE CASE SUMMARY</t>
  </si>
  <si>
    <t>SCHEDULE   1</t>
  </si>
  <si>
    <r>
      <t xml:space="preserve">LINE   </t>
    </r>
    <r>
      <rPr>
        <u/>
        <sz val="10"/>
        <rFont val="Arial"/>
        <family val="2"/>
      </rPr>
      <t>NO.</t>
    </r>
  </si>
  <si>
    <r>
      <t xml:space="preserve">BASE CASE PSC </t>
    </r>
    <r>
      <rPr>
        <u/>
        <sz val="10"/>
        <rFont val="Arial"/>
        <family val="2"/>
      </rPr>
      <t>JURISDICTION</t>
    </r>
  </si>
  <si>
    <r>
      <t xml:space="preserve">PROPOSED </t>
    </r>
    <r>
      <rPr>
        <u/>
        <sz val="10"/>
        <rFont val="Arial"/>
        <family val="2"/>
      </rPr>
      <t>CHANGE</t>
    </r>
  </si>
  <si>
    <r>
      <t xml:space="preserve">ADJUSTED PSC </t>
    </r>
    <r>
      <rPr>
        <u/>
        <sz val="10"/>
        <rFont val="Arial"/>
        <family val="2"/>
      </rPr>
      <t>JURISDICTION</t>
    </r>
  </si>
  <si>
    <t>Operating Revenues</t>
  </si>
  <si>
    <t>Sales Of Electricity</t>
  </si>
  <si>
    <t>--------------------</t>
  </si>
  <si>
    <t>Total Operating Revenues</t>
  </si>
  <si>
    <t>Operating Expenses</t>
  </si>
  <si>
    <t>Operation &amp; Maintenance</t>
  </si>
  <si>
    <t>Depreciation</t>
  </si>
  <si>
    <t>Taxes Other Than Income Taxes</t>
  </si>
  <si>
    <t>Federal Income Tax :</t>
  </si>
  <si>
    <t xml:space="preserve">       Current</t>
  </si>
  <si>
    <t xml:space="preserve">       Deferred</t>
  </si>
  <si>
    <t xml:space="preserve">       ITC Adjustment</t>
  </si>
  <si>
    <t>Total Operating Expenses</t>
  </si>
  <si>
    <t>AFUDC Offset Adjustment / Deferred Income</t>
  </si>
  <si>
    <t xml:space="preserve">Net Electric Operating Income - Adjusted  </t>
  </si>
  <si>
    <t>============</t>
  </si>
  <si>
    <t>Capitalization</t>
  </si>
  <si>
    <t>Change in Revenue Requirement</t>
  </si>
  <si>
    <t>Rate of Return (WP S-2, Pg 1, L 5, Col 6)</t>
  </si>
  <si>
    <t>SECTION V</t>
  </si>
  <si>
    <t>SCHEDULE 2</t>
  </si>
  <si>
    <t>Line       No.</t>
  </si>
  <si>
    <t xml:space="preserve">Percent of                  Incremental                          Gross Revenues </t>
  </si>
  <si>
    <t>---------------------</t>
  </si>
  <si>
    <t>Required Net Electric Operating Income (L1 X L2)</t>
  </si>
  <si>
    <t>Net Electric Operating Income Change (L3 - L4)</t>
  </si>
  <si>
    <t>Gross Revenue Conversion Factor (Per WP S-2, Pg 2, L 9)</t>
  </si>
  <si>
    <t>Change in Revenue Requirement (L5 X L6) Increase / (Decrease)</t>
  </si>
  <si>
    <t>*</t>
  </si>
  <si>
    <t>===========</t>
  </si>
  <si>
    <t>WORKPAPER S-2</t>
  </si>
  <si>
    <t>Reapportioned</t>
  </si>
  <si>
    <t>Annual</t>
  </si>
  <si>
    <t>Weighted</t>
  </si>
  <si>
    <t>Kentucky</t>
  </si>
  <si>
    <t>Percentage</t>
  </si>
  <si>
    <t>Cost</t>
  </si>
  <si>
    <t>Average</t>
  </si>
  <si>
    <t>Jurisdictional</t>
  </si>
  <si>
    <t>of</t>
  </si>
  <si>
    <t>Capital   1/</t>
  </si>
  <si>
    <t>Rate</t>
  </si>
  <si>
    <t>Percent</t>
  </si>
  <si>
    <t>(6) = (4) X (5)</t>
  </si>
  <si>
    <t>Long Term Debt</t>
  </si>
  <si>
    <t>2/</t>
  </si>
  <si>
    <t>Short Term Debt</t>
  </si>
  <si>
    <t>3/</t>
  </si>
  <si>
    <t>Common Equity</t>
  </si>
  <si>
    <t>-------------------</t>
  </si>
  <si>
    <t>==========</t>
  </si>
  <si>
    <t>1/</t>
  </si>
  <si>
    <t>PAGE 2 OF 3</t>
  </si>
  <si>
    <t>Less: Uncollectible Accounts Expense   1/</t>
  </si>
  <si>
    <t>KPSC Maintenance Fee</t>
  </si>
  <si>
    <t>Income Before income Taxes</t>
  </si>
  <si>
    <t>Income Before Federal Income Taxes</t>
  </si>
  <si>
    <t>Operating Income Percentage</t>
  </si>
  <si>
    <t>Gross Revenue Conversion Factor (100% / L8)</t>
  </si>
  <si>
    <t>1/   Per Workpaper S-2, Page 3, Col 5, Line 5</t>
  </si>
  <si>
    <t>2/   State Income Tax Effective Rate Calculations</t>
  </si>
  <si>
    <t>Apportionment Factor</t>
  </si>
  <si>
    <t>----------------</t>
  </si>
  <si>
    <t>State Income Tax Rate - KY</t>
  </si>
  <si>
    <t>Effective Kentucky State Income Tax Rate</t>
  </si>
  <si>
    <t>State Income Tax Rate - WV</t>
  </si>
  <si>
    <t>Effective West Virginia State Income Tax Rate</t>
  </si>
  <si>
    <t>Total Effective State Income Tax Rate</t>
  </si>
  <si>
    <t>PAGE 3 OF 3</t>
  </si>
  <si>
    <t>Electric       Revenues</t>
  </si>
  <si>
    <t>Account-Net       Charged Off</t>
  </si>
  <si>
    <t>Percent of Electric       Revenues</t>
  </si>
  <si>
    <t>Three Year Average</t>
  </si>
  <si>
    <t>CAPITALIZATION</t>
  </si>
  <si>
    <t>FRECO</t>
  </si>
  <si>
    <t>Non</t>
  </si>
  <si>
    <t>PER BOOK</t>
  </si>
  <si>
    <t>A/C 124</t>
  </si>
  <si>
    <t>Utility</t>
  </si>
  <si>
    <t>BALANCE</t>
  </si>
  <si>
    <t>Adjustment</t>
  </si>
  <si>
    <t>Property</t>
  </si>
  <si>
    <t>Sub-Total</t>
  </si>
  <si>
    <t>($000)</t>
  </si>
  <si>
    <t>Net Proceeds</t>
  </si>
  <si>
    <t>Cost of</t>
  </si>
  <si>
    <t>Original</t>
  </si>
  <si>
    <t>on Principal</t>
  </si>
  <si>
    <t>Debt</t>
  </si>
  <si>
    <t xml:space="preserve">Average </t>
  </si>
  <si>
    <t>Principal</t>
  </si>
  <si>
    <t>Discount</t>
  </si>
  <si>
    <t>Amt. Based on</t>
  </si>
  <si>
    <t>Net</t>
  </si>
  <si>
    <t>Effective</t>
  </si>
  <si>
    <t>Current</t>
  </si>
  <si>
    <t>Based on</t>
  </si>
  <si>
    <t>Name</t>
  </si>
  <si>
    <t>Ln</t>
  </si>
  <si>
    <t>Interest</t>
  </si>
  <si>
    <t>Date of</t>
  </si>
  <si>
    <t>Term</t>
  </si>
  <si>
    <t>Amount</t>
  </si>
  <si>
    <t>(Prem) &amp;</t>
  </si>
  <si>
    <t>Original Prem.</t>
  </si>
  <si>
    <t>Proceed</t>
  </si>
  <si>
    <t xml:space="preserve">Carrying </t>
  </si>
  <si>
    <t xml:space="preserve">Cost of </t>
  </si>
  <si>
    <t>No</t>
  </si>
  <si>
    <t>Rate (%)</t>
  </si>
  <si>
    <t>Offering</t>
  </si>
  <si>
    <t>Maturity</t>
  </si>
  <si>
    <t>Issued</t>
  </si>
  <si>
    <t>(Disc) &amp; Exp</t>
  </si>
  <si>
    <t>Ratio</t>
  </si>
  <si>
    <t>Outstanding</t>
  </si>
  <si>
    <t>Value</t>
  </si>
  <si>
    <t>Issuer</t>
  </si>
  <si>
    <t>KPCo</t>
  </si>
  <si>
    <t>Subtotal</t>
  </si>
  <si>
    <t>Senior Notes</t>
  </si>
  <si>
    <t>Senior Unsecured Notes</t>
  </si>
  <si>
    <t>Total Kentucky Power</t>
  </si>
  <si>
    <t>WORKPAPER S-3</t>
  </si>
  <si>
    <t>PAGE 2 OF 4</t>
  </si>
  <si>
    <t>Month</t>
  </si>
  <si>
    <t>Year</t>
  </si>
  <si>
    <t>Notes Payable                        Outstanding at                                                   End of Month</t>
  </si>
  <si>
    <t>---------------</t>
  </si>
  <si>
    <t>Average Borrowings Outstanding During the Period</t>
  </si>
  <si>
    <t>Weighted Average Interest Rate of Borrowings</t>
  </si>
  <si>
    <t xml:space="preserve">       Outstanding During the Period (Ln 15 / Ln 14)</t>
  </si>
  <si>
    <t>========</t>
  </si>
  <si>
    <t>Line No.</t>
  </si>
  <si>
    <t xml:space="preserve">     502-Steam / Consumables</t>
  </si>
  <si>
    <t>(5)</t>
  </si>
  <si>
    <t>(6)</t>
  </si>
  <si>
    <t>Customers</t>
  </si>
  <si>
    <t>CUST.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</si>
  <si>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</si>
  <si>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</si>
  <si>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</si>
  <si>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</si>
  <si>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</si>
  <si>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</si>
  <si>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</si>
  <si>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</si>
  <si>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</si>
  <si>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</si>
  <si>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</si>
  <si>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</si>
  <si>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</si>
  <si>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Date of MW Peak</t>
  </si>
  <si>
    <t>TOTAL /</t>
  </si>
  <si>
    <t>Hour of MW Peak</t>
  </si>
  <si>
    <t>1600</t>
  </si>
  <si>
    <t>0800</t>
  </si>
  <si>
    <t>AVERAGE</t>
  </si>
  <si>
    <t>------------------</t>
  </si>
  <si>
    <t>Kentucky Peaks - Max. Load (MW)   *</t>
  </si>
  <si>
    <t>System Sales Excluding Losses</t>
  </si>
  <si>
    <t xml:space="preserve">       Loss %</t>
  </si>
  <si>
    <t>System Sales Including Losses</t>
  </si>
  <si>
    <t>Municipals (FERC Jurisdiction)</t>
  </si>
  <si>
    <t>Olive Hill, Excluding Losses</t>
  </si>
  <si>
    <t>Olive Hill, Including Losses</t>
  </si>
  <si>
    <t>Vanceburg, Excluding Losses</t>
  </si>
  <si>
    <t>Vanceburg, Including Losses</t>
  </si>
  <si>
    <t>Total Municipals Including Losses</t>
  </si>
  <si>
    <t>Allocation Factor (FERC Jurisdictional)</t>
  </si>
  <si>
    <t>/</t>
  </si>
  <si>
    <t>=</t>
  </si>
  <si>
    <t>Retail (KY Jurisdictional) Load</t>
  </si>
  <si>
    <t>Allocation Factor (KPSC Jurisdictional)</t>
  </si>
  <si>
    <t>Kentucky Power Company Internal Load plus System Sales at time of Internal Peak.</t>
  </si>
  <si>
    <t>MWH</t>
  </si>
  <si>
    <r>
      <t xml:space="preserve">% LOSS       </t>
    </r>
    <r>
      <rPr>
        <u/>
        <sz val="10"/>
        <rFont val="Arial"/>
        <family val="2"/>
      </rPr>
      <t>FACTOR</t>
    </r>
  </si>
  <si>
    <r>
      <t xml:space="preserve">MWH       </t>
    </r>
    <r>
      <rPr>
        <u/>
        <sz val="10"/>
        <rFont val="Arial"/>
        <family val="2"/>
      </rPr>
      <t>LOSSES</t>
    </r>
  </si>
  <si>
    <r>
      <t xml:space="preserve">MWH W /       </t>
    </r>
    <r>
      <rPr>
        <u/>
        <sz val="10"/>
        <rFont val="Arial"/>
        <family val="2"/>
      </rPr>
      <t>LOSSES</t>
    </r>
  </si>
  <si>
    <t xml:space="preserve">Transmission - </t>
  </si>
  <si>
    <t>Firm Sales - Vanceburg</t>
  </si>
  <si>
    <t xml:space="preserve">Distribution - </t>
  </si>
  <si>
    <t>Firm Sales - Olive Hill</t>
  </si>
  <si>
    <r>
      <t xml:space="preserve">TOTAL       </t>
    </r>
    <r>
      <rPr>
        <u/>
        <sz val="10"/>
        <rFont val="Arial"/>
        <family val="2"/>
      </rPr>
      <t xml:space="preserve">COMPANY       </t>
    </r>
  </si>
  <si>
    <t>ELIMINATION</t>
  </si>
  <si>
    <r>
      <t xml:space="preserve">TOTAL       COMPANY       </t>
    </r>
    <r>
      <rPr>
        <u/>
        <sz val="10"/>
        <rFont val="Arial"/>
        <family val="2"/>
      </rPr>
      <t>ADJUSTED</t>
    </r>
  </si>
  <si>
    <r>
      <t xml:space="preserve">CITY OF       </t>
    </r>
    <r>
      <rPr>
        <u/>
        <sz val="10"/>
        <rFont val="Arial"/>
        <family val="2"/>
      </rPr>
      <t>OLIVE HILL</t>
    </r>
  </si>
  <si>
    <r>
      <t xml:space="preserve">CITY OF       </t>
    </r>
    <r>
      <rPr>
        <u/>
        <sz val="10"/>
        <rFont val="Arial"/>
        <family val="2"/>
      </rPr>
      <t>VANCEBURG</t>
    </r>
  </si>
  <si>
    <r>
      <t xml:space="preserve">TOTAL       </t>
    </r>
    <r>
      <rPr>
        <u/>
        <sz val="10"/>
        <rFont val="Arial"/>
        <family val="2"/>
      </rPr>
      <t>RETAIL</t>
    </r>
  </si>
  <si>
    <t>Sources of Energy</t>
  </si>
  <si>
    <t>Generation</t>
  </si>
  <si>
    <t>Purchases</t>
  </si>
  <si>
    <t>Net interchange</t>
  </si>
  <si>
    <t>Total Sources</t>
  </si>
  <si>
    <t>Disposition of Energy</t>
  </si>
  <si>
    <t>Sales / Ultimate Customers</t>
  </si>
  <si>
    <t>Sales for Resale</t>
  </si>
  <si>
    <t>Firm Sales (Mun.) - Olive Hill</t>
  </si>
  <si>
    <t>Firm Sales (Mun.) - Vanceburg</t>
  </si>
  <si>
    <t>Total Sales / Resale                                                   (LINES 10+11+12)</t>
  </si>
  <si>
    <t>Energy Losses</t>
  </si>
  <si>
    <t>Total Disposition                                                         (LINES 8+9+13+14)</t>
  </si>
  <si>
    <t>Allocation Factor</t>
  </si>
  <si>
    <t>City of Olive Hill</t>
  </si>
  <si>
    <t>City of Vanceburg</t>
  </si>
  <si>
    <t xml:space="preserve">Year </t>
  </si>
  <si>
    <t>Loss Factors by System</t>
  </si>
  <si>
    <t>% Demand</t>
  </si>
  <si>
    <t>% Energy</t>
  </si>
  <si>
    <r>
      <t xml:space="preserve"> Cumulative (Composite)</t>
    </r>
    <r>
      <rPr>
        <sz val="10"/>
        <rFont val="Arial"/>
        <family val="2"/>
      </rPr>
      <t xml:space="preserve"> Loss  Expansion Factors (1)</t>
    </r>
  </si>
  <si>
    <t>System</t>
  </si>
  <si>
    <t>Loss</t>
  </si>
  <si>
    <t>Subtransmission</t>
  </si>
  <si>
    <t xml:space="preserve">Distribution Substation Trxfrs - 69kV (1) </t>
  </si>
  <si>
    <t>Composite                             Loss</t>
  </si>
  <si>
    <r>
      <t>Notes:</t>
    </r>
    <r>
      <rPr>
        <sz val="10"/>
        <rFont val="Arial"/>
        <family val="2"/>
      </rPr>
      <t xml:space="preserve">  </t>
    </r>
  </si>
  <si>
    <t>(1) Composite Loss Factors are applicable to load metered at respective delivery point to determine losses back to the generator.</t>
  </si>
  <si>
    <t xml:space="preserve">  </t>
  </si>
  <si>
    <t>Allocated</t>
  </si>
  <si>
    <t xml:space="preserve">     Subtotal Gross Plant     GP-TOT</t>
  </si>
  <si>
    <t>State Business Occup Taxes</t>
  </si>
  <si>
    <t>G/L Disp. Of Allowances 411.8</t>
  </si>
  <si>
    <t>Exclude FERC RQ</t>
  </si>
  <si>
    <t>Pollution Control Bond</t>
  </si>
  <si>
    <t>=============</t>
  </si>
  <si>
    <t>Weather Normalization</t>
  </si>
  <si>
    <t xml:space="preserve">     Subtotal Gross Plant     GP-PTD</t>
  </si>
  <si>
    <t xml:space="preserve">     Subtotal Gross Plant     GP-TRANS</t>
  </si>
  <si>
    <t xml:space="preserve">     Subtotal Gross Plant     GP-DIST</t>
  </si>
  <si>
    <t xml:space="preserve">     Subtotal Gross Plant     GP-T&amp;D</t>
  </si>
  <si>
    <t>CUST</t>
  </si>
  <si>
    <t>Accretion 4111005</t>
  </si>
  <si>
    <t>AFUDC Offset - Production</t>
  </si>
  <si>
    <t>AFUDC Offset - Transmission</t>
  </si>
  <si>
    <t>AFUDC Offset - Distribution</t>
  </si>
  <si>
    <t>AFUDC Offset - General</t>
  </si>
  <si>
    <t xml:space="preserve">     456-Other Electric LSE Charge - Retail Demand</t>
  </si>
  <si>
    <t xml:space="preserve">     456-Other Electric LSE Charge - Retail Energy</t>
  </si>
  <si>
    <t xml:space="preserve">     456-Other Electric Non-Juris</t>
  </si>
  <si>
    <t xml:space="preserve">     456-Other Electric Transmission EKPC</t>
  </si>
  <si>
    <t xml:space="preserve">     456-Other Electric TO Revenues</t>
  </si>
  <si>
    <t xml:space="preserve">     456-Other Electric Distribution ABD</t>
  </si>
  <si>
    <t xml:space="preserve">     456-Other Electric Revenues DSM</t>
  </si>
  <si>
    <t xml:space="preserve">     565  Transmission by Others</t>
  </si>
  <si>
    <t xml:space="preserve">     565  LSE Transmission Purchases - Retail Demand</t>
  </si>
  <si>
    <t>4310007-Other Interest Expense</t>
  </si>
  <si>
    <t>Acct 4190005</t>
  </si>
  <si>
    <t>Acct 4300003</t>
  </si>
  <si>
    <t>Mitchell FGD</t>
  </si>
  <si>
    <t>From Base to</t>
  </si>
  <si>
    <t>Environmental</t>
  </si>
  <si>
    <t xml:space="preserve"> CP Demand</t>
  </si>
  <si>
    <t>CP Demand</t>
  </si>
  <si>
    <t xml:space="preserve">     561-Load Dispatching - PJM</t>
  </si>
  <si>
    <t xml:space="preserve">     561-Load Dispatching - Company</t>
  </si>
  <si>
    <t>Removal</t>
  </si>
  <si>
    <t xml:space="preserve">     Subtotal O&amp;M Labor - OML</t>
  </si>
  <si>
    <t>Total Construction Work in Progress Less AFUDC</t>
  </si>
  <si>
    <t>Total  AFUDC</t>
  </si>
  <si>
    <t>Other Including Customer Deposits</t>
  </si>
  <si>
    <t>Schedule M Adjustment  ---  Addback &lt;Deduct&gt;</t>
  </si>
  <si>
    <t>Normalization %</t>
  </si>
  <si>
    <t>HR-J Post in Service AFUDC</t>
  </si>
  <si>
    <t>Accum. Dep. On ARO Assets</t>
  </si>
  <si>
    <t>KPCO DEMAND ALLOCATION FACTORS</t>
  </si>
  <si>
    <t>KPCO ENERGY ALLOCATION FACTORS</t>
  </si>
  <si>
    <t>KPCO JURISDICTIONAL ALLOCATION FACTORS</t>
  </si>
  <si>
    <t>Schedule 9</t>
  </si>
  <si>
    <t>Schedule 10</t>
  </si>
  <si>
    <t>Schedule 9                                (Vanceburg)</t>
  </si>
  <si>
    <t>Schedule 9                                (Olive Hill)</t>
  </si>
  <si>
    <t>Schedule 10                                (Olive Hill)</t>
  </si>
  <si>
    <t>Schedule 10                                (Vanceburg)</t>
  </si>
  <si>
    <t>Sch 9</t>
  </si>
  <si>
    <t>Sch 10</t>
  </si>
  <si>
    <t>Sch 4, Line 425</t>
  </si>
  <si>
    <t>Sch 4, Line 423</t>
  </si>
  <si>
    <t>Sch 4, Line 167</t>
  </si>
  <si>
    <t>Sch 4, Line 169</t>
  </si>
  <si>
    <t>Sch 4, Line 171</t>
  </si>
  <si>
    <t>Sch 4, Line 173</t>
  </si>
  <si>
    <t>Sch 4, Line 39</t>
  </si>
  <si>
    <t>Total Operating Revenue</t>
  </si>
  <si>
    <r>
      <t xml:space="preserve">Monthly               Debt                          Rate                  </t>
    </r>
    <r>
      <rPr>
        <u/>
        <sz val="10"/>
        <rFont val="Arial"/>
        <family val="2"/>
      </rPr>
      <t>Applicable</t>
    </r>
  </si>
  <si>
    <r>
      <t xml:space="preserve">Monthly               Equity                        Rate                  </t>
    </r>
    <r>
      <rPr>
        <u/>
        <sz val="10"/>
        <rFont val="Arial"/>
        <family val="2"/>
      </rPr>
      <t>Applicable</t>
    </r>
  </si>
  <si>
    <r>
      <t>ENERGY</t>
    </r>
    <r>
      <rPr>
        <u/>
        <sz val="10"/>
        <rFont val="Arial"/>
        <family val="2"/>
      </rPr>
      <t xml:space="preserve"> LOSS CALCULATIONS</t>
    </r>
  </si>
  <si>
    <t>A&amp;G Allocators</t>
  </si>
  <si>
    <t>Non-KY P.S.C. Juris</t>
  </si>
  <si>
    <t xml:space="preserve">     565  LSE Transmission Purchases - Retail Energy</t>
  </si>
  <si>
    <t xml:space="preserve">     565  Transmission Purchases - Non-Juris</t>
  </si>
  <si>
    <t xml:space="preserve">     508-IPP Operations</t>
  </si>
  <si>
    <t xml:space="preserve">     501-Gas Reservation Fee</t>
  </si>
  <si>
    <t>Kentucky Internal Peak Load</t>
  </si>
  <si>
    <t xml:space="preserve">TOTAL       Non Retail Jurisdiction       </t>
  </si>
  <si>
    <t>LSE OATT Charges - Retail Demand 565&amp;456</t>
  </si>
  <si>
    <t>LSE OATT Charges - Retail Energy 565&amp;456</t>
  </si>
  <si>
    <t>Trans COS - Demand</t>
  </si>
  <si>
    <t>Transmission Owner PJM Revenue</t>
  </si>
  <si>
    <t>CITY OF       HAMILTON</t>
  </si>
  <si>
    <t>Pension and OPEB Expense</t>
  </si>
  <si>
    <t>Employee Related Group Benefit Expenses</t>
  </si>
  <si>
    <t>Total Incentive Compensation &amp; Payroll Adjustments</t>
  </si>
  <si>
    <t>O&amp;M Expense Interest on Customer Deposits</t>
  </si>
  <si>
    <t>Remove Non-Recoverable Business Expenses</t>
  </si>
  <si>
    <t>PJM LSE OATT Expense</t>
  </si>
  <si>
    <t>System Sales Clause - reset OSS Margin Baseline</t>
  </si>
  <si>
    <t>NERC Compliance &amp; Cyber Security</t>
  </si>
  <si>
    <t>Consumables</t>
  </si>
  <si>
    <t>Decommissioning Rider Removal</t>
  </si>
  <si>
    <t>Environmental Surcharge Revenue Sync - remove FGD revenue, sync non-FGD revenue, remove deferrals</t>
  </si>
  <si>
    <t>ALLOCATED</t>
  </si>
  <si>
    <t xml:space="preserve"> Adjustments</t>
  </si>
  <si>
    <t>Kentucky Jurisdiction</t>
  </si>
  <si>
    <t>KY Retail</t>
  </si>
  <si>
    <t xml:space="preserve">     565  LSE Transmission Purchases </t>
  </si>
  <si>
    <t>Olive Hill Substation</t>
  </si>
  <si>
    <t>Retail bad debt amount acct 4265010</t>
  </si>
  <si>
    <t>565 Trans by Others</t>
  </si>
  <si>
    <t>A&amp;G</t>
  </si>
  <si>
    <t>Schedules 6, 9 and 10</t>
  </si>
  <si>
    <t xml:space="preserve">     Accumulated Deferred Income Taxes</t>
  </si>
  <si>
    <t>Property Tax Expense Annualization</t>
  </si>
  <si>
    <t>Non-firm Sales</t>
  </si>
  <si>
    <t>PDAF/EAF</t>
  </si>
  <si>
    <t xml:space="preserve">    Total AFUDC Adjustment</t>
  </si>
  <si>
    <t xml:space="preserve">     Total AFUDC Adjustment</t>
  </si>
  <si>
    <t>Total Rate Base (excluding Cash Working Capital)</t>
  </si>
  <si>
    <t>PAGE 3 OF 4</t>
  </si>
  <si>
    <t>(3)</t>
  </si>
  <si>
    <t>(4)</t>
  </si>
  <si>
    <r>
      <t xml:space="preserve">Ln </t>
    </r>
    <r>
      <rPr>
        <b/>
        <u/>
        <sz val="10"/>
        <rFont val="Arial"/>
        <family val="2"/>
      </rPr>
      <t>No.</t>
    </r>
  </si>
  <si>
    <t>Reference</t>
  </si>
  <si>
    <r>
      <rPr>
        <b/>
        <sz val="10"/>
        <rFont val="Arial"/>
        <family val="2"/>
      </rPr>
      <t>Cumulative Percentage</t>
    </r>
    <r>
      <rPr>
        <b/>
        <u/>
        <sz val="10"/>
        <rFont val="Arial"/>
        <family val="2"/>
      </rPr>
      <t xml:space="preserve"> Increase</t>
    </r>
  </si>
  <si>
    <t xml:space="preserve">Proposed Increase to Revenue Requirement  </t>
  </si>
  <si>
    <t>Section V, Schedule 1, Cell I47</t>
  </si>
  <si>
    <t>REVENUE REQUIREMENT</t>
  </si>
  <si>
    <t>COMPUTATION OF THE GROSS REVENUE</t>
  </si>
  <si>
    <t>CONVERSION FACTOR</t>
  </si>
  <si>
    <t>COMPUTATION OF FACTOR TO BE APPLIED TO ADDITIONAL</t>
  </si>
  <si>
    <t>DETERMINATION OF AN UNCOLLECTIBLE ACCOUNTS</t>
  </si>
  <si>
    <t>ADJUSTMENT TO BE ADDED TO O&amp;M EXPENSE</t>
  </si>
  <si>
    <t>LONG-TERM DEBT</t>
  </si>
  <si>
    <t>SCHEDULE OF SHORT-TERM DEBT</t>
  </si>
  <si>
    <t>ELECTRIC OPERATION &amp; MAINTENANCE EXPENSE</t>
  </si>
  <si>
    <t>ENERGY &amp; CAPACITY CHARGES</t>
  </si>
  <si>
    <t>(1a)</t>
  </si>
  <si>
    <t>Test Year Retail Sales Revenues per Income Statement</t>
  </si>
  <si>
    <t>(1b)</t>
  </si>
  <si>
    <t>Test Year Retail Sales Revenues</t>
  </si>
  <si>
    <t>Section V, Schedule 4, Cell C7</t>
  </si>
  <si>
    <t>Net Electric Operating Income   (Line 4 - Line 12)</t>
  </si>
  <si>
    <t>Test Year Net Electric Operating Income (Per Sch 4, Col 6, Ln 35)</t>
  </si>
  <si>
    <t>Sch 4, Line 175</t>
  </si>
  <si>
    <t>Sch 4, Line 287</t>
  </si>
  <si>
    <t>0700</t>
  </si>
  <si>
    <t xml:space="preserve">April </t>
  </si>
  <si>
    <t>Accrued Capital and Operating Leases Acct 1011012, 1011031, 1011032, 1011036</t>
  </si>
  <si>
    <t xml:space="preserve">     Prepaid Pension Benefit -1650010, 1650035</t>
  </si>
  <si>
    <t>AFUDC Offset - Intangible</t>
  </si>
  <si>
    <t>Sales and Use Tax</t>
  </si>
  <si>
    <t>State Business Occupation Tax</t>
  </si>
  <si>
    <t>Term Loan</t>
  </si>
  <si>
    <t>NERC Compliance</t>
  </si>
  <si>
    <t>Cyber Security</t>
  </si>
  <si>
    <t>Removal of Federal Tax Cut Rider Credits</t>
  </si>
  <si>
    <t>Book to Bill</t>
  </si>
  <si>
    <t xml:space="preserve">Remove PPA Rider Revenue, Expense </t>
  </si>
  <si>
    <t>No Def Fuel</t>
  </si>
  <si>
    <t>No Timing Dif</t>
  </si>
  <si>
    <t>No Timing Diff</t>
  </si>
  <si>
    <t>ETR</t>
  </si>
  <si>
    <t xml:space="preserve">     561-Load Dispatching-PJM</t>
  </si>
  <si>
    <t>Line of Credit Fees</t>
  </si>
  <si>
    <t>ACCOUNTS</t>
  </si>
  <si>
    <t>1060001, 1060007</t>
  </si>
  <si>
    <t>1011012, 1011031, 1011032, 1011036</t>
  </si>
  <si>
    <t>1540001, 1540003, 1540004, 1540006, 1540012,1540013, 1540014, 1540016, 1540022, 1540023</t>
  </si>
  <si>
    <t>1650010, 1650035</t>
  </si>
  <si>
    <t>5010034, 5010040</t>
  </si>
  <si>
    <t>9280002, 9280005</t>
  </si>
  <si>
    <t>4081002, 4081033</t>
  </si>
  <si>
    <t>4081003, 4081034</t>
  </si>
  <si>
    <t>4081007, 4081035</t>
  </si>
  <si>
    <t>408100817, 408100818, 408100819, 408100820</t>
  </si>
  <si>
    <t>408101817, 408101818, 408101819</t>
  </si>
  <si>
    <t>408101718, 408101719</t>
  </si>
  <si>
    <t>9200000, 92000003, 9200005</t>
  </si>
  <si>
    <t>9250000, 9250001, 9250002, 9250006, 9250007, 9250010</t>
  </si>
  <si>
    <t>9302000, 9302003, 9302004, 9302006, 9302007</t>
  </si>
  <si>
    <t>9310001, 9310002, 9310005</t>
  </si>
  <si>
    <t>9110001, 9220002</t>
  </si>
  <si>
    <t>9120000, 9120001, 9120003</t>
  </si>
  <si>
    <t>9130000, 9130001</t>
  </si>
  <si>
    <t>9070000, 9070001</t>
  </si>
  <si>
    <t>9100000, 9100001</t>
  </si>
  <si>
    <t>9010000, 9020000</t>
  </si>
  <si>
    <t>9020002, 9020003</t>
  </si>
  <si>
    <t>9030000, 9300001, 9030002, 9030003, 9030004, 9030005, 9030006, 9030007, 9030009</t>
  </si>
  <si>
    <t>9040007</t>
  </si>
  <si>
    <t>9050000</t>
  </si>
  <si>
    <t>5890001, 5890002</t>
  </si>
  <si>
    <t>5690000, 5691000, 5692000, 5693000</t>
  </si>
  <si>
    <t>5757000, 5757001</t>
  </si>
  <si>
    <t>5612000, 5615000</t>
  </si>
  <si>
    <t>5660000, 5660009, 5660010, 5660011</t>
  </si>
  <si>
    <t>5670001, 5670002</t>
  </si>
  <si>
    <t>5650020, 5650021, 5650060</t>
  </si>
  <si>
    <t>5000000, 5000001</t>
  </si>
  <si>
    <t>5020000, 5020002, 5020003, 5020004, 5020005, 5020007, 5020025</t>
  </si>
  <si>
    <t>5060000, 5060002, 5060003, 5060004, 5060011</t>
  </si>
  <si>
    <t>5010003, 5010012, 5010013, 5010027, 5010028, 5010033</t>
  </si>
  <si>
    <t>5100000, 5100001</t>
  </si>
  <si>
    <t>5140000, 5140025</t>
  </si>
  <si>
    <t>4561002, 4561005, 4561035, 4561060</t>
  </si>
  <si>
    <t>4560001, 4560012</t>
  </si>
  <si>
    <t>4561062, 4561063, 4561064, 4561065, 4561073</t>
  </si>
  <si>
    <t>1010001, 1010008</t>
  </si>
  <si>
    <t>1110001, 1110007</t>
  </si>
  <si>
    <t>1540001, 1540003, 1540013, 1540016</t>
  </si>
  <si>
    <t>1540001, 1540016</t>
  </si>
  <si>
    <t>1540006, 1540012, 1540023</t>
  </si>
  <si>
    <t>1540001, 1540003, 1540004, 1540022</t>
  </si>
  <si>
    <t>4400001, 4400002, 4400005, 4420001, 4420002, 4420004, 4420006, 4420007, 4420013, 4420016, 4440000, 4440002</t>
  </si>
  <si>
    <t>4470027, 4470033, 4470150</t>
  </si>
  <si>
    <t>4470001, 4470006, 4470010, 4470074, 4470081, 4470082, 4470089, 4470098, 4470099, 4470100, 4470103, 4470107, 4470110, 4470112, 4470115, 4470116, 4470126, 4470127, 4470131, 4470143, 4470151, 4470175, 4470176, 4470206, 4470209, 4470214, 4470215, 4470220, 4470221, 4470222</t>
  </si>
  <si>
    <t>4265009, 4265010</t>
  </si>
  <si>
    <t>4091001, 4091002, 4092001, 4092002, 4101001, 4101002, 4102001, 4111001, 411002, 4112001</t>
  </si>
  <si>
    <t>1400</t>
  </si>
  <si>
    <t>0900</t>
  </si>
  <si>
    <t xml:space="preserve">     Special Deposits</t>
  </si>
  <si>
    <t>FERC Trans Rate Case Expense - 9280005</t>
  </si>
  <si>
    <t xml:space="preserve">     549&amp;550-Misc Other Power Generation Expense</t>
  </si>
  <si>
    <t xml:space="preserve">     Other Rate Base</t>
  </si>
  <si>
    <t>Rate Base (Per Sch 1, L 16, Col 5)</t>
  </si>
  <si>
    <t>1340018, 1340048, 1340051, 1340057</t>
  </si>
  <si>
    <t>Construction Work in Progress (excludes AFUDC in CWIP)</t>
  </si>
  <si>
    <t>Customer Advances &amp; Deposits &amp; Other</t>
  </si>
  <si>
    <t>9280000, 9280001, 9280006</t>
  </si>
  <si>
    <t xml:space="preserve">     Customer Advances/Credits</t>
  </si>
  <si>
    <t>2520000, 2530124, 2530050</t>
  </si>
  <si>
    <t xml:space="preserve">Cash Working Capital </t>
  </si>
  <si>
    <t>Description
(a)</t>
  </si>
  <si>
    <t>Adjusted Test Year Amount
(b)</t>
  </si>
  <si>
    <t>Prepayments
(c)</t>
  </si>
  <si>
    <t>Cash Working Capital Amount
(d)</t>
  </si>
  <si>
    <t>Avg. Daily Expense
(e)</t>
  </si>
  <si>
    <t>Revenue Lag Days
(f)</t>
  </si>
  <si>
    <t xml:space="preserve">Expense Lead Days
(g) </t>
  </si>
  <si>
    <t>Net (Lead)/Lag
(h)</t>
  </si>
  <si>
    <t>Working Capital Requirement
(i)</t>
  </si>
  <si>
    <t>RAS Comments</t>
  </si>
  <si>
    <t>Fuel Expense</t>
  </si>
  <si>
    <t xml:space="preserve">Purchased Power </t>
  </si>
  <si>
    <t xml:space="preserve">Operation &amp; Maintenance Expense </t>
  </si>
  <si>
    <t>Link to Adjusted Test-Year Amount included in the following Adjustments:
(1)  KPCo Incentive Compensation Expense Adjustment 
(2) KPCo Annualization of Payroll Expense Adjustment
(3)  KPCo Overtime Related to Employee Merit Increases Adjustment</t>
  </si>
  <si>
    <t xml:space="preserve">Interest on Long Term Debt </t>
  </si>
  <si>
    <t>Federal Excise Taxes</t>
  </si>
  <si>
    <t>Kentucky Sales and Use Tax - Energy Exemption Annual Return</t>
  </si>
  <si>
    <t>Local Street Lighting Fee</t>
  </si>
  <si>
    <t xml:space="preserve">Federal Income Taxes </t>
  </si>
  <si>
    <t xml:space="preserve">           Current </t>
  </si>
  <si>
    <t>Section V Sch 4 -Income Taxes</t>
  </si>
  <si>
    <t xml:space="preserve">           Deferred </t>
  </si>
  <si>
    <t xml:space="preserve">                     Total FIT </t>
  </si>
  <si>
    <t xml:space="preserve">State Income Taxes </t>
  </si>
  <si>
    <t xml:space="preserve">Term Loan </t>
  </si>
  <si>
    <t>pre-tax</t>
  </si>
  <si>
    <t>Remove HEAP/REA Surcharge</t>
  </si>
  <si>
    <t>Working Funds and Other</t>
  </si>
  <si>
    <t xml:space="preserve">     Regulatory Commission Expense (incl 9280006)</t>
  </si>
  <si>
    <t>Schedules 9 and 10</t>
  </si>
  <si>
    <t>Linked into Schedule V (After Tax WACC X Rate base)</t>
  </si>
  <si>
    <t>Veg Management Tree Trimming &amp; Dist Investment</t>
  </si>
  <si>
    <t>DFIT</t>
  </si>
  <si>
    <t>FERC Account 501 - Exclude Regulatory Asset Account 5010005 (Test-Year Book)</t>
  </si>
  <si>
    <t>Total Proforma O&amp;M per Section V - Sch 4 less Proforma Payroll, Fuel Expense, and Purchase Power… Also added customer deposit interest and Business Occ Taxes</t>
  </si>
  <si>
    <t>Payroll</t>
  </si>
  <si>
    <t>Linked into Schedule 4 (Depreciation)</t>
  </si>
  <si>
    <t>Section V Sch 4 (Federal Excise)</t>
  </si>
  <si>
    <t>See w/ps (Sales and Use Tax - Energy Exam)</t>
  </si>
  <si>
    <t>927-Franchise Requirements</t>
  </si>
  <si>
    <t>Property / Real Estate Tax</t>
  </si>
  <si>
    <t>Section V Sch 4 ( Real and Personal Property Tax.)</t>
  </si>
  <si>
    <t>Return</t>
  </si>
  <si>
    <t>See CWC WPS</t>
  </si>
  <si>
    <t>Remove FIT Expenses - Excess Related to Tax Rider</t>
  </si>
  <si>
    <t>DIRECT</t>
  </si>
  <si>
    <t>Total ADIT Adjustment</t>
  </si>
  <si>
    <t>Interest Sync with going level tax</t>
  </si>
  <si>
    <t>4/</t>
  </si>
  <si>
    <t xml:space="preserve">     5930001 Forestry - Tree &amp; Brush Control</t>
  </si>
  <si>
    <t>Federal Unemployment Taxes</t>
  </si>
  <si>
    <t>State Unemployment Taxes - Kentucky</t>
  </si>
  <si>
    <t>State Unemployment Taxes - West Virginia</t>
  </si>
  <si>
    <t>Total Increase  (Ln 2 + Ln 3)</t>
  </si>
  <si>
    <t>Test Year Ended May 31, 2025</t>
  </si>
  <si>
    <t>TEST YEAR ENDED MAY 31, 2025</t>
  </si>
  <si>
    <t>Twelve Months Ended 05/31/2025</t>
  </si>
  <si>
    <t>4491002, 4491003, 4491004, 4491005, 4491006, 4491007</t>
  </si>
  <si>
    <t>5010000, 5010001, 5010019, 5010020, 5010021, 5010031</t>
  </si>
  <si>
    <t>5650012, 5650016, 5650019, 5650021</t>
  </si>
  <si>
    <t>5090000, 5090001, 5090009, 5090013</t>
  </si>
  <si>
    <t>5120000, 5120025, 5120034, 5120037</t>
  </si>
  <si>
    <t>5130000, 5132000, 5133000</t>
  </si>
  <si>
    <t>4118002, 4118003, 4118008</t>
  </si>
  <si>
    <t>A351 Computer Software and Equipment</t>
  </si>
  <si>
    <t>1650001, 1650005, 1650006, 1650009, 165001123, 165001124, 165001125, 165001223, 165001224, 165001225, 1650021, 1650023, 1650041</t>
  </si>
  <si>
    <t>12 Months Ended 5/31/2023</t>
  </si>
  <si>
    <t>12 Months Ended 5/31/2024</t>
  </si>
  <si>
    <t>12 Months Ended 5/31/2025</t>
  </si>
  <si>
    <t xml:space="preserve">     558-Solar and Wind Expense</t>
  </si>
  <si>
    <t>5581000, 5581300, 5581400, 5582000, 5581900, 5587000</t>
  </si>
  <si>
    <t xml:space="preserve">     Total Solar and Wind Expense</t>
  </si>
  <si>
    <t>2024</t>
  </si>
  <si>
    <t>2025</t>
  </si>
  <si>
    <t xml:space="preserve">        KPCo Losses based on Test Year ended May 31, 2025</t>
  </si>
  <si>
    <t>Olive Hill Meters - Stagnant due to Interconnection Agreement per Nerc Compliance</t>
  </si>
  <si>
    <t>Capital Leases Acct 1011001, 1011004</t>
  </si>
  <si>
    <t>JUNE 29, 2024</t>
  </si>
  <si>
    <t>JULY 15, 2024</t>
  </si>
  <si>
    <t>AUG 7, 2024</t>
  </si>
  <si>
    <t>SEPT 22, 2024</t>
  </si>
  <si>
    <t>OCT 17, 2024</t>
  </si>
  <si>
    <t>1700</t>
  </si>
  <si>
    <t>NOV 30, 2024</t>
  </si>
  <si>
    <t>DEC 4, 2024</t>
  </si>
  <si>
    <t>JAN 22, 2025</t>
  </si>
  <si>
    <t>FEB 22, 2025</t>
  </si>
  <si>
    <t>MARCH 3, 2025</t>
  </si>
  <si>
    <t>APRIL 9, 2025</t>
  </si>
  <si>
    <t>MAY 15, 2025</t>
  </si>
  <si>
    <t>Regulatory Debits/Credits</t>
  </si>
  <si>
    <t xml:space="preserve">    Reg Debits/Credits - 407.3, 407.4</t>
  </si>
  <si>
    <t>Cassie Koehler in Corp Finance provides Direct Assign for HRJ and ARO assets</t>
  </si>
  <si>
    <t xml:space="preserve">     935 - Software Deferral</t>
  </si>
  <si>
    <t>Less: Reserve for Depreciation/RWIP - Accts 1080001,1080011,1080005,1080026</t>
  </si>
  <si>
    <t>PPA Direct Assign - 5660009 - from PPA Adj WP on Sch 5</t>
  </si>
  <si>
    <t>PPA Direct Assign - From PPA Adj on Sch 5</t>
  </si>
  <si>
    <t>Remove Pension Settlement Costs from Rate Base</t>
  </si>
  <si>
    <t>Request to Defer and Amortize Direct Pension Settlement Costs</t>
  </si>
  <si>
    <t xml:space="preserve">     565  Transmission Purchases - Non-Juris &amp; Provisions</t>
  </si>
  <si>
    <t>Per workpaper S-3, Page 2, Column 4, Line 16</t>
  </si>
  <si>
    <t>Interest Expense for the Twelve Months Ended 05/31/2025</t>
  </si>
  <si>
    <t>BSDR Direct Assign - from Adj "Remove Tariff D.R Rev and Exp" on sch 5</t>
  </si>
  <si>
    <t>DSM, Econ Dev &amp; HEAP Rider Expense Adjustments on Sch 5</t>
  </si>
  <si>
    <t>Remove Mitchell from Rate Base and Cost of Service</t>
  </si>
  <si>
    <t>Remove Mitchell FGD Operating Expenses</t>
  </si>
  <si>
    <t>Remove Mitchell Plant FGD and Consumable Inventory from Rate Base (Mitchell)</t>
  </si>
  <si>
    <t>Fuel Synch Under (Over) Revenue &amp; Expense</t>
  </si>
  <si>
    <t>Remove DSM Rider Revenue and Expenses</t>
  </si>
  <si>
    <t>Remove Tariff K.E.D.S. Revenues and Expenses</t>
  </si>
  <si>
    <t>Annualization of ARO Depreciation Expense</t>
  </si>
  <si>
    <t>Annualization of ARO Accretion Expense</t>
  </si>
  <si>
    <t>Adjustment to Recognize Accrued Surcharge Revenue Differences</t>
  </si>
  <si>
    <t>Misc Charges Revenue (Increased Charges)</t>
  </si>
  <si>
    <t>Wholesale Load (Due to Ceasing in May 2025)</t>
  </si>
  <si>
    <t>Mitchell Non-ELG Adjustments</t>
  </si>
  <si>
    <t xml:space="preserve">Adjustment to Capital Structure for Securitization </t>
  </si>
  <si>
    <t>Turbine Reservation Fee</t>
  </si>
  <si>
    <t>Vegetation Management</t>
  </si>
  <si>
    <t>ROW Widening</t>
  </si>
  <si>
    <t>Annualize Base Rate Revenues</t>
  </si>
  <si>
    <t>Removal NERC Compliance Cyber Security Net Plant from Rate Base</t>
  </si>
  <si>
    <t>Proposed Mitchell Rider - Year 1</t>
  </si>
  <si>
    <t>Include Adjustments b/w GL and B&amp;A Revenue</t>
  </si>
  <si>
    <t>7032, 7575</t>
  </si>
  <si>
    <t>6017, 6018</t>
  </si>
  <si>
    <t>7326, 7327</t>
  </si>
  <si>
    <t>7329, 7332, 7333, 7334</t>
  </si>
  <si>
    <t>CFIT</t>
  </si>
  <si>
    <t>SIT</t>
  </si>
  <si>
    <t>From the Issuance Advice Letter</t>
  </si>
  <si>
    <t>Principal Amount of Issuance</t>
  </si>
  <si>
    <t>Less: Upfront Financing Costs</t>
  </si>
  <si>
    <t>Less $300,000,000 term loan repayment</t>
  </si>
  <si>
    <t>Less $85,199,814 5/31/25 short term debt balance repayment</t>
  </si>
  <si>
    <t>Amount Available for Dividend</t>
  </si>
  <si>
    <t>4300001, 4300003</t>
  </si>
  <si>
    <t>Acct 4300001 &amp; 4300003</t>
  </si>
  <si>
    <t>ADJ W30-W35</t>
  </si>
  <si>
    <t>Annualization Depreciation/Amortization Expense at Updated Depr. Rates</t>
  </si>
  <si>
    <t>Annualization of Depreciation Expense (Excluding ARO Depreciation) at Current Depr Rates</t>
  </si>
  <si>
    <t>51-A</t>
  </si>
  <si>
    <t>51-B</t>
  </si>
  <si>
    <t>1080001, 1080011, 1080005, 1080013, 1080026</t>
  </si>
  <si>
    <t>1070000, 1070001, 1070007</t>
  </si>
  <si>
    <t>1510001, 1510002, 1510003, 1510020, 1520000, 1581000, 1581003, 1581009, 1581014</t>
  </si>
  <si>
    <t>2350001, 2350003</t>
  </si>
  <si>
    <t>Removing Severance Related Payroll Expenses</t>
  </si>
  <si>
    <t>Net Proceeds Available for Debt/Equity Repayment</t>
  </si>
  <si>
    <t>(I + AA)</t>
  </si>
  <si>
    <t>Case No. 2025-00257</t>
  </si>
  <si>
    <t>Proposed Dividend Amount</t>
  </si>
  <si>
    <t>Schedule 6</t>
  </si>
  <si>
    <t>Section V</t>
  </si>
  <si>
    <t>Schedule 7</t>
  </si>
  <si>
    <t>Schedule 8</t>
  </si>
  <si>
    <t>Allocation Factors</t>
  </si>
  <si>
    <t>Olive Hill-Vanceburg</t>
  </si>
  <si>
    <t>Adjustment W56</t>
  </si>
  <si>
    <t>W56</t>
  </si>
  <si>
    <t>4030001, 4030029, 4030046, 4030047, 4031001, 4040001, 4040007, 4060001</t>
  </si>
  <si>
    <r>
      <t>4560001, 4560007, 4560012, 4560015, 4560043, 4561002, 4561005, 4561006, 4561007, 4561019, 4561028, 4561029, 4561030, 4561033, 4561034, 4561035, 4561036,</t>
    </r>
    <r>
      <rPr>
        <sz val="9"/>
        <rFont val="Arial"/>
        <family val="2"/>
      </rPr>
      <t xml:space="preserve"> 4561045,</t>
    </r>
    <r>
      <rPr>
        <sz val="10"/>
        <rFont val="Arial"/>
        <family val="2"/>
      </rPr>
      <t xml:space="preserve"> 4561058, 4561059, 4561060, 4561061, 4561062, 4561063, 4561064, 4561065, 4561073</t>
    </r>
  </si>
  <si>
    <r>
      <t xml:space="preserve">5570000, 5570007, </t>
    </r>
    <r>
      <rPr>
        <sz val="9"/>
        <rFont val="Arial"/>
        <family val="2"/>
      </rPr>
      <t>5570010, 5570025</t>
    </r>
  </si>
  <si>
    <r>
      <t>5611000, 5613000</t>
    </r>
    <r>
      <rPr>
        <sz val="12"/>
        <rFont val="Arial"/>
        <family val="2"/>
      </rPr>
      <t>,</t>
    </r>
    <r>
      <rPr>
        <sz val="10"/>
        <rFont val="Arial"/>
        <family val="2"/>
      </rPr>
      <t xml:space="preserve"> 5614000, 5614001, 5614007, 5614008, 5614009, 5618000, 5618001</t>
    </r>
  </si>
  <si>
    <t>5920000, 5923000, 5924000</t>
  </si>
  <si>
    <t>9210001, 9210003, 9210004, 9210005, 9210006, 9210020, 9210021, 9210022, 9210023, 9210024, 9210025, 9210026, 9210027, 9210028, 9210030, 9210031, 9210032, 9210033, 9210034, 9210035, 9210036, 9210037,  9210040, 9210041</t>
  </si>
  <si>
    <t>9220000, 9220001, 9220002, 9220004, 9220005</t>
  </si>
  <si>
    <t>9230001, 9230003, 9230024, 9230025, 9230031, 9230034, 9230035, 9230064</t>
  </si>
  <si>
    <t>9260000, 9260001, 9260002, 9260003, 9260004, 9260005, 9260007, 9260009, 9260010, 9260012, 9260014, 9260021, 9260027, 9260036, 9260037, 9260040, 9260042, 9260043, 9260050, 9260051, 9260052, 9260053, 9260055, 9260058, 9260060, 9260062, 9260064</t>
  </si>
  <si>
    <t>9301000, 9301001, 9301002, 9301003, 9301006, 9301007, 9301009, 9301010, 9301012, 9301014, 9301015</t>
  </si>
  <si>
    <t>9350000, 9350001, 9350002, 9350012, 9350013, 9350015, 9350016, 9350017, 9350019, 9350023, 9350024, 9351000. 9352000, 9353000</t>
  </si>
  <si>
    <t>4073000, 4073014, 4074000, 4074025</t>
  </si>
  <si>
    <t xml:space="preserve"> 408100519, 40800520, 408100521, 408100522, 408100523, 408100524</t>
  </si>
  <si>
    <t>408101924, 408101925</t>
  </si>
  <si>
    <t>408102021,408102022,408102023, 408102024, 408102025</t>
  </si>
  <si>
    <t>408100622,408100623, 408100624, 408100625</t>
  </si>
  <si>
    <t>408101424, 408101425</t>
  </si>
  <si>
    <t xml:space="preserve"> 408102922, 408102923, 408102924, 408102925, 408103623, 408103624, 408103625</t>
  </si>
  <si>
    <t>5550074, 5550075, 5550076, 5550123, 5550137, 5550328</t>
  </si>
  <si>
    <t>5550001, 5550023,5550039, 5550040, 5550078, 5550079, 5550080, 5550083, 5550084, 5550094, 5550124, 5550132,  5550153, 5550326, 5550327</t>
  </si>
  <si>
    <t xml:space="preserve"> 4561006, 4561007, 4561018, 4561026, 4561028, 4561029, 4561030, 4561033, 4561034, 4561045, 4561058, 4561059, 4561061</t>
  </si>
  <si>
    <t>2811001, 2821001, 2831001, 2831102, 2831302, 1901001, 1901002</t>
  </si>
  <si>
    <t>A332 Reservoirs, Dams, and Waterways</t>
  </si>
  <si>
    <t>A357 Underground Conduit</t>
  </si>
  <si>
    <t xml:space="preserve">     Total Reserve for Depreciation / RWIP</t>
  </si>
  <si>
    <t xml:space="preserve">     Total Rate Base (excluding Cash Working Capital)</t>
  </si>
  <si>
    <t>Gross Receipts Tax</t>
  </si>
  <si>
    <t>Removal of Pole Rental Revenues and Expense to prior periods</t>
  </si>
  <si>
    <t>Amortization of Storm Expense Reg Assets</t>
  </si>
  <si>
    <t>Non - FAC Eligible Cost Adj</t>
  </si>
  <si>
    <t xml:space="preserve">     4540005 Rent from Elec Prop-Pole Attach</t>
  </si>
  <si>
    <t xml:space="preserve">     456-Other Electric Transmission ABD</t>
  </si>
  <si>
    <t xml:space="preserve">**Source: Lerah Scott, KPCo </t>
  </si>
  <si>
    <t>In Years</t>
  </si>
  <si>
    <t>FERC Account 555 (Test -Year Book plus Rockport Adjustment and Capacity Replacement Adj)</t>
  </si>
  <si>
    <t>Schedule 3, Column 13, Lines 1, 2, 3 &amp; 4</t>
  </si>
  <si>
    <t>Per workpaper S-3, Page 1, Column 14, Line 14</t>
  </si>
  <si>
    <t>PROPOSED COST OF CAPITAL</t>
  </si>
  <si>
    <t>Per Recommendation of Company Witnesses McKenzie/Wiseman</t>
  </si>
  <si>
    <t>Less: State Income Taxes (L4 X 5.0097%)   2/</t>
  </si>
  <si>
    <t>Less: Federal income Taxes (L6 X 21.00%)</t>
  </si>
  <si>
    <t>REVENUES GENERATED BY RATE INCREASE IN</t>
  </si>
  <si>
    <t xml:space="preserve"> (5) = (4) / (3)</t>
  </si>
  <si>
    <t>Storm Damage Expense</t>
  </si>
  <si>
    <t>Rate Case Expense</t>
  </si>
  <si>
    <t>Annualization of Lease Costs</t>
  </si>
  <si>
    <t xml:space="preserve">KPSC Maintenance Assessment                                               </t>
  </si>
  <si>
    <t xml:space="preserve">KPCo AFUDC Offset </t>
  </si>
  <si>
    <t xml:space="preserve">Eliminate Misc Expense        </t>
  </si>
  <si>
    <t xml:space="preserve">Customer Annualization </t>
  </si>
  <si>
    <t>Equity Percentage</t>
  </si>
  <si>
    <t>of Total</t>
  </si>
  <si>
    <t>Debt Percentage</t>
  </si>
  <si>
    <t>Weighted Average</t>
  </si>
  <si>
    <t>Cost of Capital</t>
  </si>
  <si>
    <t>Required Revenue</t>
  </si>
  <si>
    <t>Increase/(Decrease)</t>
  </si>
  <si>
    <t>Revenue Requirement</t>
  </si>
  <si>
    <t>Company's Proposal===========&gt;</t>
  </si>
  <si>
    <t>Hypothetical Reductions/Increases</t>
  </si>
  <si>
    <t>to Common Equity Ratio</t>
  </si>
  <si>
    <t>Estimated Effect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</si>
</sst>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%"/>
    <numFmt numFmtId="167" formatCode="#,##0.0000_);\(#,##0.0000\)"/>
    <numFmt numFmtId="168" formatCode="#,##0.000000"/>
    <numFmt numFmtId="169" formatCode="#,##0.0000000"/>
    <numFmt numFmtId="170" formatCode="#,##0.00000"/>
    <numFmt numFmtId="171" formatCode="_(* #,##0.0_);_(* \(#,##0.0\);&quot;&quot;;_(@_)"/>
    <numFmt numFmtId="172" formatCode="[Blue]#,##0,_);[Red]\(#,##0,\)"/>
    <numFmt numFmtId="173" formatCode="#,##0.000_);\(#,##0.000\)"/>
    <numFmt numFmtId="174" formatCode="#,##0.000"/>
    <numFmt numFmtId="175" formatCode="&quot;$&quot;#,##0"/>
    <numFmt numFmtId="176" formatCode="0.0000%"/>
    <numFmt numFmtId="177" formatCode="0.000000%"/>
    <numFmt numFmtId="178" formatCode="0_);\(0\)"/>
    <numFmt numFmtId="179" formatCode="mm/dd/yy"/>
    <numFmt numFmtId="180" formatCode="_(* #,##0.000_);_(* \(#,##0.000\);_(* &quot;-&quot;??_);_(@_)"/>
    <numFmt numFmtId="181" formatCode="0.0"/>
    <numFmt numFmtId="182" formatCode="_(&quot;$&quot;* #,##0_);_(&quot;$&quot;* \(#,##0\);_(&quot;$&quot;* &quot;-&quot;??_);_(@_)"/>
    <numFmt numFmtId="183" formatCode="#,##0.00000_);\(#,##0.00000\)"/>
    <numFmt numFmtId="184" formatCode="_(* #,##0.0_);_(* \(#,##0.0\);_(* &quot;-&quot;??_);_(@_)"/>
    <numFmt numFmtId="185" formatCode="_(&quot;$&quot;* #,##0.0_);_(&quot;$&quot;* \(#,##0.0\);_(&quot;$&quot;* &quot;-&quot;??_);_(@_)"/>
    <numFmt numFmtId="186" formatCode="#,##0.00000000_);\(#,##0.00000000\)"/>
    <numFmt numFmtId="187" formatCode="0.00000000_);\(0.00000000\)"/>
    <numFmt numFmtId="188" formatCode="#,##0.0_);\(#,##0.0\)"/>
    <numFmt numFmtId="189" formatCode="0.00000%"/>
    <numFmt numFmtId="190" formatCode="_(* #,##0.00000000_);_(* \(#,##0.00000000\);_(* &quot;-&quot;??_);_(@_)"/>
    <numFmt numFmtId="191" formatCode="#,##0.000000_);\(#,##0.000000\)"/>
    <numFmt numFmtId="192" formatCode="0.0000"/>
    <numFmt numFmtId="193" formatCode="#0;&quot;-&quot;#0;#0;_(@_)"/>
    <numFmt numFmtId="194" formatCode="&quot;$&quot;* #,##0_);&quot;$&quot;* \(#,##0\);&quot;$&quot;* &quot;—&quot;_);_(@_)"/>
    <numFmt numFmtId="195" formatCode="#,##0.#######################;\(#,##0.#######################\);&quot;—&quot;;_(@_)"/>
    <numFmt numFmtId="196" formatCode="* #,##0.00;* \(#,##0.00\);* &quot;—&quot;;_(@_)"/>
    <numFmt numFmtId="197" formatCode="* #,##0;* \(#,##0\);* &quot;—&quot;;_(@_)"/>
    <numFmt numFmtId="198" formatCode="#,##0;\(#,##0\);#,##0;_(@_)"/>
    <numFmt numFmtId="199" formatCode="&quot;$&quot;#,##0_);&quot;$&quot;\(#,##0\);&quot;$&quot;#,##0_);_(@_)"/>
    <numFmt numFmtId="200" formatCode="\+0.00%"/>
  </numFmts>
  <fonts count="10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 Unicode MS"/>
      <family val="2"/>
    </font>
    <font>
      <b/>
      <u/>
      <sz val="10"/>
      <name val="Arial"/>
      <family val="2"/>
    </font>
    <font>
      <sz val="8"/>
      <name val="Arial"/>
      <family val="2"/>
    </font>
    <font>
      <sz val="12"/>
      <name val="Arial MT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indexed="9"/>
      <name val="Tahoma"/>
      <family val="2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sz val="10"/>
      <color indexed="20"/>
      <name val="Tahoma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52"/>
      <name val="Tahoma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b/>
      <sz val="10"/>
      <name val="Arial Unicode MS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10"/>
      <color indexed="23"/>
      <name val="Tahoma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0"/>
      <color indexed="17"/>
      <name val="Tahoma"/>
      <family val="2"/>
    </font>
    <font>
      <b/>
      <sz val="15"/>
      <color indexed="62"/>
      <name val="Calibri"/>
      <family val="2"/>
    </font>
    <font>
      <b/>
      <sz val="15"/>
      <color indexed="62"/>
      <name val="Arial"/>
      <family val="2"/>
    </font>
    <font>
      <b/>
      <sz val="15"/>
      <color indexed="56"/>
      <name val="Tahoma"/>
      <family val="2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56"/>
      <name val="Tahoma"/>
      <family val="2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56"/>
      <name val="Tahoma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0"/>
      <color indexed="62"/>
      <name val="Tahoma"/>
      <family val="2"/>
    </font>
    <font>
      <b/>
      <sz val="12"/>
      <color indexed="1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0"/>
      <color indexed="52"/>
      <name val="Tahoma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0"/>
      <color indexed="60"/>
      <name val="Tahoma"/>
      <family val="2"/>
    </font>
    <font>
      <sz val="10"/>
      <color theme="1"/>
      <name val="Arial"/>
      <family val="2"/>
    </font>
    <font>
      <sz val="10"/>
      <color indexed="64"/>
      <name val="Arial"/>
      <family val="2"/>
    </font>
    <font>
      <sz val="8"/>
      <color indexed="48"/>
      <name val="Arial"/>
      <family val="2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0"/>
      <color indexed="63"/>
      <name val="Tahoma"/>
      <family val="2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Tahoma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sz val="10"/>
      <color indexed="10"/>
      <name val="Tahoma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sz val="10"/>
      <name val="Arial MT"/>
    </font>
    <font>
      <sz val="10"/>
      <color rgb="FF000000"/>
      <name val="Arial"/>
      <family val="2"/>
    </font>
    <font>
      <b/>
      <sz val="10"/>
      <color rgb="FFEE2724"/>
      <name val="Arial"/>
      <family val="2"/>
    </font>
    <font>
      <b/>
      <sz val="10"/>
      <color rgb="FF000000"/>
      <name val="Arial"/>
      <family val="2"/>
    </font>
    <font>
      <strike/>
      <sz val="10"/>
      <name val="Arial"/>
      <family val="2"/>
    </font>
    <font>
      <sz val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2469">
    <xf numFmtId="0" fontId="0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6" fillId="3" borderId="0" applyNumberFormat="0" applyBorder="0" applyAlignment="0" applyProtection="0"/>
    <xf numFmtId="0" fontId="25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6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0" applyNumberFormat="0" applyBorder="0" applyAlignment="0" applyProtection="0"/>
    <xf numFmtId="0" fontId="25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6" fillId="7" borderId="0" applyNumberFormat="0" applyBorder="0" applyAlignment="0" applyProtection="0"/>
    <xf numFmtId="0" fontId="25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6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6" fillId="11" borderId="0" applyNumberFormat="0" applyBorder="0" applyAlignment="0" applyProtection="0"/>
    <xf numFmtId="0" fontId="25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5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6" fillId="7" borderId="0" applyNumberFormat="0" applyBorder="0" applyAlignment="0" applyProtection="0"/>
    <xf numFmtId="0" fontId="25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11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6" fillId="15" borderId="0" applyNumberFormat="0" applyBorder="0" applyAlignment="0" applyProtection="0"/>
    <xf numFmtId="0" fontId="25" fillId="15" borderId="0" applyNumberFormat="0" applyBorder="0" applyAlignment="0" applyProtection="0"/>
    <xf numFmtId="0" fontId="24" fillId="15" borderId="0" applyNumberFormat="0" applyBorder="0" applyAlignment="0" applyProtection="0"/>
    <xf numFmtId="0" fontId="27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9" fillId="17" borderId="0" applyNumberFormat="0" applyBorder="0" applyAlignment="0" applyProtection="0"/>
    <xf numFmtId="0" fontId="28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8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8" borderId="0" applyNumberFormat="0" applyBorder="0" applyAlignment="0" applyProtection="0"/>
    <xf numFmtId="0" fontId="28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9" fillId="16" borderId="0" applyNumberFormat="0" applyBorder="0" applyAlignment="0" applyProtection="0"/>
    <xf numFmtId="0" fontId="27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9" borderId="0" applyNumberFormat="0" applyBorder="0" applyAlignment="0" applyProtection="0"/>
    <xf numFmtId="0" fontId="28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9" fillId="20" borderId="0" applyNumberFormat="0" applyBorder="0" applyAlignment="0" applyProtection="0"/>
    <xf numFmtId="0" fontId="28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9" fillId="21" borderId="0" applyNumberFormat="0" applyBorder="0" applyAlignment="0" applyProtection="0"/>
    <xf numFmtId="0" fontId="27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9" fillId="22" borderId="0" applyNumberFormat="0" applyBorder="0" applyAlignment="0" applyProtection="0"/>
    <xf numFmtId="0" fontId="27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18" borderId="0" applyNumberFormat="0" applyBorder="0" applyAlignment="0" applyProtection="0"/>
    <xf numFmtId="0" fontId="28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9" fillId="16" borderId="0" applyNumberFormat="0" applyBorder="0" applyAlignment="0" applyProtection="0"/>
    <xf numFmtId="0" fontId="27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4" borderId="0" applyNumberFormat="0" applyBorder="0" applyAlignment="0" applyProtection="0"/>
    <xf numFmtId="0" fontId="31" fillId="4" borderId="0" applyNumberFormat="0" applyBorder="0" applyAlignment="0" applyProtection="0"/>
    <xf numFmtId="0" fontId="30" fillId="4" borderId="0" applyNumberFormat="0" applyBorder="0" applyAlignment="0" applyProtection="0"/>
    <xf numFmtId="0" fontId="33" fillId="2" borderId="6" applyNumberFormat="0" applyAlignment="0" applyProtection="0"/>
    <xf numFmtId="0" fontId="34" fillId="2" borderId="6" applyNumberFormat="0" applyAlignment="0" applyProtection="0"/>
    <xf numFmtId="0" fontId="34" fillId="2" borderId="6" applyNumberFormat="0" applyAlignment="0" applyProtection="0"/>
    <xf numFmtId="0" fontId="34" fillId="2" borderId="6" applyNumberFormat="0" applyAlignment="0" applyProtection="0"/>
    <xf numFmtId="0" fontId="35" fillId="2" borderId="6" applyNumberFormat="0" applyAlignment="0" applyProtection="0"/>
    <xf numFmtId="0" fontId="36" fillId="10" borderId="7" applyNumberFormat="0" applyAlignment="0" applyProtection="0"/>
    <xf numFmtId="0" fontId="37" fillId="10" borderId="7" applyNumberFormat="0" applyAlignment="0" applyProtection="0"/>
    <xf numFmtId="0" fontId="37" fillId="10" borderId="7" applyNumberFormat="0" applyAlignment="0" applyProtection="0"/>
    <xf numFmtId="0" fontId="37" fillId="10" borderId="7" applyNumberFormat="0" applyAlignment="0" applyProtection="0"/>
    <xf numFmtId="0" fontId="38" fillId="26" borderId="7" applyNumberFormat="0" applyAlignment="0" applyProtection="0"/>
    <xf numFmtId="0" fontId="37" fillId="26" borderId="7" applyNumberFormat="0" applyAlignment="0" applyProtection="0"/>
    <xf numFmtId="0" fontId="36" fillId="26" borderId="7" applyNumberFormat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9" fillId="0" borderId="0" applyFont="0" applyFill="0" applyBorder="0" applyAlignment="0" applyProtection="0"/>
    <xf numFmtId="40" fontId="4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0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0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40" fillId="0" borderId="0" applyFont="0" applyFill="0" applyBorder="0" applyAlignment="0" applyProtection="0"/>
    <xf numFmtId="8" fontId="40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6" fillId="6" borderId="0" applyNumberFormat="0" applyBorder="0" applyAlignment="0" applyProtection="0"/>
    <xf numFmtId="0" fontId="47" fillId="0" borderId="8" applyNumberFormat="0" applyFill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49" fillId="0" borderId="9" applyNumberFormat="0" applyFill="0" applyAlignment="0" applyProtection="0"/>
    <xf numFmtId="0" fontId="50" fillId="0" borderId="9" applyNumberFormat="0" applyFill="0" applyAlignment="0" applyProtection="0"/>
    <xf numFmtId="0" fontId="51" fillId="0" borderId="9" applyNumberFormat="0" applyFill="0" applyAlignment="0" applyProtection="0"/>
    <xf numFmtId="0" fontId="52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4" fillId="0" borderId="11" applyNumberFormat="0" applyFill="0" applyAlignment="0" applyProtection="0"/>
    <xf numFmtId="0" fontId="55" fillId="0" borderId="11" applyNumberFormat="0" applyFill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58" fillId="0" borderId="12" applyNumberFormat="0" applyFill="0" applyAlignment="0" applyProtection="0"/>
    <xf numFmtId="0" fontId="58" fillId="0" borderId="12" applyNumberFormat="0" applyFill="0" applyAlignment="0" applyProtection="0"/>
    <xf numFmtId="0" fontId="58" fillId="0" borderId="12" applyNumberFormat="0" applyFill="0" applyAlignment="0" applyProtection="0"/>
    <xf numFmtId="0" fontId="59" fillId="0" borderId="13" applyNumberFormat="0" applyFill="0" applyAlignment="0" applyProtection="0"/>
    <xf numFmtId="0" fontId="60" fillId="0" borderId="13" applyNumberFormat="0" applyFill="0" applyAlignment="0" applyProtection="0"/>
    <xf numFmtId="0" fontId="61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9" borderId="6" applyNumberFormat="0" applyAlignment="0" applyProtection="0"/>
    <xf numFmtId="0" fontId="63" fillId="9" borderId="6" applyNumberFormat="0" applyAlignment="0" applyProtection="0"/>
    <xf numFmtId="0" fontId="63" fillId="9" borderId="6" applyNumberFormat="0" applyAlignment="0" applyProtection="0"/>
    <xf numFmtId="0" fontId="63" fillId="9" borderId="6" applyNumberFormat="0" applyAlignment="0" applyProtection="0"/>
    <xf numFmtId="0" fontId="64" fillId="9" borderId="6" applyNumberFormat="0" applyAlignment="0" applyProtection="0"/>
    <xf numFmtId="41" fontId="65" fillId="0" borderId="0">
      <alignment horizontal="left"/>
    </xf>
    <xf numFmtId="0" fontId="66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7" fillId="0" borderId="14" applyNumberFormat="0" applyFill="0" applyAlignment="0" applyProtection="0"/>
    <xf numFmtId="0" fontId="68" fillId="0" borderId="14" applyNumberFormat="0" applyFill="0" applyAlignment="0" applyProtection="0"/>
    <xf numFmtId="0" fontId="69" fillId="13" borderId="0" applyNumberFormat="0" applyBorder="0" applyAlignment="0" applyProtection="0"/>
    <xf numFmtId="0" fontId="70" fillId="13" borderId="0" applyNumberFormat="0" applyBorder="0" applyAlignment="0" applyProtection="0"/>
    <xf numFmtId="0" fontId="70" fillId="13" borderId="0" applyNumberFormat="0" applyBorder="0" applyAlignment="0" applyProtection="0"/>
    <xf numFmtId="0" fontId="70" fillId="13" borderId="0" applyNumberFormat="0" applyBorder="0" applyAlignment="0" applyProtection="0"/>
    <xf numFmtId="0" fontId="71" fillId="13" borderId="0" applyNumberFormat="0" applyBorder="0" applyAlignment="0" applyProtection="0"/>
    <xf numFmtId="0" fontId="72" fillId="0" borderId="0"/>
    <xf numFmtId="0" fontId="20" fillId="0" borderId="0"/>
    <xf numFmtId="37" fontId="23" fillId="0" borderId="0"/>
    <xf numFmtId="0" fontId="23" fillId="0" borderId="0"/>
    <xf numFmtId="0" fontId="40" fillId="0" borderId="0"/>
    <xf numFmtId="0" fontId="17" fillId="0" borderId="0"/>
    <xf numFmtId="38" fontId="18" fillId="0" borderId="0"/>
    <xf numFmtId="38" fontId="18" fillId="0" borderId="0"/>
    <xf numFmtId="38" fontId="18" fillId="0" borderId="0"/>
    <xf numFmtId="38" fontId="1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38" fontId="18" fillId="0" borderId="0"/>
    <xf numFmtId="38" fontId="18" fillId="0" borderId="0"/>
    <xf numFmtId="38" fontId="18" fillId="0" borderId="0"/>
    <xf numFmtId="38" fontId="18" fillId="0" borderId="0"/>
    <xf numFmtId="38" fontId="18" fillId="0" borderId="0"/>
    <xf numFmtId="38" fontId="18" fillId="0" borderId="0"/>
    <xf numFmtId="38" fontId="18" fillId="0" borderId="0"/>
    <xf numFmtId="38" fontId="18" fillId="0" borderId="0"/>
    <xf numFmtId="38" fontId="18" fillId="0" borderId="0"/>
    <xf numFmtId="38" fontId="18" fillId="0" borderId="0"/>
    <xf numFmtId="0" fontId="20" fillId="0" borderId="0"/>
    <xf numFmtId="0" fontId="73" fillId="0" borderId="0"/>
    <xf numFmtId="0" fontId="73" fillId="0" borderId="0"/>
    <xf numFmtId="0" fontId="20" fillId="0" borderId="0"/>
    <xf numFmtId="0" fontId="73" fillId="0" borderId="0"/>
    <xf numFmtId="38" fontId="18" fillId="0" borderId="0"/>
    <xf numFmtId="38" fontId="18" fillId="0" borderId="0"/>
    <xf numFmtId="38" fontId="18" fillId="0" borderId="0"/>
    <xf numFmtId="38" fontId="18" fillId="0" borderId="0"/>
    <xf numFmtId="38" fontId="18" fillId="0" borderId="0"/>
    <xf numFmtId="0" fontId="17" fillId="0" borderId="0"/>
    <xf numFmtId="0" fontId="20" fillId="0" borderId="0"/>
    <xf numFmtId="0" fontId="18" fillId="0" borderId="0"/>
    <xf numFmtId="0" fontId="18" fillId="0" borderId="0"/>
    <xf numFmtId="0" fontId="72" fillId="0" borderId="0"/>
    <xf numFmtId="0" fontId="72" fillId="0" borderId="0"/>
    <xf numFmtId="0" fontId="72" fillId="0" borderId="0"/>
    <xf numFmtId="0" fontId="18" fillId="5" borderId="15" applyNumberFormat="0" applyFont="0" applyAlignment="0" applyProtection="0"/>
    <xf numFmtId="0" fontId="18" fillId="5" borderId="6" applyNumberFormat="0" applyFont="0" applyAlignment="0" applyProtection="0"/>
    <xf numFmtId="0" fontId="18" fillId="5" borderId="6" applyNumberFormat="0" applyFont="0" applyAlignment="0" applyProtection="0"/>
    <xf numFmtId="0" fontId="18" fillId="5" borderId="6" applyNumberFormat="0" applyFont="0" applyAlignment="0" applyProtection="0"/>
    <xf numFmtId="0" fontId="18" fillId="5" borderId="6" applyNumberFormat="0" applyFont="0" applyAlignment="0" applyProtection="0"/>
    <xf numFmtId="0" fontId="18" fillId="5" borderId="6" applyNumberFormat="0" applyFont="0" applyAlignment="0" applyProtection="0"/>
    <xf numFmtId="0" fontId="18" fillId="5" borderId="6" applyNumberFormat="0" applyFont="0" applyAlignment="0" applyProtection="0"/>
    <xf numFmtId="0" fontId="18" fillId="5" borderId="6" applyNumberFormat="0" applyFont="0" applyAlignment="0" applyProtection="0"/>
    <xf numFmtId="0" fontId="18" fillId="5" borderId="6" applyNumberFormat="0" applyFont="0" applyAlignment="0" applyProtection="0"/>
    <xf numFmtId="0" fontId="18" fillId="5" borderId="6" applyNumberFormat="0" applyFont="0" applyAlignment="0" applyProtection="0"/>
    <xf numFmtId="0" fontId="18" fillId="5" borderId="6" applyNumberFormat="0" applyFont="0" applyAlignment="0" applyProtection="0"/>
    <xf numFmtId="0" fontId="18" fillId="5" borderId="6" applyNumberFormat="0" applyFont="0" applyAlignment="0" applyProtection="0"/>
    <xf numFmtId="0" fontId="18" fillId="5" borderId="6" applyNumberFormat="0" applyFont="0" applyAlignment="0" applyProtection="0"/>
    <xf numFmtId="0" fontId="18" fillId="5" borderId="6" applyNumberFormat="0" applyFont="0" applyAlignment="0" applyProtection="0"/>
    <xf numFmtId="0" fontId="18" fillId="5" borderId="6" applyNumberFormat="0" applyFont="0" applyAlignment="0" applyProtection="0"/>
    <xf numFmtId="0" fontId="18" fillId="5" borderId="6" applyNumberFormat="0" applyFont="0" applyAlignment="0" applyProtection="0"/>
    <xf numFmtId="0" fontId="18" fillId="5" borderId="6" applyNumberFormat="0" applyFont="0" applyAlignment="0" applyProtection="0"/>
    <xf numFmtId="0" fontId="18" fillId="5" borderId="6" applyNumberFormat="0" applyFont="0" applyAlignment="0" applyProtection="0"/>
    <xf numFmtId="0" fontId="18" fillId="5" borderId="6" applyNumberFormat="0" applyFont="0" applyAlignment="0" applyProtection="0"/>
    <xf numFmtId="0" fontId="18" fillId="5" borderId="6" applyNumberFormat="0" applyFont="0" applyAlignment="0" applyProtection="0"/>
    <xf numFmtId="43" fontId="63" fillId="0" borderId="0"/>
    <xf numFmtId="172" fontId="74" fillId="0" borderId="0"/>
    <xf numFmtId="0" fontId="75" fillId="2" borderId="16" applyNumberFormat="0" applyAlignment="0" applyProtection="0"/>
    <xf numFmtId="0" fontId="76" fillId="2" borderId="16" applyNumberFormat="0" applyAlignment="0" applyProtection="0"/>
    <xf numFmtId="0" fontId="76" fillId="2" borderId="16" applyNumberFormat="0" applyAlignment="0" applyProtection="0"/>
    <xf numFmtId="0" fontId="76" fillId="2" borderId="16" applyNumberFormat="0" applyAlignment="0" applyProtection="0"/>
    <xf numFmtId="0" fontId="77" fillId="2" borderId="16" applyNumberFormat="0" applyAlignment="0" applyProtection="0"/>
    <xf numFmtId="9" fontId="4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0" fillId="0" borderId="0" applyNumberFormat="0" applyFont="0" applyFill="0" applyBorder="0" applyAlignment="0" applyProtection="0">
      <alignment horizontal="left"/>
    </xf>
    <xf numFmtId="0" fontId="40" fillId="0" borderId="0" applyNumberFormat="0" applyFont="0" applyFill="0" applyBorder="0" applyAlignment="0" applyProtection="0">
      <alignment horizontal="left"/>
    </xf>
    <xf numFmtId="0" fontId="40" fillId="0" borderId="0" applyNumberFormat="0" applyFont="0" applyFill="0" applyBorder="0" applyAlignment="0" applyProtection="0">
      <alignment horizontal="left"/>
    </xf>
    <xf numFmtId="0" fontId="40" fillId="0" borderId="0" applyNumberFormat="0" applyFont="0" applyFill="0" applyBorder="0" applyAlignment="0" applyProtection="0">
      <alignment horizontal="left"/>
    </xf>
    <xf numFmtId="0" fontId="40" fillId="0" borderId="0" applyNumberFormat="0" applyFont="0" applyFill="0" applyBorder="0" applyAlignment="0" applyProtection="0">
      <alignment horizontal="left"/>
    </xf>
    <xf numFmtId="0" fontId="40" fillId="0" borderId="0" applyNumberFormat="0" applyFont="0" applyFill="0" applyBorder="0" applyAlignment="0" applyProtection="0">
      <alignment horizontal="left"/>
    </xf>
    <xf numFmtId="0" fontId="40" fillId="0" borderId="0" applyNumberFormat="0" applyFont="0" applyFill="0" applyBorder="0" applyAlignment="0" applyProtection="0">
      <alignment horizontal="left"/>
    </xf>
    <xf numFmtId="0" fontId="40" fillId="0" borderId="0" applyNumberFormat="0" applyFont="0" applyFill="0" applyBorder="0" applyAlignment="0" applyProtection="0">
      <alignment horizontal="left"/>
    </xf>
    <xf numFmtId="0" fontId="40" fillId="0" borderId="0" applyNumberFormat="0" applyFont="0" applyFill="0" applyBorder="0" applyAlignment="0" applyProtection="0">
      <alignment horizontal="left"/>
    </xf>
    <xf numFmtId="15" fontId="40" fillId="0" borderId="0" applyFont="0" applyFill="0" applyBorder="0" applyAlignment="0" applyProtection="0"/>
    <xf numFmtId="15" fontId="40" fillId="0" borderId="0" applyFont="0" applyFill="0" applyBorder="0" applyAlignment="0" applyProtection="0"/>
    <xf numFmtId="15" fontId="40" fillId="0" borderId="0" applyFont="0" applyFill="0" applyBorder="0" applyAlignment="0" applyProtection="0"/>
    <xf numFmtId="15" fontId="40" fillId="0" borderId="0" applyFont="0" applyFill="0" applyBorder="0" applyAlignment="0" applyProtection="0"/>
    <xf numFmtId="15" fontId="40" fillId="0" borderId="0" applyFont="0" applyFill="0" applyBorder="0" applyAlignment="0" applyProtection="0"/>
    <xf numFmtId="15" fontId="40" fillId="0" borderId="0" applyFont="0" applyFill="0" applyBorder="0" applyAlignment="0" applyProtection="0"/>
    <xf numFmtId="15" fontId="40" fillId="0" borderId="0" applyFont="0" applyFill="0" applyBorder="0" applyAlignment="0" applyProtection="0"/>
    <xf numFmtId="15" fontId="40" fillId="0" borderId="0" applyFont="0" applyFill="0" applyBorder="0" applyAlignment="0" applyProtection="0"/>
    <xf numFmtId="15" fontId="40" fillId="0" borderId="0" applyFont="0" applyFill="0" applyBorder="0" applyAlignment="0" applyProtection="0"/>
    <xf numFmtId="4" fontId="40" fillId="0" borderId="0" applyFont="0" applyFill="0" applyBorder="0" applyAlignment="0" applyProtection="0"/>
    <xf numFmtId="4" fontId="40" fillId="0" borderId="0" applyFont="0" applyFill="0" applyBorder="0" applyAlignment="0" applyProtection="0"/>
    <xf numFmtId="4" fontId="40" fillId="0" borderId="0" applyFont="0" applyFill="0" applyBorder="0" applyAlignment="0" applyProtection="0"/>
    <xf numFmtId="4" fontId="40" fillId="0" borderId="0" applyFont="0" applyFill="0" applyBorder="0" applyAlignment="0" applyProtection="0"/>
    <xf numFmtId="4" fontId="40" fillId="0" borderId="0" applyFont="0" applyFill="0" applyBorder="0" applyAlignment="0" applyProtection="0"/>
    <xf numFmtId="4" fontId="40" fillId="0" borderId="0" applyFont="0" applyFill="0" applyBorder="0" applyAlignment="0" applyProtection="0"/>
    <xf numFmtId="4" fontId="40" fillId="0" borderId="0" applyFont="0" applyFill="0" applyBorder="0" applyAlignment="0" applyProtection="0"/>
    <xf numFmtId="4" fontId="40" fillId="0" borderId="0" applyFont="0" applyFill="0" applyBorder="0" applyAlignment="0" applyProtection="0"/>
    <xf numFmtId="4" fontId="40" fillId="0" borderId="0" applyFont="0" applyFill="0" applyBorder="0" applyAlignment="0" applyProtection="0"/>
    <xf numFmtId="0" fontId="78" fillId="0" borderId="17">
      <alignment horizontal="center"/>
    </xf>
    <xf numFmtId="0" fontId="78" fillId="0" borderId="17">
      <alignment horizontal="center"/>
    </xf>
    <xf numFmtId="0" fontId="78" fillId="0" borderId="17">
      <alignment horizontal="center"/>
    </xf>
    <xf numFmtId="0" fontId="78" fillId="0" borderId="17">
      <alignment horizontal="center"/>
    </xf>
    <xf numFmtId="0" fontId="78" fillId="0" borderId="17">
      <alignment horizontal="center"/>
    </xf>
    <xf numFmtId="0" fontId="78" fillId="0" borderId="17">
      <alignment horizontal="center"/>
    </xf>
    <xf numFmtId="0" fontId="78" fillId="0" borderId="17">
      <alignment horizontal="center"/>
    </xf>
    <xf numFmtId="0" fontId="78" fillId="0" borderId="17">
      <alignment horizontal="center"/>
    </xf>
    <xf numFmtId="0" fontId="78" fillId="0" borderId="17">
      <alignment horizontal="center"/>
    </xf>
    <xf numFmtId="0" fontId="78" fillId="0" borderId="17">
      <alignment horizontal="center"/>
    </xf>
    <xf numFmtId="0" fontId="78" fillId="0" borderId="17">
      <alignment horizontal="center"/>
    </xf>
    <xf numFmtId="0" fontId="78" fillId="0" borderId="17">
      <alignment horizontal="center"/>
    </xf>
    <xf numFmtId="0" fontId="78" fillId="0" borderId="17">
      <alignment horizontal="center"/>
    </xf>
    <xf numFmtId="0" fontId="78" fillId="0" borderId="17">
      <alignment horizontal="center"/>
    </xf>
    <xf numFmtId="0" fontId="78" fillId="0" borderId="17">
      <alignment horizontal="center"/>
    </xf>
    <xf numFmtId="0" fontId="78" fillId="0" borderId="17">
      <alignment horizontal="center"/>
    </xf>
    <xf numFmtId="0" fontId="78" fillId="0" borderId="17">
      <alignment horizontal="center"/>
    </xf>
    <xf numFmtId="3" fontId="40" fillId="0" borderId="0" applyFont="0" applyFill="0" applyBorder="0" applyAlignment="0" applyProtection="0"/>
    <xf numFmtId="3" fontId="40" fillId="0" borderId="0" applyFont="0" applyFill="0" applyBorder="0" applyAlignment="0" applyProtection="0"/>
    <xf numFmtId="3" fontId="40" fillId="0" borderId="0" applyFont="0" applyFill="0" applyBorder="0" applyAlignment="0" applyProtection="0"/>
    <xf numFmtId="3" fontId="40" fillId="0" borderId="0" applyFont="0" applyFill="0" applyBorder="0" applyAlignment="0" applyProtection="0"/>
    <xf numFmtId="3" fontId="40" fillId="0" borderId="0" applyFont="0" applyFill="0" applyBorder="0" applyAlignment="0" applyProtection="0"/>
    <xf numFmtId="3" fontId="40" fillId="0" borderId="0" applyFont="0" applyFill="0" applyBorder="0" applyAlignment="0" applyProtection="0"/>
    <xf numFmtId="3" fontId="40" fillId="0" borderId="0" applyFont="0" applyFill="0" applyBorder="0" applyAlignment="0" applyProtection="0"/>
    <xf numFmtId="3" fontId="40" fillId="0" borderId="0" applyFont="0" applyFill="0" applyBorder="0" applyAlignment="0" applyProtection="0"/>
    <xf numFmtId="3" fontId="40" fillId="0" borderId="0" applyFont="0" applyFill="0" applyBorder="0" applyAlignment="0" applyProtection="0"/>
    <xf numFmtId="0" fontId="40" fillId="27" borderId="0" applyNumberFormat="0" applyFont="0" applyBorder="0" applyAlignment="0" applyProtection="0"/>
    <xf numFmtId="0" fontId="40" fillId="27" borderId="0" applyNumberFormat="0" applyFont="0" applyBorder="0" applyAlignment="0" applyProtection="0"/>
    <xf numFmtId="0" fontId="40" fillId="27" borderId="0" applyNumberFormat="0" applyFont="0" applyBorder="0" applyAlignment="0" applyProtection="0"/>
    <xf numFmtId="0" fontId="40" fillId="27" borderId="0" applyNumberFormat="0" applyFont="0" applyBorder="0" applyAlignment="0" applyProtection="0"/>
    <xf numFmtId="0" fontId="40" fillId="27" borderId="0" applyNumberFormat="0" applyFont="0" applyBorder="0" applyAlignment="0" applyProtection="0"/>
    <xf numFmtId="0" fontId="40" fillId="27" borderId="0" applyNumberFormat="0" applyFont="0" applyBorder="0" applyAlignment="0" applyProtection="0"/>
    <xf numFmtId="0" fontId="40" fillId="27" borderId="0" applyNumberFormat="0" applyFont="0" applyBorder="0" applyAlignment="0" applyProtection="0"/>
    <xf numFmtId="0" fontId="40" fillId="27" borderId="0" applyNumberFormat="0" applyFont="0" applyBorder="0" applyAlignment="0" applyProtection="0"/>
    <xf numFmtId="0" fontId="40" fillId="27" borderId="0" applyNumberFormat="0" applyFont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18" applyNumberFormat="0" applyFill="0" applyAlignment="0" applyProtection="0"/>
    <xf numFmtId="0" fontId="82" fillId="0" borderId="18" applyNumberFormat="0" applyFill="0" applyAlignment="0" applyProtection="0"/>
    <xf numFmtId="0" fontId="82" fillId="0" borderId="18" applyNumberFormat="0" applyFill="0" applyAlignment="0" applyProtection="0"/>
    <xf numFmtId="0" fontId="82" fillId="0" borderId="18" applyNumberFormat="0" applyFill="0" applyAlignment="0" applyProtection="0"/>
    <xf numFmtId="0" fontId="83" fillId="0" borderId="19" applyNumberFormat="0" applyFill="0" applyAlignment="0" applyProtection="0"/>
    <xf numFmtId="0" fontId="82" fillId="0" borderId="19" applyNumberFormat="0" applyFill="0" applyAlignment="0" applyProtection="0"/>
    <xf numFmtId="0" fontId="81" fillId="0" borderId="19" applyNumberFormat="0" applyFill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40" fillId="0" borderId="0"/>
    <xf numFmtId="44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0" fillId="0" borderId="0"/>
    <xf numFmtId="0" fontId="40" fillId="0" borderId="0"/>
    <xf numFmtId="9" fontId="40" fillId="0" borderId="0" applyFont="0" applyFill="0" applyBorder="0" applyAlignment="0" applyProtection="0"/>
    <xf numFmtId="0" fontId="16" fillId="0" borderId="0"/>
    <xf numFmtId="44" fontId="88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43" fontId="13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0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9" fillId="0" borderId="0"/>
    <xf numFmtId="0" fontId="20" fillId="0" borderId="0"/>
    <xf numFmtId="0" fontId="9" fillId="0" borderId="0"/>
    <xf numFmtId="0" fontId="20" fillId="0" borderId="0"/>
    <xf numFmtId="0" fontId="18" fillId="0" borderId="0"/>
    <xf numFmtId="0" fontId="18" fillId="0" borderId="0"/>
    <xf numFmtId="9" fontId="9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22" fillId="28" borderId="0"/>
    <xf numFmtId="0" fontId="18" fillId="0" borderId="0"/>
    <xf numFmtId="0" fontId="1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01" fillId="0" borderId="0" applyBorder="0">
      <alignment wrapText="1"/>
    </xf>
    <xf numFmtId="44" fontId="18" fillId="0" borderId="0" applyFont="0" applyFill="0" applyBorder="0" applyAlignment="0" applyProtection="0"/>
  </cellStyleXfs>
  <cellXfs count="538">
    <xf numFmtId="0" fontId="0" fillId="0" borderId="0" xfId="0"/>
    <xf numFmtId="37" fontId="0" fillId="0" borderId="0" xfId="0" applyNumberFormat="1" applyFill="1" applyBorder="1"/>
    <xf numFmtId="0" fontId="19" fillId="0" borderId="0" xfId="0" applyFont="1" applyFill="1" applyAlignment="1">
      <alignment horizontal="left" vertical="center"/>
    </xf>
    <xf numFmtId="0" fontId="19" fillId="0" borderId="0" xfId="0" applyFont="1" applyFill="1"/>
    <xf numFmtId="0" fontId="19" fillId="0" borderId="3" xfId="0" applyFont="1" applyFill="1" applyBorder="1" applyAlignment="1">
      <alignment horizontal="left"/>
    </xf>
    <xf numFmtId="0" fontId="19" fillId="0" borderId="4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left"/>
    </xf>
    <xf numFmtId="164" fontId="18" fillId="0" borderId="0" xfId="1" applyNumberFormat="1" applyFont="1" applyFill="1" applyBorder="1" applyAlignment="1">
      <alignment horizontal="right"/>
    </xf>
    <xf numFmtId="37" fontId="18" fillId="0" borderId="0" xfId="0" applyNumberFormat="1" applyFont="1" applyFill="1" applyAlignment="1">
      <alignment horizontal="right"/>
    </xf>
    <xf numFmtId="165" fontId="18" fillId="0" borderId="0" xfId="2" applyNumberFormat="1" applyFont="1" applyFill="1" applyAlignment="1">
      <alignment horizontal="right"/>
    </xf>
    <xf numFmtId="164" fontId="18" fillId="0" borderId="0" xfId="1" applyNumberFormat="1" applyFont="1" applyFill="1" applyBorder="1" applyAlignment="1">
      <alignment horizontal="right" vertical="center"/>
    </xf>
    <xf numFmtId="0" fontId="19" fillId="0" borderId="0" xfId="0" applyFont="1" applyFill="1" applyBorder="1"/>
    <xf numFmtId="43" fontId="18" fillId="0" borderId="0" xfId="1" applyFont="1" applyFill="1"/>
    <xf numFmtId="0" fontId="18" fillId="0" borderId="0" xfId="0" applyFont="1" applyFill="1" applyBorder="1" applyAlignment="1">
      <alignment horizontal="left"/>
    </xf>
    <xf numFmtId="37" fontId="18" fillId="0" borderId="0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37" fontId="18" fillId="0" borderId="0" xfId="0" applyNumberFormat="1" applyFont="1" applyFill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Border="1"/>
    <xf numFmtId="37" fontId="19" fillId="0" borderId="0" xfId="0" applyNumberFormat="1" applyFont="1" applyFill="1" applyBorder="1" applyAlignment="1">
      <alignment vertical="center"/>
    </xf>
    <xf numFmtId="3" fontId="18" fillId="0" borderId="0" xfId="0" applyNumberFormat="1" applyFont="1" applyFill="1" applyAlignment="1">
      <alignment horizontal="right"/>
    </xf>
    <xf numFmtId="0" fontId="18" fillId="0" borderId="0" xfId="0" applyFont="1" applyFill="1" applyBorder="1" applyAlignment="1">
      <alignment horizontal="left" vertical="center"/>
    </xf>
    <xf numFmtId="0" fontId="18" fillId="0" borderId="0" xfId="3"/>
    <xf numFmtId="0" fontId="18" fillId="0" borderId="0" xfId="3" applyFont="1"/>
    <xf numFmtId="49" fontId="18" fillId="0" borderId="0" xfId="3" applyNumberFormat="1" applyAlignment="1">
      <alignment wrapText="1"/>
    </xf>
    <xf numFmtId="37" fontId="18" fillId="0" borderId="0" xfId="3" applyNumberFormat="1" applyAlignment="1">
      <alignment horizontal="center"/>
    </xf>
    <xf numFmtId="173" fontId="18" fillId="0" borderId="0" xfId="3" applyNumberFormat="1"/>
    <xf numFmtId="49" fontId="18" fillId="0" borderId="0" xfId="3" applyNumberFormat="1"/>
    <xf numFmtId="49" fontId="19" fillId="0" borderId="0" xfId="3" applyNumberFormat="1" applyFont="1" applyAlignment="1">
      <alignment horizontal="center" wrapText="1"/>
    </xf>
    <xf numFmtId="37" fontId="19" fillId="0" borderId="0" xfId="3" applyNumberFormat="1" applyFont="1" applyAlignment="1">
      <alignment horizontal="center"/>
    </xf>
    <xf numFmtId="0" fontId="18" fillId="0" borderId="0" xfId="3" applyBorder="1" applyAlignment="1">
      <alignment horizontal="center"/>
    </xf>
    <xf numFmtId="0" fontId="18" fillId="0" borderId="0" xfId="3" applyBorder="1"/>
    <xf numFmtId="0" fontId="21" fillId="0" borderId="0" xfId="3" applyFont="1" applyAlignment="1">
      <alignment horizontal="center"/>
    </xf>
    <xf numFmtId="37" fontId="19" fillId="0" borderId="0" xfId="3" applyNumberFormat="1" applyFont="1" applyAlignment="1">
      <alignment horizontal="center" wrapText="1"/>
    </xf>
    <xf numFmtId="37" fontId="18" fillId="0" borderId="0" xfId="0" applyNumberFormat="1" applyFont="1" applyFill="1"/>
    <xf numFmtId="37" fontId="0" fillId="0" borderId="0" xfId="0" applyNumberFormat="1"/>
    <xf numFmtId="0" fontId="0" fillId="0" borderId="0" xfId="0" applyFill="1" applyBorder="1"/>
    <xf numFmtId="0" fontId="0" fillId="0" borderId="0" xfId="0" applyFill="1" applyAlignment="1">
      <alignment horizontal="left"/>
    </xf>
    <xf numFmtId="0" fontId="21" fillId="0" borderId="0" xfId="0" applyFont="1" applyFill="1" applyBorder="1"/>
    <xf numFmtId="37" fontId="18" fillId="0" borderId="0" xfId="0" applyNumberFormat="1" applyFont="1" applyFill="1" applyBorder="1" applyAlignment="1">
      <alignment horizontal="right"/>
    </xf>
    <xf numFmtId="0" fontId="91" fillId="0" borderId="0" xfId="0" applyFont="1" applyFill="1" applyBorder="1"/>
    <xf numFmtId="0" fontId="18" fillId="0" borderId="0" xfId="3"/>
    <xf numFmtId="173" fontId="0" fillId="0" borderId="0" xfId="0" applyNumberFormat="1"/>
    <xf numFmtId="37" fontId="18" fillId="0" borderId="2" xfId="0" applyNumberFormat="1" applyFont="1" applyFill="1" applyBorder="1" applyAlignment="1">
      <alignment horizontal="right"/>
    </xf>
    <xf numFmtId="165" fontId="18" fillId="0" borderId="0" xfId="2" applyNumberFormat="1" applyFont="1" applyFill="1" applyBorder="1" applyAlignment="1">
      <alignment horizontal="right"/>
    </xf>
    <xf numFmtId="37" fontId="18" fillId="0" borderId="2" xfId="0" applyNumberFormat="1" applyFont="1" applyFill="1" applyBorder="1" applyAlignment="1">
      <alignment horizontal="left"/>
    </xf>
    <xf numFmtId="37" fontId="19" fillId="0" borderId="0" xfId="0" applyNumberFormat="1" applyFont="1" applyFill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93" fillId="0" borderId="0" xfId="0" applyFont="1" applyFill="1" applyAlignment="1">
      <alignment vertical="center"/>
    </xf>
    <xf numFmtId="0" fontId="19" fillId="0" borderId="3" xfId="0" applyFont="1" applyFill="1" applyBorder="1" applyAlignment="1">
      <alignment horizontal="left" vertical="center"/>
    </xf>
    <xf numFmtId="37" fontId="19" fillId="0" borderId="3" xfId="0" applyNumberFormat="1" applyFont="1" applyFill="1" applyBorder="1" applyAlignment="1">
      <alignment horizontal="left" vertical="center"/>
    </xf>
    <xf numFmtId="0" fontId="18" fillId="0" borderId="1" xfId="0" applyFont="1" applyFill="1" applyBorder="1"/>
    <xf numFmtId="0" fontId="18" fillId="0" borderId="1" xfId="0" applyFont="1" applyFill="1" applyBorder="1" applyAlignment="1">
      <alignment vertical="center"/>
    </xf>
    <xf numFmtId="165" fontId="18" fillId="0" borderId="1" xfId="2" applyNumberFormat="1" applyFont="1" applyFill="1" applyBorder="1" applyAlignment="1">
      <alignment horizontal="right" vertical="center"/>
    </xf>
    <xf numFmtId="0" fontId="19" fillId="0" borderId="3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/>
    </xf>
    <xf numFmtId="37" fontId="19" fillId="0" borderId="0" xfId="0" applyNumberFormat="1" applyFont="1" applyFill="1" applyBorder="1"/>
    <xf numFmtId="0" fontId="19" fillId="0" borderId="5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37" fontId="18" fillId="0" borderId="1" xfId="0" applyNumberFormat="1" applyFont="1" applyFill="1" applyBorder="1" applyAlignment="1">
      <alignment horizontal="right"/>
    </xf>
    <xf numFmtId="37" fontId="18" fillId="0" borderId="0" xfId="0" applyNumberFormat="1" applyFont="1" applyFill="1" applyBorder="1"/>
    <xf numFmtId="164" fontId="18" fillId="0" borderId="0" xfId="1" applyNumberFormat="1" applyFont="1" applyFill="1" applyBorder="1"/>
    <xf numFmtId="173" fontId="0" fillId="0" borderId="0" xfId="0" applyNumberFormat="1" applyFill="1"/>
    <xf numFmtId="173" fontId="18" fillId="0" borderId="0" xfId="3" applyNumberFormat="1" applyFill="1"/>
    <xf numFmtId="164" fontId="0" fillId="0" borderId="0" xfId="0" applyNumberFormat="1"/>
    <xf numFmtId="0" fontId="0" fillId="0" borderId="0" xfId="0"/>
    <xf numFmtId="164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164" fontId="0" fillId="0" borderId="0" xfId="0" applyNumberFormat="1" applyFill="1" applyBorder="1"/>
    <xf numFmtId="173" fontId="18" fillId="0" borderId="0" xfId="3" applyNumberFormat="1" applyFill="1" applyBorder="1"/>
    <xf numFmtId="0" fontId="18" fillId="0" borderId="0" xfId="3" applyFill="1" applyBorder="1"/>
    <xf numFmtId="49" fontId="18" fillId="0" borderId="0" xfId="3" applyNumberFormat="1" applyFill="1" applyBorder="1"/>
    <xf numFmtId="180" fontId="0" fillId="0" borderId="0" xfId="1" applyNumberFormat="1" applyFont="1"/>
    <xf numFmtId="3" fontId="19" fillId="0" borderId="0" xfId="0" applyNumberFormat="1" applyFont="1" applyFill="1" applyBorder="1" applyAlignment="1">
      <alignment horizontal="right"/>
    </xf>
    <xf numFmtId="174" fontId="19" fillId="0" borderId="0" xfId="0" applyNumberFormat="1" applyFont="1" applyFill="1" applyBorder="1"/>
    <xf numFmtId="37" fontId="18" fillId="0" borderId="2" xfId="0" applyNumberFormat="1" applyFont="1" applyFill="1" applyBorder="1" applyAlignment="1">
      <alignment horizontal="right" vertical="center"/>
    </xf>
    <xf numFmtId="49" fontId="18" fillId="0" borderId="0" xfId="3" applyNumberFormat="1" applyFont="1" applyFill="1" applyAlignment="1">
      <alignment horizontal="center" wrapText="1"/>
    </xf>
    <xf numFmtId="37" fontId="0" fillId="0" borderId="0" xfId="0" applyNumberFormat="1" applyFill="1"/>
    <xf numFmtId="0" fontId="18" fillId="0" borderId="0" xfId="0" applyFont="1" applyFill="1"/>
    <xf numFmtId="164" fontId="18" fillId="0" borderId="0" xfId="1" applyNumberFormat="1" applyFont="1" applyFill="1"/>
    <xf numFmtId="0" fontId="19" fillId="0" borderId="0" xfId="0" applyFont="1" applyFill="1" applyBorder="1" applyAlignment="1">
      <alignment horizontal="left" vertical="center"/>
    </xf>
    <xf numFmtId="37" fontId="19" fillId="0" borderId="3" xfId="0" applyNumberFormat="1" applyFont="1" applyFill="1" applyBorder="1" applyAlignment="1">
      <alignment horizontal="right" vertical="center"/>
    </xf>
    <xf numFmtId="37" fontId="18" fillId="0" borderId="3" xfId="0" applyNumberFormat="1" applyFont="1" applyFill="1" applyBorder="1" applyAlignment="1">
      <alignment horizontal="right" vertical="center"/>
    </xf>
    <xf numFmtId="37" fontId="22" fillId="0" borderId="0" xfId="0" applyNumberFormat="1" applyFont="1" applyFill="1"/>
    <xf numFmtId="0" fontId="0" fillId="0" borderId="0" xfId="0" applyFill="1"/>
    <xf numFmtId="176" fontId="22" fillId="0" borderId="0" xfId="0" applyNumberFormat="1" applyFont="1" applyFill="1"/>
    <xf numFmtId="180" fontId="19" fillId="0" borderId="0" xfId="1" applyNumberFormat="1" applyFont="1" applyFill="1" applyBorder="1" applyAlignment="1">
      <alignment horizontal="center" vertical="center"/>
    </xf>
    <xf numFmtId="173" fontId="19" fillId="0" borderId="0" xfId="0" applyNumberFormat="1" applyFont="1" applyFill="1" applyBorder="1" applyAlignment="1">
      <alignment horizontal="right"/>
    </xf>
    <xf numFmtId="173" fontId="19" fillId="0" borderId="0" xfId="0" applyNumberFormat="1" applyFont="1" applyFill="1" applyAlignment="1">
      <alignment horizontal="right"/>
    </xf>
    <xf numFmtId="173" fontId="19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horizontal="right"/>
    </xf>
    <xf numFmtId="49" fontId="91" fillId="0" borderId="0" xfId="0" applyNumberFormat="1" applyFont="1" applyFill="1" applyAlignment="1">
      <alignment horizontal="center"/>
    </xf>
    <xf numFmtId="0" fontId="96" fillId="0" borderId="0" xfId="0" applyFont="1" applyFill="1" applyAlignment="1">
      <alignment horizontal="center"/>
    </xf>
    <xf numFmtId="49" fontId="18" fillId="0" borderId="0" xfId="0" applyNumberFormat="1" applyFont="1" applyFill="1" applyAlignment="1">
      <alignment horizontal="center" wrapText="1"/>
    </xf>
    <xf numFmtId="49" fontId="18" fillId="0" borderId="0" xfId="0" applyNumberFormat="1" applyFont="1" applyFill="1" applyAlignment="1">
      <alignment wrapText="1"/>
    </xf>
    <xf numFmtId="49" fontId="91" fillId="0" borderId="0" xfId="0" applyNumberFormat="1" applyFont="1" applyFill="1" applyAlignment="1">
      <alignment horizontal="center" wrapText="1"/>
    </xf>
    <xf numFmtId="49" fontId="19" fillId="0" borderId="0" xfId="0" applyNumberFormat="1" applyFont="1" applyFill="1" applyAlignment="1">
      <alignment horizontal="center" wrapText="1"/>
    </xf>
    <xf numFmtId="37" fontId="18" fillId="0" borderId="0" xfId="0" applyNumberFormat="1" applyFont="1" applyFill="1" applyAlignment="1">
      <alignment horizontal="center"/>
    </xf>
    <xf numFmtId="0" fontId="91" fillId="0" borderId="0" xfId="0" applyFont="1" applyFill="1"/>
    <xf numFmtId="5" fontId="18" fillId="0" borderId="0" xfId="0" applyNumberFormat="1" applyFont="1" applyFill="1"/>
    <xf numFmtId="49" fontId="18" fillId="0" borderId="0" xfId="0" applyNumberFormat="1" applyFont="1" applyFill="1" applyAlignment="1">
      <alignment horizontal="right"/>
    </xf>
    <xf numFmtId="5" fontId="19" fillId="0" borderId="0" xfId="0" applyNumberFormat="1" applyFont="1" applyFill="1"/>
    <xf numFmtId="10" fontId="18" fillId="0" borderId="0" xfId="0" applyNumberFormat="1" applyFont="1" applyFill="1"/>
    <xf numFmtId="5" fontId="18" fillId="0" borderId="0" xfId="0" applyNumberFormat="1" applyFont="1" applyFill="1" applyAlignment="1">
      <alignment horizontal="right"/>
    </xf>
    <xf numFmtId="10" fontId="19" fillId="0" borderId="0" xfId="0" applyNumberFormat="1" applyFont="1" applyFill="1"/>
    <xf numFmtId="0" fontId="18" fillId="0" borderId="0" xfId="0" applyFont="1" applyFill="1" applyAlignment="1">
      <alignment horizontal="left"/>
    </xf>
    <xf numFmtId="7" fontId="0" fillId="0" borderId="0" xfId="0" applyNumberFormat="1" applyFill="1"/>
    <xf numFmtId="37" fontId="18" fillId="0" borderId="0" xfId="0" applyNumberFormat="1" applyFont="1" applyFill="1" applyBorder="1" applyAlignment="1">
      <alignment horizontal="center"/>
    </xf>
    <xf numFmtId="37" fontId="18" fillId="0" borderId="0" xfId="0" applyNumberFormat="1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top"/>
    </xf>
    <xf numFmtId="37" fontId="18" fillId="0" borderId="1" xfId="0" applyNumberFormat="1" applyFont="1" applyFill="1" applyBorder="1" applyAlignment="1">
      <alignment horizontal="center" vertical="top"/>
    </xf>
    <xf numFmtId="37" fontId="18" fillId="0" borderId="0" xfId="0" applyNumberFormat="1" applyFont="1" applyFill="1" applyBorder="1" applyAlignment="1">
      <alignment horizontal="center" vertical="top" wrapText="1"/>
    </xf>
    <xf numFmtId="164" fontId="18" fillId="0" borderId="0" xfId="1" quotePrefix="1" applyNumberFormat="1" applyFont="1" applyFill="1" applyAlignment="1">
      <alignment horizontal="center"/>
    </xf>
    <xf numFmtId="164" fontId="18" fillId="0" borderId="0" xfId="1" quotePrefix="1" applyNumberFormat="1" applyFont="1" applyFill="1" applyBorder="1" applyAlignment="1">
      <alignment horizontal="center"/>
    </xf>
    <xf numFmtId="37" fontId="18" fillId="0" borderId="0" xfId="1" quotePrefix="1" applyNumberFormat="1" applyFont="1" applyFill="1" applyBorder="1" applyAlignment="1">
      <alignment horizontal="center"/>
    </xf>
    <xf numFmtId="165" fontId="18" fillId="0" borderId="0" xfId="2" applyNumberFormat="1" applyFont="1" applyFill="1" applyBorder="1"/>
    <xf numFmtId="3" fontId="18" fillId="0" borderId="0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vertical="center"/>
    </xf>
    <xf numFmtId="165" fontId="18" fillId="0" borderId="0" xfId="2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right" vertical="center"/>
    </xf>
    <xf numFmtId="173" fontId="18" fillId="0" borderId="0" xfId="0" applyNumberFormat="1" applyFont="1" applyFill="1" applyBorder="1" applyAlignment="1">
      <alignment horizontal="right" vertical="center"/>
    </xf>
    <xf numFmtId="37" fontId="97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/>
    </xf>
    <xf numFmtId="37" fontId="18" fillId="0" borderId="3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textRotation="180"/>
    </xf>
    <xf numFmtId="37" fontId="18" fillId="0" borderId="4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 textRotation="180"/>
    </xf>
    <xf numFmtId="166" fontId="18" fillId="0" borderId="0" xfId="0" applyNumberFormat="1" applyFont="1" applyFill="1" applyBorder="1" applyAlignment="1">
      <alignment horizontal="right" vertical="center"/>
    </xf>
    <xf numFmtId="10" fontId="18" fillId="0" borderId="0" xfId="0" applyNumberFormat="1" applyFont="1" applyFill="1" applyBorder="1" applyAlignment="1">
      <alignment horizontal="right" vertical="center"/>
    </xf>
    <xf numFmtId="10" fontId="18" fillId="0" borderId="0" xfId="2" applyNumberFormat="1" applyFont="1" applyFill="1" applyBorder="1" applyAlignment="1">
      <alignment horizontal="right" vertical="center"/>
    </xf>
    <xf numFmtId="10" fontId="18" fillId="0" borderId="0" xfId="0" applyNumberFormat="1" applyFont="1" applyFill="1" applyAlignment="1">
      <alignment horizontal="right" vertical="center"/>
    </xf>
    <xf numFmtId="43" fontId="18" fillId="0" borderId="0" xfId="1" applyFont="1" applyFill="1" applyAlignment="1">
      <alignment horizontal="center" vertical="center"/>
    </xf>
    <xf numFmtId="37" fontId="18" fillId="0" borderId="0" xfId="0" applyNumberFormat="1" applyFont="1" applyFill="1" applyAlignment="1">
      <alignment vertical="center"/>
    </xf>
    <xf numFmtId="0" fontId="18" fillId="0" borderId="2" xfId="0" applyFont="1" applyFill="1" applyBorder="1" applyAlignment="1">
      <alignment horizontal="left"/>
    </xf>
    <xf numFmtId="3" fontId="18" fillId="0" borderId="2" xfId="0" applyNumberFormat="1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37" fontId="18" fillId="0" borderId="2" xfId="0" applyNumberFormat="1" applyFont="1" applyFill="1" applyBorder="1" applyAlignment="1">
      <alignment horizontal="left" vertical="center"/>
    </xf>
    <xf numFmtId="167" fontId="18" fillId="0" borderId="0" xfId="0" applyNumberFormat="1" applyFont="1" applyFill="1" applyAlignment="1">
      <alignment horizontal="right"/>
    </xf>
    <xf numFmtId="37" fontId="18" fillId="0" borderId="1" xfId="0" applyNumberFormat="1" applyFont="1" applyFill="1" applyBorder="1" applyAlignment="1">
      <alignment horizontal="right" vertical="center"/>
    </xf>
    <xf numFmtId="3" fontId="18" fillId="0" borderId="1" xfId="0" applyNumberFormat="1" applyFont="1" applyFill="1" applyBorder="1" applyAlignment="1">
      <alignment horizontal="left" vertical="center"/>
    </xf>
    <xf numFmtId="3" fontId="18" fillId="0" borderId="3" xfId="0" applyNumberFormat="1" applyFont="1" applyFill="1" applyBorder="1" applyAlignment="1">
      <alignment horizontal="right" vertical="center"/>
    </xf>
    <xf numFmtId="3" fontId="18" fillId="0" borderId="3" xfId="0" applyNumberFormat="1" applyFont="1" applyFill="1" applyBorder="1" applyAlignment="1">
      <alignment horizontal="left" vertical="center"/>
    </xf>
    <xf numFmtId="37" fontId="18" fillId="0" borderId="0" xfId="0" applyNumberFormat="1" applyFont="1" applyFill="1" applyBorder="1" applyAlignment="1">
      <alignment horizontal="left" vertical="center"/>
    </xf>
    <xf numFmtId="43" fontId="18" fillId="0" borderId="0" xfId="0" applyNumberFormat="1" applyFont="1" applyFill="1" applyBorder="1" applyAlignment="1">
      <alignment horizontal="left"/>
    </xf>
    <xf numFmtId="39" fontId="18" fillId="0" borderId="4" xfId="0" applyNumberFormat="1" applyFont="1" applyFill="1" applyBorder="1" applyAlignment="1">
      <alignment horizontal="right" vertical="center"/>
    </xf>
    <xf numFmtId="3" fontId="18" fillId="0" borderId="4" xfId="0" applyNumberFormat="1" applyFont="1" applyFill="1" applyBorder="1" applyAlignment="1">
      <alignment horizontal="left" vertical="center"/>
    </xf>
    <xf numFmtId="3" fontId="18" fillId="0" borderId="2" xfId="0" applyNumberFormat="1" applyFont="1" applyFill="1" applyBorder="1" applyAlignment="1">
      <alignment horizontal="left"/>
    </xf>
    <xf numFmtId="3" fontId="18" fillId="0" borderId="2" xfId="0" applyNumberFormat="1" applyFont="1" applyFill="1" applyBorder="1" applyAlignment="1">
      <alignment vertical="center"/>
    </xf>
    <xf numFmtId="3" fontId="18" fillId="0" borderId="2" xfId="0" applyNumberFormat="1" applyFont="1" applyFill="1" applyBorder="1" applyAlignment="1">
      <alignment horizontal="right" vertical="center"/>
    </xf>
    <xf numFmtId="164" fontId="18" fillId="0" borderId="0" xfId="1" applyNumberFormat="1" applyFont="1" applyFill="1" applyBorder="1" applyAlignment="1">
      <alignment vertical="center"/>
    </xf>
    <xf numFmtId="37" fontId="18" fillId="0" borderId="0" xfId="0" applyNumberFormat="1" applyFont="1" applyFill="1" applyBorder="1" applyAlignment="1">
      <alignment vertical="center"/>
    </xf>
    <xf numFmtId="37" fontId="18" fillId="0" borderId="1" xfId="0" applyNumberFormat="1" applyFont="1" applyFill="1" applyBorder="1" applyAlignment="1">
      <alignment vertical="center"/>
    </xf>
    <xf numFmtId="7" fontId="18" fillId="0" borderId="0" xfId="457" applyNumberFormat="1" applyFont="1" applyFill="1" applyBorder="1"/>
    <xf numFmtId="37" fontId="18" fillId="0" borderId="2" xfId="1" applyNumberFormat="1" applyFont="1" applyFill="1" applyBorder="1" applyAlignment="1">
      <alignment horizontal="right" vertical="center"/>
    </xf>
    <xf numFmtId="164" fontId="18" fillId="0" borderId="2" xfId="1" applyNumberFormat="1" applyFont="1" applyFill="1" applyBorder="1" applyAlignment="1">
      <alignment horizontal="left" vertical="center"/>
    </xf>
    <xf numFmtId="37" fontId="18" fillId="0" borderId="0" xfId="1" applyNumberFormat="1" applyFont="1" applyFill="1" applyBorder="1" applyAlignment="1">
      <alignment vertical="center"/>
    </xf>
    <xf numFmtId="164" fontId="18" fillId="0" borderId="0" xfId="1" applyNumberFormat="1" applyFont="1" applyFill="1" applyBorder="1" applyAlignment="1">
      <alignment horizontal="left" vertical="center"/>
    </xf>
    <xf numFmtId="165" fontId="18" fillId="0" borderId="0" xfId="2" applyNumberFormat="1" applyFont="1" applyFill="1" applyBorder="1" applyAlignment="1">
      <alignment vertical="center"/>
    </xf>
    <xf numFmtId="37" fontId="18" fillId="0" borderId="0" xfId="1" applyNumberFormat="1" applyFont="1" applyFill="1" applyBorder="1" applyAlignment="1">
      <alignment horizontal="right" vertical="center"/>
    </xf>
    <xf numFmtId="37" fontId="18" fillId="0" borderId="0" xfId="1" applyNumberFormat="1" applyFont="1" applyFill="1" applyAlignment="1">
      <alignment horizontal="right" vertical="center"/>
    </xf>
    <xf numFmtId="164" fontId="18" fillId="0" borderId="1" xfId="1" applyNumberFormat="1" applyFont="1" applyFill="1" applyBorder="1" applyAlignment="1">
      <alignment vertical="center"/>
    </xf>
    <xf numFmtId="37" fontId="18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left" vertical="center"/>
    </xf>
    <xf numFmtId="164" fontId="18" fillId="0" borderId="5" xfId="1" applyNumberFormat="1" applyFont="1" applyFill="1" applyBorder="1" applyAlignment="1">
      <alignment vertical="center"/>
    </xf>
    <xf numFmtId="37" fontId="18" fillId="0" borderId="5" xfId="0" applyNumberFormat="1" applyFont="1" applyFill="1" applyBorder="1" applyAlignment="1">
      <alignment horizontal="right"/>
    </xf>
    <xf numFmtId="37" fontId="18" fillId="0" borderId="5" xfId="1" applyNumberFormat="1" applyFont="1" applyFill="1" applyBorder="1" applyAlignment="1">
      <alignment horizontal="right" vertical="center"/>
    </xf>
    <xf numFmtId="164" fontId="18" fillId="0" borderId="5" xfId="1" applyNumberFormat="1" applyFont="1" applyFill="1" applyBorder="1" applyAlignment="1">
      <alignment horizontal="left" vertical="center"/>
    </xf>
    <xf numFmtId="164" fontId="18" fillId="0" borderId="3" xfId="1" applyNumberFormat="1" applyFont="1" applyFill="1" applyBorder="1" applyAlignment="1">
      <alignment vertical="center"/>
    </xf>
    <xf numFmtId="37" fontId="18" fillId="0" borderId="3" xfId="1" applyNumberFormat="1" applyFont="1" applyFill="1" applyBorder="1" applyAlignment="1">
      <alignment horizontal="right" vertical="center"/>
    </xf>
    <xf numFmtId="164" fontId="18" fillId="0" borderId="3" xfId="1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right" vertical="center"/>
    </xf>
    <xf numFmtId="3" fontId="18" fillId="0" borderId="0" xfId="0" applyNumberFormat="1" applyFont="1" applyFill="1" applyBorder="1"/>
    <xf numFmtId="3" fontId="18" fillId="0" borderId="0" xfId="0" applyNumberFormat="1" applyFont="1" applyFill="1" applyBorder="1" applyAlignment="1">
      <alignment horizontal="left"/>
    </xf>
    <xf numFmtId="175" fontId="18" fillId="0" borderId="0" xfId="457" applyNumberFormat="1" applyFont="1" applyFill="1" applyBorder="1"/>
    <xf numFmtId="4" fontId="18" fillId="0" borderId="0" xfId="0" applyNumberFormat="1" applyFont="1" applyFill="1" applyBorder="1" applyAlignment="1">
      <alignment horizontal="left"/>
    </xf>
    <xf numFmtId="43" fontId="18" fillId="0" borderId="0" xfId="1" applyFont="1" applyFill="1" applyBorder="1"/>
    <xf numFmtId="4" fontId="18" fillId="0" borderId="0" xfId="0" applyNumberFormat="1" applyFont="1" applyFill="1" applyBorder="1"/>
    <xf numFmtId="168" fontId="18" fillId="0" borderId="0" xfId="0" applyNumberFormat="1" applyFont="1" applyFill="1" applyBorder="1"/>
    <xf numFmtId="169" fontId="18" fillId="0" borderId="0" xfId="0" applyNumberFormat="1" applyFont="1" applyFill="1"/>
    <xf numFmtId="0" fontId="18" fillId="0" borderId="0" xfId="0" applyFont="1" applyFill="1" applyBorder="1" applyAlignment="1">
      <alignment horizontal="right"/>
    </xf>
    <xf numFmtId="0" fontId="18" fillId="0" borderId="0" xfId="0" applyFont="1" applyFill="1" applyAlignment="1">
      <alignment horizontal="right" vertical="center"/>
    </xf>
    <xf numFmtId="4" fontId="18" fillId="0" borderId="0" xfId="0" applyNumberFormat="1" applyFont="1" applyFill="1"/>
    <xf numFmtId="168" fontId="18" fillId="0" borderId="0" xfId="0" applyNumberFormat="1" applyFont="1" applyFill="1"/>
    <xf numFmtId="170" fontId="18" fillId="0" borderId="0" xfId="0" applyNumberFormat="1" applyFont="1" applyFill="1"/>
    <xf numFmtId="4" fontId="18" fillId="0" borderId="0" xfId="0" applyNumberFormat="1" applyFont="1" applyFill="1" applyAlignment="1">
      <alignment horizontal="right"/>
    </xf>
    <xf numFmtId="4" fontId="18" fillId="0" borderId="0" xfId="0" applyNumberFormat="1" applyFont="1" applyFill="1" applyAlignment="1">
      <alignment horizontal="left"/>
    </xf>
    <xf numFmtId="0" fontId="18" fillId="0" borderId="0" xfId="3" applyFont="1" applyFill="1"/>
    <xf numFmtId="37" fontId="18" fillId="0" borderId="0" xfId="3" applyNumberFormat="1" applyFont="1" applyFill="1"/>
    <xf numFmtId="37" fontId="18" fillId="0" borderId="0" xfId="3" applyNumberFormat="1" applyFont="1" applyFill="1" applyBorder="1"/>
    <xf numFmtId="0" fontId="19" fillId="0" borderId="0" xfId="0" applyFont="1" applyFill="1" applyAlignment="1">
      <alignment horizontal="center"/>
    </xf>
    <xf numFmtId="37" fontId="18" fillId="0" borderId="1" xfId="0" applyNumberFormat="1" applyFont="1" applyFill="1" applyBorder="1"/>
    <xf numFmtId="39" fontId="18" fillId="0" borderId="3" xfId="0" applyNumberFormat="1" applyFont="1" applyFill="1" applyBorder="1" applyAlignment="1">
      <alignment horizontal="right" vertical="center"/>
    </xf>
    <xf numFmtId="37" fontId="18" fillId="0" borderId="2" xfId="0" applyNumberFormat="1" applyFont="1" applyFill="1" applyBorder="1" applyAlignment="1">
      <alignment vertical="center"/>
    </xf>
    <xf numFmtId="37" fontId="18" fillId="0" borderId="5" xfId="0" applyNumberFormat="1" applyFont="1" applyFill="1" applyBorder="1"/>
    <xf numFmtId="37" fontId="18" fillId="0" borderId="0" xfId="1" applyNumberFormat="1" applyFont="1" applyFill="1"/>
    <xf numFmtId="10" fontId="18" fillId="0" borderId="0" xfId="3" applyNumberFormat="1" applyFont="1" applyFill="1" applyAlignment="1">
      <alignment horizontal="right"/>
    </xf>
    <xf numFmtId="49" fontId="18" fillId="0" borderId="0" xfId="3" applyNumberFormat="1" applyFont="1" applyFill="1" applyBorder="1" applyAlignment="1">
      <alignment horizontal="center" wrapText="1"/>
    </xf>
    <xf numFmtId="43" fontId="18" fillId="0" borderId="0" xfId="0" applyNumberFormat="1" applyFont="1" applyFill="1"/>
    <xf numFmtId="164" fontId="18" fillId="0" borderId="1" xfId="1" applyNumberFormat="1" applyFont="1" applyFill="1" applyBorder="1"/>
    <xf numFmtId="0" fontId="91" fillId="0" borderId="0" xfId="0" applyFont="1" applyFill="1" applyAlignment="1">
      <alignment horizontal="left"/>
    </xf>
    <xf numFmtId="0" fontId="18" fillId="0" borderId="0" xfId="3" applyFont="1" applyFill="1" applyAlignment="1">
      <alignment horizontal="left"/>
    </xf>
    <xf numFmtId="43" fontId="18" fillId="0" borderId="0" xfId="0" applyNumberFormat="1" applyFont="1" applyFill="1" applyBorder="1"/>
    <xf numFmtId="0" fontId="19" fillId="0" borderId="0" xfId="3" applyFont="1" applyFill="1" applyAlignment="1">
      <alignment horizontal="center"/>
    </xf>
    <xf numFmtId="37" fontId="18" fillId="0" borderId="0" xfId="1" applyNumberFormat="1" applyFont="1" applyFill="1" applyBorder="1" applyAlignment="1">
      <alignment horizontal="right"/>
    </xf>
    <xf numFmtId="164" fontId="18" fillId="0" borderId="0" xfId="0" applyNumberFormat="1" applyFont="1" applyFill="1"/>
    <xf numFmtId="164" fontId="92" fillId="0" borderId="0" xfId="1" applyNumberFormat="1" applyFont="1" applyFill="1"/>
    <xf numFmtId="164" fontId="18" fillId="0" borderId="0" xfId="0" applyNumberFormat="1" applyFont="1" applyFill="1" applyBorder="1"/>
    <xf numFmtId="173" fontId="18" fillId="0" borderId="0" xfId="0" applyNumberFormat="1" applyFont="1" applyFill="1"/>
    <xf numFmtId="0" fontId="21" fillId="0" borderId="0" xfId="0" applyFont="1" applyFill="1" applyAlignment="1">
      <alignment horizontal="center"/>
    </xf>
    <xf numFmtId="37" fontId="18" fillId="0" borderId="0" xfId="0" applyNumberFormat="1" applyFont="1" applyFill="1" applyAlignment="1">
      <alignment horizontal="left"/>
    </xf>
    <xf numFmtId="37" fontId="18" fillId="0" borderId="0" xfId="0" applyNumberFormat="1" applyFont="1" applyFill="1" applyAlignment="1">
      <alignment horizontal="right" wrapText="1"/>
    </xf>
    <xf numFmtId="10" fontId="18" fillId="0" borderId="0" xfId="0" applyNumberFormat="1" applyFont="1" applyFill="1" applyAlignment="1">
      <alignment horizontal="right" wrapText="1"/>
    </xf>
    <xf numFmtId="0" fontId="18" fillId="0" borderId="0" xfId="0" applyNumberFormat="1" applyFont="1" applyFill="1" applyAlignment="1">
      <alignment horizontal="center" wrapText="1"/>
    </xf>
    <xf numFmtId="37" fontId="91" fillId="0" borderId="0" xfId="0" applyNumberFormat="1" applyFont="1" applyFill="1" applyAlignment="1">
      <alignment horizontal="left"/>
    </xf>
    <xf numFmtId="0" fontId="18" fillId="0" borderId="0" xfId="0" applyFont="1" applyFill="1" applyAlignment="1"/>
    <xf numFmtId="0" fontId="18" fillId="0" borderId="0" xfId="0" applyFont="1" applyFill="1" applyAlignment="1">
      <alignment textRotation="180" wrapText="1"/>
    </xf>
    <xf numFmtId="173" fontId="19" fillId="0" borderId="0" xfId="0" applyNumberFormat="1" applyFont="1" applyFill="1"/>
    <xf numFmtId="0" fontId="97" fillId="0" borderId="0" xfId="0" applyFont="1" applyFill="1" applyBorder="1" applyAlignment="1">
      <alignment horizontal="center"/>
    </xf>
    <xf numFmtId="164" fontId="18" fillId="0" borderId="1" xfId="0" applyNumberFormat="1" applyFont="1" applyFill="1" applyBorder="1"/>
    <xf numFmtId="180" fontId="19" fillId="0" borderId="0" xfId="1" applyNumberFormat="1" applyFont="1" applyFill="1" applyBorder="1"/>
    <xf numFmtId="43" fontId="18" fillId="0" borderId="0" xfId="1" applyFont="1" applyFill="1" applyBorder="1" applyAlignment="1">
      <alignment horizontal="right"/>
    </xf>
    <xf numFmtId="49" fontId="18" fillId="0" borderId="0" xfId="0" applyNumberFormat="1" applyFont="1" applyFill="1"/>
    <xf numFmtId="182" fontId="18" fillId="0" borderId="0" xfId="457" applyNumberFormat="1" applyFont="1" applyFill="1" applyAlignment="1">
      <alignment horizontal="right"/>
    </xf>
    <xf numFmtId="39" fontId="18" fillId="0" borderId="0" xfId="0" applyNumberFormat="1" applyFont="1" applyFill="1"/>
    <xf numFmtId="183" fontId="18" fillId="0" borderId="0" xfId="0" applyNumberFormat="1" applyFont="1" applyFill="1"/>
    <xf numFmtId="5" fontId="18" fillId="0" borderId="0" xfId="0" applyNumberFormat="1" applyFont="1" applyFill="1" applyAlignment="1">
      <alignment horizontal="center"/>
    </xf>
    <xf numFmtId="178" fontId="18" fillId="0" borderId="0" xfId="0" applyNumberFormat="1" applyFont="1" applyFill="1" applyAlignment="1">
      <alignment horizontal="center"/>
    </xf>
    <xf numFmtId="178" fontId="18" fillId="0" borderId="0" xfId="0" applyNumberFormat="1" applyFont="1" applyFill="1"/>
    <xf numFmtId="182" fontId="18" fillId="0" borderId="0" xfId="457" applyNumberFormat="1" applyFont="1" applyFill="1"/>
    <xf numFmtId="0" fontId="18" fillId="0" borderId="0" xfId="3" applyFill="1"/>
    <xf numFmtId="49" fontId="18" fillId="0" borderId="0" xfId="3" applyNumberFormat="1" applyFill="1" applyAlignment="1">
      <alignment wrapText="1"/>
    </xf>
    <xf numFmtId="49" fontId="18" fillId="0" borderId="0" xfId="3" applyNumberFormat="1" applyFill="1"/>
    <xf numFmtId="164" fontId="18" fillId="0" borderId="0" xfId="0" applyNumberFormat="1" applyFont="1" applyFill="1" applyBorder="1" applyAlignment="1">
      <alignment horizontal="center"/>
    </xf>
    <xf numFmtId="10" fontId="18" fillId="0" borderId="0" xfId="2" applyNumberFormat="1" applyFont="1" applyFill="1" applyBorder="1" applyAlignment="1">
      <alignment horizontal="right"/>
    </xf>
    <xf numFmtId="164" fontId="18" fillId="0" borderId="0" xfId="1" applyNumberFormat="1" applyFont="1" applyFill="1" applyAlignment="1">
      <alignment horizontal="right"/>
    </xf>
    <xf numFmtId="10" fontId="96" fillId="0" borderId="0" xfId="3" applyNumberFormat="1" applyFont="1" applyFill="1" applyAlignment="1">
      <alignment horizontal="right"/>
    </xf>
    <xf numFmtId="37" fontId="18" fillId="0" borderId="0" xfId="0" applyNumberFormat="1" applyFont="1" applyFill="1" applyBorder="1" applyAlignment="1">
      <alignment horizontal="left"/>
    </xf>
    <xf numFmtId="37" fontId="18" fillId="0" borderId="0" xfId="0" applyNumberFormat="1" applyFont="1" applyFill="1" applyAlignment="1">
      <alignment horizontal="left" vertical="center"/>
    </xf>
    <xf numFmtId="10" fontId="18" fillId="0" borderId="0" xfId="0" applyNumberFormat="1" applyFont="1" applyFill="1" applyAlignment="1">
      <alignment horizontal="center"/>
    </xf>
    <xf numFmtId="43" fontId="18" fillId="0" borderId="0" xfId="1" applyFont="1" applyFill="1" applyAlignment="1">
      <alignment horizontal="center"/>
    </xf>
    <xf numFmtId="7" fontId="18" fillId="0" borderId="0" xfId="0" applyNumberFormat="1" applyFont="1" applyFill="1"/>
    <xf numFmtId="37" fontId="18" fillId="0" borderId="0" xfId="0" applyNumberFormat="1" applyFont="1" applyFill="1" applyAlignment="1">
      <alignment horizontal="center" wrapText="1"/>
    </xf>
    <xf numFmtId="10" fontId="18" fillId="0" borderId="0" xfId="0" applyNumberFormat="1" applyFont="1" applyFill="1" applyAlignment="1">
      <alignment horizontal="right"/>
    </xf>
    <xf numFmtId="176" fontId="18" fillId="0" borderId="0" xfId="0" applyNumberFormat="1" applyFont="1" applyFill="1"/>
    <xf numFmtId="176" fontId="18" fillId="0" borderId="0" xfId="0" applyNumberFormat="1" applyFont="1" applyFill="1" applyAlignment="1">
      <alignment horizontal="right"/>
    </xf>
    <xf numFmtId="44" fontId="18" fillId="0" borderId="0" xfId="0" applyNumberFormat="1" applyFont="1" applyFill="1"/>
    <xf numFmtId="49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0" fillId="0" borderId="0" xfId="0" applyFill="1" applyBorder="1" applyAlignment="1">
      <alignment horizontal="center"/>
    </xf>
    <xf numFmtId="0" fontId="91" fillId="0" borderId="0" xfId="0" applyFont="1" applyFill="1" applyBorder="1" applyAlignment="1">
      <alignment horizontal="center"/>
    </xf>
    <xf numFmtId="178" fontId="0" fillId="0" borderId="0" xfId="0" applyNumberFormat="1" applyFill="1" applyAlignment="1">
      <alignment horizontal="center"/>
    </xf>
    <xf numFmtId="178" fontId="0" fillId="0" borderId="0" xfId="0" applyNumberFormat="1" applyFill="1" applyBorder="1" applyAlignment="1">
      <alignment horizontal="center"/>
    </xf>
    <xf numFmtId="49" fontId="21" fillId="0" borderId="0" xfId="0" applyNumberFormat="1" applyFont="1" applyFill="1" applyAlignment="1">
      <alignment wrapText="1"/>
    </xf>
    <xf numFmtId="166" fontId="0" fillId="0" borderId="0" xfId="0" applyNumberFormat="1" applyFill="1"/>
    <xf numFmtId="179" fontId="0" fillId="0" borderId="0" xfId="1" applyNumberFormat="1" applyFont="1" applyFill="1" applyAlignment="1">
      <alignment horizontal="center"/>
    </xf>
    <xf numFmtId="39" fontId="0" fillId="0" borderId="0" xfId="1" applyNumberFormat="1" applyFont="1" applyFill="1" applyAlignment="1">
      <alignment horizontal="center"/>
    </xf>
    <xf numFmtId="5" fontId="0" fillId="0" borderId="0" xfId="0" applyNumberFormat="1" applyFill="1"/>
    <xf numFmtId="5" fontId="0" fillId="0" borderId="0" xfId="0" applyNumberFormat="1" applyFill="1" applyBorder="1"/>
    <xf numFmtId="10" fontId="0" fillId="0" borderId="0" xfId="0" applyNumberFormat="1" applyFill="1"/>
    <xf numFmtId="2" fontId="0" fillId="0" borderId="0" xfId="0" applyNumberFormat="1" applyFill="1"/>
    <xf numFmtId="5" fontId="18" fillId="0" borderId="0" xfId="0" applyNumberFormat="1" applyFont="1" applyFill="1" applyBorder="1"/>
    <xf numFmtId="49" fontId="0" fillId="0" borderId="0" xfId="0" applyNumberFormat="1" applyFill="1"/>
    <xf numFmtId="39" fontId="0" fillId="0" borderId="0" xfId="0" applyNumberFormat="1" applyFill="1" applyAlignment="1">
      <alignment horizontal="center"/>
    </xf>
    <xf numFmtId="0" fontId="0" fillId="0" borderId="1" xfId="0" applyFill="1" applyBorder="1"/>
    <xf numFmtId="5" fontId="0" fillId="0" borderId="5" xfId="0" applyNumberFormat="1" applyFill="1" applyBorder="1"/>
    <xf numFmtId="10" fontId="0" fillId="0" borderId="0" xfId="0" applyNumberFormat="1" applyFill="1" applyBorder="1"/>
    <xf numFmtId="0" fontId="21" fillId="0" borderId="0" xfId="0" applyFont="1" applyFill="1"/>
    <xf numFmtId="164" fontId="0" fillId="0" borderId="5" xfId="0" applyNumberFormat="1" applyFill="1" applyBorder="1"/>
    <xf numFmtId="0" fontId="21" fillId="0" borderId="0" xfId="3" applyFont="1" applyFill="1"/>
    <xf numFmtId="0" fontId="18" fillId="0" borderId="0" xfId="3" applyFill="1" applyAlignment="1">
      <alignment horizontal="center"/>
    </xf>
    <xf numFmtId="164" fontId="18" fillId="0" borderId="5" xfId="3" applyNumberFormat="1" applyFill="1" applyBorder="1"/>
    <xf numFmtId="5" fontId="18" fillId="0" borderId="5" xfId="3" applyNumberFormat="1" applyFill="1" applyBorder="1"/>
    <xf numFmtId="176" fontId="0" fillId="0" borderId="4" xfId="0" applyNumberFormat="1" applyFill="1" applyBorder="1"/>
    <xf numFmtId="0" fontId="95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49" fontId="18" fillId="0" borderId="0" xfId="0" applyNumberFormat="1" applyFont="1" applyFill="1" applyAlignment="1">
      <alignment horizontal="left"/>
    </xf>
    <xf numFmtId="176" fontId="19" fillId="0" borderId="0" xfId="3" applyNumberFormat="1" applyFont="1" applyFill="1" applyAlignment="1">
      <alignment horizontal="right"/>
    </xf>
    <xf numFmtId="37" fontId="18" fillId="0" borderId="1" xfId="3" applyNumberFormat="1" applyFont="1" applyFill="1" applyBorder="1"/>
    <xf numFmtId="0" fontId="91" fillId="0" borderId="0" xfId="3" applyFont="1" applyFill="1" applyAlignment="1">
      <alignment horizontal="center"/>
    </xf>
    <xf numFmtId="49" fontId="91" fillId="0" borderId="0" xfId="3" applyNumberFormat="1" applyFont="1" applyFill="1" applyAlignment="1">
      <alignment horizontal="center" wrapText="1"/>
    </xf>
    <xf numFmtId="5" fontId="18" fillId="0" borderId="1" xfId="0" applyNumberFormat="1" applyFont="1" applyFill="1" applyBorder="1"/>
    <xf numFmtId="37" fontId="18" fillId="0" borderId="0" xfId="3" applyNumberFormat="1" applyFill="1"/>
    <xf numFmtId="49" fontId="18" fillId="0" borderId="0" xfId="3" applyNumberFormat="1" applyFont="1" applyFill="1" applyAlignment="1">
      <alignment wrapText="1"/>
    </xf>
    <xf numFmtId="49" fontId="18" fillId="0" borderId="0" xfId="3" applyNumberFormat="1" applyFont="1" applyFill="1"/>
    <xf numFmtId="0" fontId="18" fillId="0" borderId="0" xfId="3" applyFont="1" applyFill="1" applyAlignment="1">
      <alignment horizontal="right"/>
    </xf>
    <xf numFmtId="49" fontId="87" fillId="0" borderId="0" xfId="3" applyNumberFormat="1" applyFont="1" applyFill="1" applyAlignment="1">
      <alignment horizontal="center"/>
    </xf>
    <xf numFmtId="43" fontId="18" fillId="0" borderId="0" xfId="1" applyFont="1" applyFill="1" applyAlignment="1">
      <alignment horizontal="right"/>
    </xf>
    <xf numFmtId="0" fontId="18" fillId="0" borderId="0" xfId="0" applyNumberFormat="1" applyFont="1" applyFill="1" applyAlignment="1">
      <alignment horizontal="center"/>
    </xf>
    <xf numFmtId="49" fontId="19" fillId="0" borderId="0" xfId="0" applyNumberFormat="1" applyFont="1" applyFill="1"/>
    <xf numFmtId="49" fontId="96" fillId="0" borderId="0" xfId="0" applyNumberFormat="1" applyFont="1" applyFill="1"/>
    <xf numFmtId="166" fontId="19" fillId="0" borderId="0" xfId="0" applyNumberFormat="1" applyFont="1" applyFill="1"/>
    <xf numFmtId="166" fontId="18" fillId="0" borderId="0" xfId="0" applyNumberFormat="1" applyFont="1" applyFill="1"/>
    <xf numFmtId="166" fontId="19" fillId="0" borderId="0" xfId="0" applyNumberFormat="1" applyFont="1" applyFill="1" applyAlignment="1">
      <alignment horizontal="center" wrapText="1"/>
    </xf>
    <xf numFmtId="0" fontId="19" fillId="0" borderId="1" xfId="0" applyFont="1" applyFill="1" applyBorder="1" applyAlignment="1">
      <alignment horizontal="center"/>
    </xf>
    <xf numFmtId="49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wrapText="1"/>
    </xf>
    <xf numFmtId="0" fontId="21" fillId="0" borderId="0" xfId="0" applyFont="1" applyFill="1" applyAlignment="1">
      <alignment horizontal="center" wrapText="1"/>
    </xf>
    <xf numFmtId="178" fontId="19" fillId="0" borderId="0" xfId="0" quotePrefix="1" applyNumberFormat="1" applyFont="1" applyFill="1" applyAlignment="1">
      <alignment horizontal="center"/>
    </xf>
    <xf numFmtId="182" fontId="19" fillId="0" borderId="0" xfId="214" applyNumberFormat="1" applyFont="1" applyFill="1" applyBorder="1"/>
    <xf numFmtId="182" fontId="19" fillId="0" borderId="0" xfId="214" applyNumberFormat="1" applyFont="1" applyFill="1"/>
    <xf numFmtId="178" fontId="19" fillId="0" borderId="0" xfId="0" applyNumberFormat="1" applyFont="1" applyFill="1" applyAlignment="1">
      <alignment horizontal="center"/>
    </xf>
    <xf numFmtId="10" fontId="19" fillId="0" borderId="0" xfId="2" applyNumberFormat="1" applyFont="1" applyFill="1" applyAlignment="1">
      <alignment horizontal="center"/>
    </xf>
    <xf numFmtId="10" fontId="0" fillId="0" borderId="0" xfId="2" applyNumberFormat="1" applyFont="1" applyFill="1"/>
    <xf numFmtId="184" fontId="0" fillId="0" borderId="0" xfId="1" applyNumberFormat="1" applyFont="1" applyFill="1" applyBorder="1"/>
    <xf numFmtId="43" fontId="0" fillId="0" borderId="0" xfId="0" applyNumberFormat="1" applyFill="1"/>
    <xf numFmtId="185" fontId="0" fillId="0" borderId="0" xfId="214" applyNumberFormat="1" applyFont="1" applyFill="1"/>
    <xf numFmtId="184" fontId="0" fillId="0" borderId="0" xfId="1" applyNumberFormat="1" applyFont="1" applyFill="1"/>
    <xf numFmtId="182" fontId="19" fillId="0" borderId="3" xfId="214" applyNumberFormat="1" applyFont="1" applyFill="1" applyBorder="1"/>
    <xf numFmtId="10" fontId="18" fillId="0" borderId="0" xfId="2" applyNumberFormat="1" applyFont="1" applyFill="1"/>
    <xf numFmtId="185" fontId="0" fillId="0" borderId="0" xfId="214" applyNumberFormat="1" applyFont="1" applyFill="1" applyBorder="1"/>
    <xf numFmtId="7" fontId="0" fillId="0" borderId="0" xfId="0" applyNumberFormat="1" applyFill="1" applyBorder="1"/>
    <xf numFmtId="10" fontId="0" fillId="0" borderId="0" xfId="2" applyNumberFormat="1" applyFont="1" applyFill="1" applyBorder="1"/>
    <xf numFmtId="186" fontId="18" fillId="0" borderId="0" xfId="0" applyNumberFormat="1" applyFont="1" applyFill="1"/>
    <xf numFmtId="5" fontId="18" fillId="0" borderId="0" xfId="1" applyNumberFormat="1" applyFont="1" applyFill="1"/>
    <xf numFmtId="44" fontId="18" fillId="0" borderId="0" xfId="457" applyFont="1" applyFill="1"/>
    <xf numFmtId="182" fontId="98" fillId="0" borderId="0" xfId="0" applyNumberFormat="1" applyFont="1" applyFill="1"/>
    <xf numFmtId="0" fontId="0" fillId="0" borderId="0" xfId="0" applyFill="1" applyAlignment="1">
      <alignment horizontal="center"/>
    </xf>
    <xf numFmtId="187" fontId="19" fillId="0" borderId="0" xfId="0" applyNumberFormat="1" applyFont="1" applyFill="1"/>
    <xf numFmtId="182" fontId="0" fillId="0" borderId="0" xfId="214" applyNumberFormat="1" applyFont="1" applyFill="1" applyBorder="1"/>
    <xf numFmtId="0" fontId="18" fillId="0" borderId="0" xfId="0" applyFont="1"/>
    <xf numFmtId="190" fontId="18" fillId="0" borderId="0" xfId="0" applyNumberFormat="1" applyFont="1" applyFill="1"/>
    <xf numFmtId="189" fontId="18" fillId="0" borderId="1" xfId="2" applyNumberFormat="1" applyFont="1" applyFill="1" applyBorder="1"/>
    <xf numFmtId="189" fontId="18" fillId="0" borderId="1" xfId="0" applyNumberFormat="1" applyFont="1" applyFill="1" applyBorder="1"/>
    <xf numFmtId="191" fontId="18" fillId="0" borderId="0" xfId="0" applyNumberFormat="1" applyFont="1" applyFill="1" applyAlignment="1">
      <alignment horizontal="center"/>
    </xf>
    <xf numFmtId="191" fontId="18" fillId="0" borderId="0" xfId="0" applyNumberFormat="1" applyFont="1" applyFill="1"/>
    <xf numFmtId="176" fontId="18" fillId="0" borderId="0" xfId="2" applyNumberFormat="1" applyFont="1" applyFill="1"/>
    <xf numFmtId="10" fontId="19" fillId="0" borderId="0" xfId="3" applyNumberFormat="1" applyFont="1" applyFill="1" applyAlignment="1">
      <alignment horizontal="right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 wrapText="1"/>
    </xf>
    <xf numFmtId="49" fontId="0" fillId="0" borderId="0" xfId="0" applyNumberFormat="1" applyFill="1" applyBorder="1" applyAlignment="1">
      <alignment wrapText="1"/>
    </xf>
    <xf numFmtId="37" fontId="0" fillId="0" borderId="0" xfId="0" applyNumberFormat="1" applyFill="1" applyBorder="1" applyAlignment="1">
      <alignment horizontal="center" wrapText="1"/>
    </xf>
    <xf numFmtId="37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right"/>
    </xf>
    <xf numFmtId="0" fontId="89" fillId="0" borderId="0" xfId="0" applyFont="1" applyFill="1" applyBorder="1" applyAlignment="1">
      <alignment horizontal="center"/>
    </xf>
    <xf numFmtId="166" fontId="0" fillId="0" borderId="0" xfId="0" applyNumberFormat="1" applyFill="1" applyBorder="1"/>
    <xf numFmtId="0" fontId="90" fillId="0" borderId="0" xfId="0" applyFont="1" applyFill="1" applyBorder="1" applyAlignment="1">
      <alignment horizontal="left"/>
    </xf>
    <xf numFmtId="49" fontId="19" fillId="0" borderId="0" xfId="0" applyNumberFormat="1" applyFont="1" applyFill="1" applyBorder="1" applyAlignment="1"/>
    <xf numFmtId="37" fontId="18" fillId="0" borderId="0" xfId="1" applyNumberFormat="1" applyFont="1" applyFill="1" applyAlignment="1">
      <alignment horizontal="right"/>
    </xf>
    <xf numFmtId="37" fontId="18" fillId="0" borderId="1" xfId="1" applyNumberFormat="1" applyFont="1" applyFill="1" applyBorder="1" applyAlignment="1">
      <alignment horizontal="right"/>
    </xf>
    <xf numFmtId="167" fontId="18" fillId="0" borderId="0" xfId="0" applyNumberFormat="1" applyFont="1" applyFill="1"/>
    <xf numFmtId="184" fontId="18" fillId="0" borderId="0" xfId="1" applyNumberFormat="1" applyFont="1" applyFill="1"/>
    <xf numFmtId="37" fontId="19" fillId="0" borderId="0" xfId="3" applyNumberFormat="1" applyFont="1" applyFill="1" applyAlignment="1">
      <alignment horizontal="center"/>
    </xf>
    <xf numFmtId="192" fontId="18" fillId="0" borderId="0" xfId="3" applyNumberFormat="1" applyFill="1"/>
    <xf numFmtId="192" fontId="0" fillId="0" borderId="0" xfId="0" applyNumberFormat="1" applyFill="1"/>
    <xf numFmtId="192" fontId="0" fillId="0" borderId="0" xfId="0" applyNumberFormat="1" applyFill="1" applyBorder="1"/>
    <xf numFmtId="192" fontId="0" fillId="0" borderId="0" xfId="1" applyNumberFormat="1" applyFont="1" applyFill="1" applyBorder="1"/>
    <xf numFmtId="167" fontId="18" fillId="0" borderId="0" xfId="3" applyNumberFormat="1" applyFill="1"/>
    <xf numFmtId="182" fontId="18" fillId="0" borderId="3" xfId="214" applyNumberFormat="1" applyFont="1" applyFill="1" applyBorder="1"/>
    <xf numFmtId="173" fontId="18" fillId="0" borderId="0" xfId="0" applyNumberFormat="1" applyFont="1" applyFill="1" applyAlignment="1">
      <alignment horizontal="right"/>
    </xf>
    <xf numFmtId="164" fontId="101" fillId="0" borderId="0" xfId="1" applyNumberFormat="1" applyFont="1" applyFill="1" applyAlignment="1">
      <alignment wrapText="1"/>
    </xf>
    <xf numFmtId="164" fontId="101" fillId="0" borderId="0" xfId="1" applyNumberFormat="1" applyFont="1" applyFill="1" applyAlignment="1">
      <alignment horizontal="left" wrapText="1"/>
    </xf>
    <xf numFmtId="164" fontId="18" fillId="0" borderId="0" xfId="1" applyNumberFormat="1" applyFill="1" applyAlignment="1"/>
    <xf numFmtId="164" fontId="101" fillId="0" borderId="22" xfId="1" applyNumberFormat="1" applyFont="1" applyFill="1" applyBorder="1" applyAlignment="1">
      <alignment wrapText="1"/>
    </xf>
    <xf numFmtId="164" fontId="103" fillId="0" borderId="0" xfId="1" applyNumberFormat="1" applyFont="1" applyFill="1" applyAlignment="1">
      <alignment wrapText="1"/>
    </xf>
    <xf numFmtId="164" fontId="101" fillId="0" borderId="0" xfId="1" applyNumberFormat="1" applyFont="1" applyFill="1" applyBorder="1" applyAlignment="1">
      <alignment wrapText="1"/>
    </xf>
    <xf numFmtId="0" fontId="101" fillId="0" borderId="0" xfId="2465" applyFont="1" applyFill="1" applyAlignment="1">
      <alignment wrapText="1"/>
    </xf>
    <xf numFmtId="37" fontId="18" fillId="0" borderId="0" xfId="1" applyNumberFormat="1" applyFont="1" applyFill="1" applyBorder="1"/>
    <xf numFmtId="166" fontId="18" fillId="0" borderId="0" xfId="2" applyNumberFormat="1" applyFont="1" applyFill="1"/>
    <xf numFmtId="189" fontId="18" fillId="0" borderId="0" xfId="2" applyNumberFormat="1" applyFont="1" applyFill="1"/>
    <xf numFmtId="184" fontId="0" fillId="0" borderId="0" xfId="0" applyNumberFormat="1" applyFill="1" applyBorder="1"/>
    <xf numFmtId="5" fontId="18" fillId="0" borderId="0" xfId="457" applyNumberFormat="1" applyFont="1" applyFill="1"/>
    <xf numFmtId="182" fontId="0" fillId="0" borderId="0" xfId="0" applyNumberFormat="1" applyFill="1"/>
    <xf numFmtId="182" fontId="0" fillId="0" borderId="5" xfId="457" applyNumberFormat="1" applyFont="1" applyFill="1" applyBorder="1"/>
    <xf numFmtId="182" fontId="18" fillId="0" borderId="5" xfId="457" applyNumberFormat="1" applyFont="1" applyFill="1" applyBorder="1"/>
    <xf numFmtId="182" fontId="0" fillId="0" borderId="4" xfId="457" applyNumberFormat="1" applyFont="1" applyFill="1" applyBorder="1"/>
    <xf numFmtId="37" fontId="19" fillId="0" borderId="5" xfId="0" applyNumberFormat="1" applyFont="1" applyFill="1" applyBorder="1"/>
    <xf numFmtId="195" fontId="101" fillId="0" borderId="0" xfId="2465" applyNumberFormat="1" applyFont="1" applyFill="1" applyAlignment="1">
      <alignment wrapText="1"/>
    </xf>
    <xf numFmtId="49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91" fillId="0" borderId="0" xfId="0" applyFont="1" applyFill="1" applyAlignment="1">
      <alignment horizontal="center"/>
    </xf>
    <xf numFmtId="49" fontId="18" fillId="0" borderId="0" xfId="0" applyNumberFormat="1" applyFont="1" applyFill="1" applyAlignment="1">
      <alignment horizontal="center"/>
    </xf>
    <xf numFmtId="49" fontId="18" fillId="0" borderId="0" xfId="0" applyNumberFormat="1" applyFont="1" applyFill="1" applyAlignment="1"/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91" fillId="0" borderId="0" xfId="0" applyFont="1" applyFill="1" applyAlignment="1">
      <alignment horizontal="center"/>
    </xf>
    <xf numFmtId="0" fontId="19" fillId="0" borderId="5" xfId="0" applyFont="1" applyFill="1" applyBorder="1"/>
    <xf numFmtId="0" fontId="18" fillId="0" borderId="5" xfId="0" applyFont="1" applyFill="1" applyBorder="1"/>
    <xf numFmtId="173" fontId="19" fillId="0" borderId="0" xfId="0" applyNumberFormat="1" applyFont="1" applyFill="1" applyAlignment="1">
      <alignment horizontal="center"/>
    </xf>
    <xf numFmtId="14" fontId="0" fillId="0" borderId="0" xfId="1" applyNumberFormat="1" applyFont="1" applyFill="1" applyAlignment="1">
      <alignment horizontal="center"/>
    </xf>
    <xf numFmtId="188" fontId="0" fillId="0" borderId="0" xfId="1" applyNumberFormat="1" applyFont="1" applyFill="1" applyAlignment="1">
      <alignment horizontal="center"/>
    </xf>
    <xf numFmtId="166" fontId="0" fillId="0" borderId="0" xfId="2" applyNumberFormat="1" applyFont="1" applyFill="1"/>
    <xf numFmtId="14" fontId="0" fillId="0" borderId="0" xfId="0" applyNumberFormat="1" applyFill="1"/>
    <xf numFmtId="181" fontId="0" fillId="0" borderId="0" xfId="0" applyNumberFormat="1" applyFill="1" applyAlignment="1">
      <alignment horizontal="center"/>
    </xf>
    <xf numFmtId="182" fontId="0" fillId="0" borderId="0" xfId="457" applyNumberFormat="1" applyFont="1" applyFill="1"/>
    <xf numFmtId="166" fontId="18" fillId="0" borderId="0" xfId="352" applyNumberFormat="1" applyFont="1" applyFill="1"/>
    <xf numFmtId="14" fontId="18" fillId="0" borderId="0" xfId="3" applyNumberFormat="1" applyFill="1"/>
    <xf numFmtId="164" fontId="18" fillId="0" borderId="0" xfId="184" applyNumberFormat="1" applyFont="1" applyFill="1"/>
    <xf numFmtId="5" fontId="18" fillId="0" borderId="0" xfId="3" applyNumberFormat="1" applyFill="1"/>
    <xf numFmtId="0" fontId="19" fillId="0" borderId="0" xfId="0" applyFont="1" applyFill="1" applyBorder="1" applyAlignment="1">
      <alignment horizontal="center" wrapText="1"/>
    </xf>
    <xf numFmtId="49" fontId="18" fillId="0" borderId="0" xfId="0" applyNumberFormat="1" applyFont="1" applyFill="1" applyAlignment="1">
      <alignment horizontal="center"/>
    </xf>
    <xf numFmtId="49" fontId="19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left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91" fillId="0" borderId="0" xfId="0" applyFont="1" applyFill="1" applyAlignment="1">
      <alignment horizontal="center"/>
    </xf>
    <xf numFmtId="49" fontId="18" fillId="0" borderId="0" xfId="0" applyNumberFormat="1" applyFont="1" applyFill="1" applyAlignment="1">
      <alignment horizontal="left" wrapText="1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  <xf numFmtId="0" fontId="18" fillId="0" borderId="0" xfId="3" applyFont="1" applyFill="1" applyAlignment="1">
      <alignment horizontal="center"/>
    </xf>
    <xf numFmtId="0" fontId="18" fillId="0" borderId="0" xfId="0" applyFont="1" applyFill="1" applyAlignment="1">
      <alignment horizontal="center" wrapText="1"/>
    </xf>
    <xf numFmtId="182" fontId="19" fillId="0" borderId="1" xfId="214" applyNumberFormat="1" applyFont="1" applyFill="1" applyBorder="1"/>
    <xf numFmtId="182" fontId="19" fillId="0" borderId="0" xfId="457" applyNumberFormat="1" applyFont="1" applyFill="1" applyAlignment="1">
      <alignment horizontal="center"/>
    </xf>
    <xf numFmtId="164" fontId="92" fillId="0" borderId="0" xfId="1" applyNumberFormat="1" applyFont="1" applyFill="1" applyBorder="1"/>
    <xf numFmtId="5" fontId="18" fillId="0" borderId="0" xfId="3" applyNumberFormat="1" applyFont="1" applyFill="1"/>
    <xf numFmtId="37" fontId="18" fillId="0" borderId="1" xfId="3" applyNumberFormat="1" applyFill="1" applyBorder="1"/>
    <xf numFmtId="177" fontId="18" fillId="0" borderId="0" xfId="0" applyNumberFormat="1" applyFont="1" applyFill="1"/>
    <xf numFmtId="178" fontId="18" fillId="0" borderId="0" xfId="2466" applyNumberFormat="1" applyFont="1" applyFill="1" applyAlignment="1">
      <alignment horizontal="center"/>
    </xf>
    <xf numFmtId="40" fontId="18" fillId="0" borderId="0" xfId="0" applyNumberFormat="1" applyFont="1" applyFill="1"/>
    <xf numFmtId="0" fontId="18" fillId="0" borderId="0" xfId="2466" applyFont="1" applyFill="1"/>
    <xf numFmtId="40" fontId="18" fillId="0" borderId="0" xfId="0" applyNumberFormat="1" applyFont="1" applyFill="1" applyAlignment="1">
      <alignment horizontal="center"/>
    </xf>
    <xf numFmtId="0" fontId="18" fillId="0" borderId="0" xfId="2465" applyFill="1"/>
    <xf numFmtId="43" fontId="18" fillId="0" borderId="0" xfId="1" applyFill="1"/>
    <xf numFmtId="43" fontId="18" fillId="0" borderId="0" xfId="2465" applyNumberFormat="1" applyFill="1"/>
    <xf numFmtId="0" fontId="101" fillId="0" borderId="20" xfId="2465" applyFont="1" applyFill="1" applyBorder="1" applyAlignment="1">
      <alignment wrapText="1"/>
    </xf>
    <xf numFmtId="0" fontId="101" fillId="0" borderId="20" xfId="2465" applyFont="1" applyFill="1" applyBorder="1" applyAlignment="1">
      <alignment horizontal="center" wrapText="1"/>
    </xf>
    <xf numFmtId="0" fontId="102" fillId="0" borderId="21" xfId="2465" applyFont="1" applyFill="1" applyBorder="1" applyAlignment="1">
      <alignment horizontal="center" wrapText="1"/>
    </xf>
    <xf numFmtId="0" fontId="101" fillId="0" borderId="22" xfId="2465" applyFont="1" applyFill="1" applyBorder="1" applyAlignment="1">
      <alignment wrapText="1"/>
    </xf>
    <xf numFmtId="0" fontId="101" fillId="0" borderId="0" xfId="2465" applyFont="1" applyFill="1" applyAlignment="1">
      <alignment horizontal="center" vertical="top" wrapText="1"/>
    </xf>
    <xf numFmtId="0" fontId="101" fillId="0" borderId="0" xfId="2465" applyFont="1" applyFill="1" applyAlignment="1">
      <alignment horizontal="left" vertical="top" wrapText="1"/>
    </xf>
    <xf numFmtId="0" fontId="101" fillId="0" borderId="0" xfId="2467" applyFill="1">
      <alignment wrapText="1"/>
    </xf>
    <xf numFmtId="193" fontId="101" fillId="0" borderId="0" xfId="2465" applyNumberFormat="1" applyFont="1" applyFill="1" applyAlignment="1">
      <alignment horizontal="center" vertical="top" wrapText="1"/>
    </xf>
    <xf numFmtId="0" fontId="101" fillId="0" borderId="0" xfId="2465" applyFont="1" applyFill="1" applyAlignment="1">
      <alignment horizontal="left" wrapText="1"/>
    </xf>
    <xf numFmtId="194" fontId="101" fillId="0" borderId="0" xfId="2465" applyNumberFormat="1" applyFont="1" applyFill="1" applyAlignment="1">
      <alignment wrapText="1"/>
    </xf>
    <xf numFmtId="196" fontId="101" fillId="0" borderId="0" xfId="2465" applyNumberFormat="1" applyFont="1" applyFill="1" applyAlignment="1">
      <alignment wrapText="1"/>
    </xf>
    <xf numFmtId="164" fontId="18" fillId="0" borderId="0" xfId="1" applyNumberFormat="1" applyFill="1"/>
    <xf numFmtId="0" fontId="102" fillId="0" borderId="0" xfId="2465" applyFont="1" applyFill="1" applyAlignment="1">
      <alignment wrapText="1"/>
    </xf>
    <xf numFmtId="164" fontId="101" fillId="0" borderId="0" xfId="1" applyNumberFormat="1" applyFont="1" applyFill="1" applyAlignment="1">
      <alignment horizontal="center" wrapText="1"/>
    </xf>
    <xf numFmtId="197" fontId="101" fillId="0" borderId="0" xfId="2465" applyNumberFormat="1" applyFont="1" applyFill="1" applyAlignment="1">
      <alignment wrapText="1"/>
    </xf>
    <xf numFmtId="0" fontId="102" fillId="0" borderId="0" xfId="2465" applyFont="1" applyFill="1" applyAlignment="1">
      <alignment horizontal="left" wrapText="1"/>
    </xf>
    <xf numFmtId="197" fontId="101" fillId="0" borderId="0" xfId="2467" applyNumberFormat="1" applyFill="1">
      <alignment wrapText="1"/>
    </xf>
    <xf numFmtId="164" fontId="1" fillId="0" borderId="0" xfId="1" applyNumberFormat="1" applyFont="1" applyFill="1" applyBorder="1" applyAlignment="1"/>
    <xf numFmtId="0" fontId="102" fillId="0" borderId="0" xfId="2465" applyFont="1" applyFill="1" applyAlignment="1">
      <alignment vertical="top" wrapText="1"/>
    </xf>
    <xf numFmtId="197" fontId="18" fillId="0" borderId="0" xfId="2465" applyNumberFormat="1" applyFill="1"/>
    <xf numFmtId="0" fontId="18" fillId="0" borderId="0" xfId="2465" applyFill="1" applyAlignment="1">
      <alignment wrapText="1"/>
    </xf>
    <xf numFmtId="195" fontId="18" fillId="0" borderId="0" xfId="2465" applyNumberFormat="1" applyFill="1"/>
    <xf numFmtId="164" fontId="101" fillId="0" borderId="23" xfId="1" applyNumberFormat="1" applyFont="1" applyFill="1" applyBorder="1" applyAlignment="1">
      <alignment wrapText="1"/>
    </xf>
    <xf numFmtId="196" fontId="101" fillId="0" borderId="1" xfId="2465" applyNumberFormat="1" applyFont="1" applyFill="1" applyBorder="1" applyAlignment="1">
      <alignment wrapText="1"/>
    </xf>
    <xf numFmtId="198" fontId="101" fillId="0" borderId="22" xfId="2465" applyNumberFormat="1" applyFont="1" applyFill="1" applyBorder="1" applyAlignment="1">
      <alignment wrapText="1"/>
    </xf>
    <xf numFmtId="164" fontId="101" fillId="0" borderId="0" xfId="1" applyNumberFormat="1" applyFont="1" applyFill="1" applyAlignment="1">
      <alignment horizontal="right" wrapText="1"/>
    </xf>
    <xf numFmtId="164" fontId="103" fillId="0" borderId="0" xfId="1" applyNumberFormat="1" applyFont="1" applyFill="1" applyAlignment="1">
      <alignment horizontal="center" wrapText="1"/>
    </xf>
    <xf numFmtId="196" fontId="101" fillId="0" borderId="23" xfId="2465" applyNumberFormat="1" applyFont="1" applyFill="1" applyBorder="1" applyAlignment="1">
      <alignment wrapText="1"/>
    </xf>
    <xf numFmtId="199" fontId="101" fillId="0" borderId="24" xfId="2465" applyNumberFormat="1" applyFont="1" applyFill="1" applyBorder="1" applyAlignment="1">
      <alignment wrapText="1"/>
    </xf>
    <xf numFmtId="0" fontId="101" fillId="0" borderId="0" xfId="2465" applyFont="1" applyFill="1" applyAlignment="1">
      <alignment horizontal="right" wrapText="1"/>
    </xf>
    <xf numFmtId="0" fontId="101" fillId="0" borderId="25" xfId="2465" applyFont="1" applyFill="1" applyBorder="1" applyAlignment="1">
      <alignment wrapText="1"/>
    </xf>
    <xf numFmtId="0" fontId="101" fillId="0" borderId="25" xfId="2465" applyFont="1" applyFill="1" applyBorder="1" applyAlignment="1">
      <alignment horizontal="right" wrapText="1"/>
    </xf>
    <xf numFmtId="37" fontId="18" fillId="0" borderId="0" xfId="2465" applyNumberFormat="1" applyFill="1"/>
    <xf numFmtId="182" fontId="18" fillId="0" borderId="0" xfId="214" applyNumberFormat="1" applyFont="1" applyFill="1"/>
    <xf numFmtId="199" fontId="18" fillId="0" borderId="0" xfId="2465" applyNumberFormat="1" applyFill="1"/>
    <xf numFmtId="0" fontId="18" fillId="0" borderId="0" xfId="0" applyFont="1" applyFill="1" applyAlignment="1">
      <alignment wrapText="1"/>
    </xf>
    <xf numFmtId="37" fontId="18" fillId="0" borderId="0" xfId="0" applyNumberFormat="1" applyFont="1" applyFill="1" applyAlignment="1">
      <alignment wrapText="1"/>
    </xf>
    <xf numFmtId="0" fontId="18" fillId="0" borderId="0" xfId="0" quotePrefix="1" applyFont="1" applyFill="1" applyAlignment="1">
      <alignment horizontal="center"/>
    </xf>
    <xf numFmtId="49" fontId="99" fillId="0" borderId="0" xfId="0" applyNumberFormat="1" applyFont="1" applyFill="1" applyAlignment="1">
      <alignment horizontal="center" vertical="center" wrapText="1"/>
    </xf>
    <xf numFmtId="49" fontId="99" fillId="0" borderId="0" xfId="3" applyNumberFormat="1" applyFont="1" applyFill="1" applyAlignment="1">
      <alignment horizontal="center" vertical="center" wrapText="1"/>
    </xf>
    <xf numFmtId="182" fontId="18" fillId="0" borderId="0" xfId="2468" applyNumberFormat="1" applyFont="1" applyFill="1"/>
    <xf numFmtId="39" fontId="18" fillId="0" borderId="0" xfId="0" applyNumberFormat="1" applyFont="1" applyFill="1" applyAlignment="1">
      <alignment horizontal="right"/>
    </xf>
    <xf numFmtId="164" fontId="0" fillId="0" borderId="0" xfId="0" applyNumberFormat="1" applyFill="1"/>
    <xf numFmtId="164" fontId="100" fillId="0" borderId="0" xfId="0" applyNumberFormat="1" applyFont="1" applyFill="1" applyAlignment="1"/>
    <xf numFmtId="37" fontId="18" fillId="0" borderId="0" xfId="1" applyNumberFormat="1" applyFont="1" applyFill="1" applyAlignment="1">
      <alignment vertical="center"/>
    </xf>
    <xf numFmtId="0" fontId="18" fillId="0" borderId="0" xfId="0" applyFont="1" applyAlignment="1">
      <alignment horizontal="center"/>
    </xf>
    <xf numFmtId="37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center" wrapText="1"/>
    </xf>
    <xf numFmtId="37" fontId="18" fillId="0" borderId="0" xfId="0" quotePrefix="1" applyNumberFormat="1" applyFont="1" applyAlignment="1">
      <alignment horizontal="center"/>
    </xf>
    <xf numFmtId="37" fontId="18" fillId="0" borderId="0" xfId="0" applyNumberFormat="1" applyFont="1" applyAlignment="1">
      <alignment horizontal="center" wrapText="1"/>
    </xf>
    <xf numFmtId="39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 vertical="center" wrapText="1"/>
    </xf>
    <xf numFmtId="0" fontId="104" fillId="0" borderId="0" xfId="0" applyFont="1" applyFill="1" applyAlignment="1">
      <alignment horizontal="center"/>
    </xf>
    <xf numFmtId="0" fontId="18" fillId="0" borderId="0" xfId="3" applyFont="1" applyFill="1" applyAlignment="1">
      <alignment horizontal="center"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49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37" fontId="18" fillId="0" borderId="0" xfId="0" quotePrefix="1" applyNumberFormat="1" applyFont="1" applyFill="1" applyAlignment="1">
      <alignment horizontal="center"/>
    </xf>
    <xf numFmtId="193" fontId="101" fillId="0" borderId="0" xfId="2465" applyNumberFormat="1" applyFont="1" applyAlignment="1">
      <alignment horizontal="center" vertical="top" wrapText="1"/>
    </xf>
    <xf numFmtId="49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0" fillId="29" borderId="0" xfId="0" applyFill="1"/>
    <xf numFmtId="0" fontId="0" fillId="29" borderId="0" xfId="0" applyFill="1" applyAlignment="1">
      <alignment horizontal="center"/>
    </xf>
    <xf numFmtId="0" fontId="0" fillId="29" borderId="0" xfId="0" applyFill="1" applyAlignment="1">
      <alignment horizontal="right"/>
    </xf>
    <xf numFmtId="0" fontId="91" fillId="29" borderId="0" xfId="0" applyFont="1" applyFill="1" applyAlignment="1">
      <alignment horizontal="center"/>
    </xf>
    <xf numFmtId="178" fontId="0" fillId="29" borderId="0" xfId="0" applyNumberFormat="1" applyFill="1" applyAlignment="1">
      <alignment horizontal="center"/>
    </xf>
    <xf numFmtId="49" fontId="0" fillId="29" borderId="0" xfId="0" applyNumberFormat="1" applyFill="1" applyAlignment="1">
      <alignment horizontal="center" wrapText="1"/>
    </xf>
    <xf numFmtId="178" fontId="0" fillId="29" borderId="0" xfId="0" applyNumberFormat="1" applyFill="1"/>
    <xf numFmtId="182" fontId="0" fillId="29" borderId="0" xfId="457" applyNumberFormat="1" applyFont="1" applyFill="1"/>
    <xf numFmtId="5" fontId="0" fillId="29" borderId="0" xfId="0" applyNumberFormat="1" applyFill="1"/>
    <xf numFmtId="10" fontId="0" fillId="29" borderId="0" xfId="0" applyNumberFormat="1" applyFill="1"/>
    <xf numFmtId="166" fontId="0" fillId="29" borderId="0" xfId="0" applyNumberFormat="1" applyFill="1" applyAlignment="1">
      <alignment horizontal="center"/>
    </xf>
    <xf numFmtId="49" fontId="0" fillId="29" borderId="0" xfId="0" applyNumberFormat="1" applyFill="1" applyAlignment="1">
      <alignment horizontal="center"/>
    </xf>
    <xf numFmtId="5" fontId="0" fillId="29" borderId="0" xfId="0" applyNumberFormat="1" applyFill="1" applyAlignment="1">
      <alignment horizontal="center"/>
    </xf>
    <xf numFmtId="37" fontId="0" fillId="29" borderId="0" xfId="0" applyNumberFormat="1" applyFill="1"/>
    <xf numFmtId="37" fontId="0" fillId="29" borderId="0" xfId="0" applyNumberFormat="1" applyFill="1" applyAlignment="1">
      <alignment horizontal="center"/>
    </xf>
    <xf numFmtId="10" fontId="19" fillId="29" borderId="0" xfId="0" applyNumberFormat="1" applyFont="1" applyFill="1" applyAlignment="1">
      <alignment horizontal="center"/>
    </xf>
    <xf numFmtId="182" fontId="0" fillId="29" borderId="0" xfId="457" applyNumberFormat="1" applyFont="1" applyFill="1" applyAlignment="1">
      <alignment horizontal="center"/>
    </xf>
    <xf numFmtId="189" fontId="0" fillId="29" borderId="0" xfId="0" applyNumberFormat="1" applyFill="1" applyAlignment="1">
      <alignment horizontal="center"/>
    </xf>
    <xf numFmtId="176" fontId="19" fillId="29" borderId="0" xfId="0" applyNumberFormat="1" applyFont="1" applyFill="1"/>
    <xf numFmtId="43" fontId="0" fillId="29" borderId="0" xfId="1" applyFont="1" applyFill="1" applyAlignment="1">
      <alignment horizontal="center"/>
    </xf>
    <xf numFmtId="7" fontId="0" fillId="29" borderId="0" xfId="0" applyNumberFormat="1" applyFill="1"/>
    <xf numFmtId="173" fontId="0" fillId="29" borderId="0" xfId="0" applyNumberFormat="1" applyFill="1"/>
    <xf numFmtId="200" fontId="18" fillId="0" borderId="0" xfId="0" applyNumberFormat="1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10" fontId="19" fillId="0" borderId="0" xfId="0" applyNumberFormat="1" applyFont="1" applyFill="1" applyBorder="1"/>
    <xf numFmtId="0" fontId="19" fillId="0" borderId="0" xfId="0" applyFont="1" applyFill="1" applyBorder="1" applyAlignment="1">
      <alignment horizontal="center"/>
    </xf>
    <xf numFmtId="176" fontId="19" fillId="0" borderId="0" xfId="0" applyNumberFormat="1" applyFont="1" applyFill="1" applyBorder="1"/>
    <xf numFmtId="5" fontId="19" fillId="0" borderId="0" xfId="0" applyNumberFormat="1" applyFont="1" applyFill="1" applyBorder="1"/>
    <xf numFmtId="0" fontId="19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horizontal="center" wrapText="1"/>
    </xf>
    <xf numFmtId="49" fontId="18" fillId="0" borderId="0" xfId="0" applyNumberFormat="1" applyFont="1" applyFill="1" applyAlignment="1">
      <alignment horizontal="center"/>
    </xf>
    <xf numFmtId="49" fontId="18" fillId="0" borderId="0" xfId="0" applyNumberFormat="1" applyFont="1" applyFill="1" applyAlignment="1"/>
    <xf numFmtId="0" fontId="94" fillId="0" borderId="0" xfId="0" applyFont="1" applyFill="1" applyAlignment="1">
      <alignment horizontal="right" vertical="center" textRotation="180" wrapText="1"/>
    </xf>
    <xf numFmtId="49" fontId="19" fillId="0" borderId="0" xfId="0" applyNumberFormat="1" applyFont="1" applyFill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 vertical="top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0" xfId="3" applyFont="1" applyFill="1" applyAlignment="1">
      <alignment horizontal="center"/>
    </xf>
    <xf numFmtId="49" fontId="18" fillId="0" borderId="0" xfId="3" applyNumberFormat="1" applyFont="1" applyFill="1" applyAlignment="1">
      <alignment horizontal="center"/>
    </xf>
    <xf numFmtId="0" fontId="18" fillId="0" borderId="0" xfId="0" applyFont="1" applyFill="1" applyAlignment="1">
      <alignment horizontal="center" wrapText="1"/>
    </xf>
    <xf numFmtId="0" fontId="91" fillId="0" borderId="0" xfId="0" applyFont="1" applyFill="1" applyAlignment="1">
      <alignment horizontal="center"/>
    </xf>
    <xf numFmtId="0" fontId="0" fillId="0" borderId="0" xfId="0"/>
    <xf numFmtId="0" fontId="19" fillId="0" borderId="0" xfId="3" applyFont="1" applyAlignment="1">
      <alignment horizontal="center"/>
    </xf>
    <xf numFmtId="0" fontId="0" fillId="0" borderId="0" xfId="0" applyAlignment="1">
      <alignment horizontal="center"/>
    </xf>
    <xf numFmtId="49" fontId="87" fillId="0" borderId="0" xfId="3" applyNumberFormat="1" applyFont="1" applyAlignment="1">
      <alignment horizontal="center"/>
    </xf>
    <xf numFmtId="49" fontId="18" fillId="0" borderId="0" xfId="0" applyNumberFormat="1" applyFont="1" applyFill="1" applyAlignment="1">
      <alignment horizontal="left" wrapText="1"/>
    </xf>
    <xf numFmtId="0" fontId="101" fillId="0" borderId="0" xfId="2465" applyFont="1" applyFill="1" applyAlignment="1">
      <alignment horizontal="center" wrapText="1"/>
    </xf>
    <xf numFmtId="0" fontId="18" fillId="0" borderId="0" xfId="2465" applyFill="1"/>
  </cellXfs>
  <cellStyles count="2469">
    <cellStyle name="20% - Accent1 2" xfId="7" xr:uid="{00000000-0005-0000-0000-000000000000}"/>
    <cellStyle name="20% - Accent1 2 2" xfId="8" xr:uid="{00000000-0005-0000-0000-000001000000}"/>
    <cellStyle name="20% - Accent1 3" xfId="9" xr:uid="{00000000-0005-0000-0000-000002000000}"/>
    <cellStyle name="20% - Accent1 4" xfId="10" xr:uid="{00000000-0005-0000-0000-000003000000}"/>
    <cellStyle name="20% - Accent1 5" xfId="11" xr:uid="{00000000-0005-0000-0000-000004000000}"/>
    <cellStyle name="20% - Accent1 6" xfId="12" xr:uid="{00000000-0005-0000-0000-000005000000}"/>
    <cellStyle name="20% - Accent1 7" xfId="13" xr:uid="{00000000-0005-0000-0000-000006000000}"/>
    <cellStyle name="20% - Accent1 8" xfId="14" xr:uid="{00000000-0005-0000-0000-000007000000}"/>
    <cellStyle name="20% - Accent2 2" xfId="15" xr:uid="{00000000-0005-0000-0000-000008000000}"/>
    <cellStyle name="20% - Accent2 2 2" xfId="16" xr:uid="{00000000-0005-0000-0000-000009000000}"/>
    <cellStyle name="20% - Accent2 3" xfId="17" xr:uid="{00000000-0005-0000-0000-00000A000000}"/>
    <cellStyle name="20% - Accent2 4" xfId="18" xr:uid="{00000000-0005-0000-0000-00000B000000}"/>
    <cellStyle name="20% - Accent2 5" xfId="19" xr:uid="{00000000-0005-0000-0000-00000C000000}"/>
    <cellStyle name="20% - Accent2 6" xfId="20" xr:uid="{00000000-0005-0000-0000-00000D000000}"/>
    <cellStyle name="20% - Accent3 2" xfId="21" xr:uid="{00000000-0005-0000-0000-00000E000000}"/>
    <cellStyle name="20% - Accent3 2 2" xfId="22" xr:uid="{00000000-0005-0000-0000-00000F000000}"/>
    <cellStyle name="20% - Accent3 3" xfId="23" xr:uid="{00000000-0005-0000-0000-000010000000}"/>
    <cellStyle name="20% - Accent3 4" xfId="24" xr:uid="{00000000-0005-0000-0000-000011000000}"/>
    <cellStyle name="20% - Accent3 5" xfId="25" xr:uid="{00000000-0005-0000-0000-000012000000}"/>
    <cellStyle name="20% - Accent3 6" xfId="26" xr:uid="{00000000-0005-0000-0000-000013000000}"/>
    <cellStyle name="20% - Accent3 7" xfId="27" xr:uid="{00000000-0005-0000-0000-000014000000}"/>
    <cellStyle name="20% - Accent3 8" xfId="28" xr:uid="{00000000-0005-0000-0000-000015000000}"/>
    <cellStyle name="20% - Accent4 2" xfId="29" xr:uid="{00000000-0005-0000-0000-000016000000}"/>
    <cellStyle name="20% - Accent4 2 2" xfId="30" xr:uid="{00000000-0005-0000-0000-000017000000}"/>
    <cellStyle name="20% - Accent4 3" xfId="31" xr:uid="{00000000-0005-0000-0000-000018000000}"/>
    <cellStyle name="20% - Accent4 4" xfId="32" xr:uid="{00000000-0005-0000-0000-000019000000}"/>
    <cellStyle name="20% - Accent4 5" xfId="33" xr:uid="{00000000-0005-0000-0000-00001A000000}"/>
    <cellStyle name="20% - Accent4 6" xfId="34" xr:uid="{00000000-0005-0000-0000-00001B000000}"/>
    <cellStyle name="20% - Accent4 7" xfId="35" xr:uid="{00000000-0005-0000-0000-00001C000000}"/>
    <cellStyle name="20% - Accent4 8" xfId="36" xr:uid="{00000000-0005-0000-0000-00001D000000}"/>
    <cellStyle name="20% - Accent5 2" xfId="37" xr:uid="{00000000-0005-0000-0000-00001E000000}"/>
    <cellStyle name="20% - Accent5 2 2" xfId="38" xr:uid="{00000000-0005-0000-0000-00001F000000}"/>
    <cellStyle name="20% - Accent5 3" xfId="39" xr:uid="{00000000-0005-0000-0000-000020000000}"/>
    <cellStyle name="20% - Accent5 4" xfId="40" xr:uid="{00000000-0005-0000-0000-000021000000}"/>
    <cellStyle name="20% - Accent5 5" xfId="41" xr:uid="{00000000-0005-0000-0000-000022000000}"/>
    <cellStyle name="20% - Accent5 6" xfId="42" xr:uid="{00000000-0005-0000-0000-000023000000}"/>
    <cellStyle name="20% - Accent6 2" xfId="43" xr:uid="{00000000-0005-0000-0000-000024000000}"/>
    <cellStyle name="20% - Accent6 2 2" xfId="44" xr:uid="{00000000-0005-0000-0000-000025000000}"/>
    <cellStyle name="20% - Accent6 3" xfId="45" xr:uid="{00000000-0005-0000-0000-000026000000}"/>
    <cellStyle name="20% - Accent6 4" xfId="46" xr:uid="{00000000-0005-0000-0000-000027000000}"/>
    <cellStyle name="20% - Accent6 5" xfId="47" xr:uid="{00000000-0005-0000-0000-000028000000}"/>
    <cellStyle name="20% - Accent6 6" xfId="48" xr:uid="{00000000-0005-0000-0000-000029000000}"/>
    <cellStyle name="40% - Accent1 2" xfId="49" xr:uid="{00000000-0005-0000-0000-00002A000000}"/>
    <cellStyle name="40% - Accent1 2 2" xfId="50" xr:uid="{00000000-0005-0000-0000-00002B000000}"/>
    <cellStyle name="40% - Accent1 3" xfId="51" xr:uid="{00000000-0005-0000-0000-00002C000000}"/>
    <cellStyle name="40% - Accent1 4" xfId="52" xr:uid="{00000000-0005-0000-0000-00002D000000}"/>
    <cellStyle name="40% - Accent1 5" xfId="53" xr:uid="{00000000-0005-0000-0000-00002E000000}"/>
    <cellStyle name="40% - Accent1 6" xfId="54" xr:uid="{00000000-0005-0000-0000-00002F000000}"/>
    <cellStyle name="40% - Accent1 7" xfId="55" xr:uid="{00000000-0005-0000-0000-000030000000}"/>
    <cellStyle name="40% - Accent1 8" xfId="56" xr:uid="{00000000-0005-0000-0000-000031000000}"/>
    <cellStyle name="40% - Accent2 2" xfId="57" xr:uid="{00000000-0005-0000-0000-000032000000}"/>
    <cellStyle name="40% - Accent2 2 2" xfId="58" xr:uid="{00000000-0005-0000-0000-000033000000}"/>
    <cellStyle name="40% - Accent2 3" xfId="59" xr:uid="{00000000-0005-0000-0000-000034000000}"/>
    <cellStyle name="40% - Accent2 4" xfId="60" xr:uid="{00000000-0005-0000-0000-000035000000}"/>
    <cellStyle name="40% - Accent2 5" xfId="61" xr:uid="{00000000-0005-0000-0000-000036000000}"/>
    <cellStyle name="40% - Accent2 6" xfId="62" xr:uid="{00000000-0005-0000-0000-000037000000}"/>
    <cellStyle name="40% - Accent3 2" xfId="63" xr:uid="{00000000-0005-0000-0000-000038000000}"/>
    <cellStyle name="40% - Accent3 2 2" xfId="64" xr:uid="{00000000-0005-0000-0000-000039000000}"/>
    <cellStyle name="40% - Accent3 3" xfId="65" xr:uid="{00000000-0005-0000-0000-00003A000000}"/>
    <cellStyle name="40% - Accent3 4" xfId="66" xr:uid="{00000000-0005-0000-0000-00003B000000}"/>
    <cellStyle name="40% - Accent3 5" xfId="67" xr:uid="{00000000-0005-0000-0000-00003C000000}"/>
    <cellStyle name="40% - Accent3 6" xfId="68" xr:uid="{00000000-0005-0000-0000-00003D000000}"/>
    <cellStyle name="40% - Accent3 7" xfId="69" xr:uid="{00000000-0005-0000-0000-00003E000000}"/>
    <cellStyle name="40% - Accent3 8" xfId="70" xr:uid="{00000000-0005-0000-0000-00003F000000}"/>
    <cellStyle name="40% - Accent4 2" xfId="71" xr:uid="{00000000-0005-0000-0000-000040000000}"/>
    <cellStyle name="40% - Accent4 2 2" xfId="72" xr:uid="{00000000-0005-0000-0000-000041000000}"/>
    <cellStyle name="40% - Accent4 3" xfId="73" xr:uid="{00000000-0005-0000-0000-000042000000}"/>
    <cellStyle name="40% - Accent4 4" xfId="74" xr:uid="{00000000-0005-0000-0000-000043000000}"/>
    <cellStyle name="40% - Accent4 5" xfId="75" xr:uid="{00000000-0005-0000-0000-000044000000}"/>
    <cellStyle name="40% - Accent4 6" xfId="76" xr:uid="{00000000-0005-0000-0000-000045000000}"/>
    <cellStyle name="40% - Accent4 7" xfId="77" xr:uid="{00000000-0005-0000-0000-000046000000}"/>
    <cellStyle name="40% - Accent4 8" xfId="78" xr:uid="{00000000-0005-0000-0000-000047000000}"/>
    <cellStyle name="40% - Accent5 2" xfId="79" xr:uid="{00000000-0005-0000-0000-000048000000}"/>
    <cellStyle name="40% - Accent5 2 2" xfId="80" xr:uid="{00000000-0005-0000-0000-000049000000}"/>
    <cellStyle name="40% - Accent5 3" xfId="81" xr:uid="{00000000-0005-0000-0000-00004A000000}"/>
    <cellStyle name="40% - Accent5 4" xfId="82" xr:uid="{00000000-0005-0000-0000-00004B000000}"/>
    <cellStyle name="40% - Accent5 5" xfId="83" xr:uid="{00000000-0005-0000-0000-00004C000000}"/>
    <cellStyle name="40% - Accent5 6" xfId="84" xr:uid="{00000000-0005-0000-0000-00004D000000}"/>
    <cellStyle name="40% - Accent6 2" xfId="85" xr:uid="{00000000-0005-0000-0000-00004E000000}"/>
    <cellStyle name="40% - Accent6 2 2" xfId="86" xr:uid="{00000000-0005-0000-0000-00004F000000}"/>
    <cellStyle name="40% - Accent6 3" xfId="87" xr:uid="{00000000-0005-0000-0000-000050000000}"/>
    <cellStyle name="40% - Accent6 4" xfId="88" xr:uid="{00000000-0005-0000-0000-000051000000}"/>
    <cellStyle name="40% - Accent6 5" xfId="89" xr:uid="{00000000-0005-0000-0000-000052000000}"/>
    <cellStyle name="40% - Accent6 6" xfId="90" xr:uid="{00000000-0005-0000-0000-000053000000}"/>
    <cellStyle name="40% - Accent6 7" xfId="91" xr:uid="{00000000-0005-0000-0000-000054000000}"/>
    <cellStyle name="40% - Accent6 8" xfId="92" xr:uid="{00000000-0005-0000-0000-000055000000}"/>
    <cellStyle name="60% - Accent1 2" xfId="93" xr:uid="{00000000-0005-0000-0000-000056000000}"/>
    <cellStyle name="60% - Accent1 3" xfId="94" xr:uid="{00000000-0005-0000-0000-000057000000}"/>
    <cellStyle name="60% - Accent1 4" xfId="95" xr:uid="{00000000-0005-0000-0000-000058000000}"/>
    <cellStyle name="60% - Accent1 5" xfId="96" xr:uid="{00000000-0005-0000-0000-000059000000}"/>
    <cellStyle name="60% - Accent1 6" xfId="97" xr:uid="{00000000-0005-0000-0000-00005A000000}"/>
    <cellStyle name="60% - Accent1 7" xfId="98" xr:uid="{00000000-0005-0000-0000-00005B000000}"/>
    <cellStyle name="60% - Accent1 8" xfId="99" xr:uid="{00000000-0005-0000-0000-00005C000000}"/>
    <cellStyle name="60% - Accent2 2" xfId="100" xr:uid="{00000000-0005-0000-0000-00005D000000}"/>
    <cellStyle name="60% - Accent2 3" xfId="101" xr:uid="{00000000-0005-0000-0000-00005E000000}"/>
    <cellStyle name="60% - Accent2 4" xfId="102" xr:uid="{00000000-0005-0000-0000-00005F000000}"/>
    <cellStyle name="60% - Accent2 5" xfId="103" xr:uid="{00000000-0005-0000-0000-000060000000}"/>
    <cellStyle name="60% - Accent2 6" xfId="104" xr:uid="{00000000-0005-0000-0000-000061000000}"/>
    <cellStyle name="60% - Accent3 2" xfId="105" xr:uid="{00000000-0005-0000-0000-000062000000}"/>
    <cellStyle name="60% - Accent3 3" xfId="106" xr:uid="{00000000-0005-0000-0000-000063000000}"/>
    <cellStyle name="60% - Accent3 4" xfId="107" xr:uid="{00000000-0005-0000-0000-000064000000}"/>
    <cellStyle name="60% - Accent3 5" xfId="108" xr:uid="{00000000-0005-0000-0000-000065000000}"/>
    <cellStyle name="60% - Accent3 6" xfId="109" xr:uid="{00000000-0005-0000-0000-000066000000}"/>
    <cellStyle name="60% - Accent3 7" xfId="110" xr:uid="{00000000-0005-0000-0000-000067000000}"/>
    <cellStyle name="60% - Accent3 8" xfId="111" xr:uid="{00000000-0005-0000-0000-000068000000}"/>
    <cellStyle name="60% - Accent4 2" xfId="112" xr:uid="{00000000-0005-0000-0000-000069000000}"/>
    <cellStyle name="60% - Accent4 3" xfId="113" xr:uid="{00000000-0005-0000-0000-00006A000000}"/>
    <cellStyle name="60% - Accent4 4" xfId="114" xr:uid="{00000000-0005-0000-0000-00006B000000}"/>
    <cellStyle name="60% - Accent4 5" xfId="115" xr:uid="{00000000-0005-0000-0000-00006C000000}"/>
    <cellStyle name="60% - Accent4 6" xfId="116" xr:uid="{00000000-0005-0000-0000-00006D000000}"/>
    <cellStyle name="60% - Accent4 7" xfId="117" xr:uid="{00000000-0005-0000-0000-00006E000000}"/>
    <cellStyle name="60% - Accent4 8" xfId="118" xr:uid="{00000000-0005-0000-0000-00006F000000}"/>
    <cellStyle name="60% - Accent5 2" xfId="119" xr:uid="{00000000-0005-0000-0000-000070000000}"/>
    <cellStyle name="60% - Accent5 3" xfId="120" xr:uid="{00000000-0005-0000-0000-000071000000}"/>
    <cellStyle name="60% - Accent5 4" xfId="121" xr:uid="{00000000-0005-0000-0000-000072000000}"/>
    <cellStyle name="60% - Accent5 5" xfId="122" xr:uid="{00000000-0005-0000-0000-000073000000}"/>
    <cellStyle name="60% - Accent5 6" xfId="123" xr:uid="{00000000-0005-0000-0000-000074000000}"/>
    <cellStyle name="60% - Accent6 2" xfId="124" xr:uid="{00000000-0005-0000-0000-000075000000}"/>
    <cellStyle name="60% - Accent6 3" xfId="125" xr:uid="{00000000-0005-0000-0000-000076000000}"/>
    <cellStyle name="60% - Accent6 4" xfId="126" xr:uid="{00000000-0005-0000-0000-000077000000}"/>
    <cellStyle name="60% - Accent6 5" xfId="127" xr:uid="{00000000-0005-0000-0000-000078000000}"/>
    <cellStyle name="60% - Accent6 6" xfId="128" xr:uid="{00000000-0005-0000-0000-000079000000}"/>
    <cellStyle name="60% - Accent6 7" xfId="129" xr:uid="{00000000-0005-0000-0000-00007A000000}"/>
    <cellStyle name="60% - Accent6 8" xfId="130" xr:uid="{00000000-0005-0000-0000-00007B000000}"/>
    <cellStyle name="Accent1 2" xfId="131" xr:uid="{00000000-0005-0000-0000-00007C000000}"/>
    <cellStyle name="Accent1 3" xfId="132" xr:uid="{00000000-0005-0000-0000-00007D000000}"/>
    <cellStyle name="Accent1 4" xfId="133" xr:uid="{00000000-0005-0000-0000-00007E000000}"/>
    <cellStyle name="Accent1 5" xfId="134" xr:uid="{00000000-0005-0000-0000-00007F000000}"/>
    <cellStyle name="Accent1 6" xfId="135" xr:uid="{00000000-0005-0000-0000-000080000000}"/>
    <cellStyle name="Accent1 7" xfId="136" xr:uid="{00000000-0005-0000-0000-000081000000}"/>
    <cellStyle name="Accent1 8" xfId="137" xr:uid="{00000000-0005-0000-0000-000082000000}"/>
    <cellStyle name="Accent2 2" xfId="138" xr:uid="{00000000-0005-0000-0000-000083000000}"/>
    <cellStyle name="Accent2 3" xfId="139" xr:uid="{00000000-0005-0000-0000-000084000000}"/>
    <cellStyle name="Accent2 4" xfId="140" xr:uid="{00000000-0005-0000-0000-000085000000}"/>
    <cellStyle name="Accent2 5" xfId="141" xr:uid="{00000000-0005-0000-0000-000086000000}"/>
    <cellStyle name="Accent2 6" xfId="142" xr:uid="{00000000-0005-0000-0000-000087000000}"/>
    <cellStyle name="Accent3 2" xfId="143" xr:uid="{00000000-0005-0000-0000-000088000000}"/>
    <cellStyle name="Accent3 3" xfId="144" xr:uid="{00000000-0005-0000-0000-000089000000}"/>
    <cellStyle name="Accent3 4" xfId="145" xr:uid="{00000000-0005-0000-0000-00008A000000}"/>
    <cellStyle name="Accent3 5" xfId="146" xr:uid="{00000000-0005-0000-0000-00008B000000}"/>
    <cellStyle name="Accent3 6" xfId="147" xr:uid="{00000000-0005-0000-0000-00008C000000}"/>
    <cellStyle name="Accent4 2" xfId="148" xr:uid="{00000000-0005-0000-0000-00008D000000}"/>
    <cellStyle name="Accent4 3" xfId="149" xr:uid="{00000000-0005-0000-0000-00008E000000}"/>
    <cellStyle name="Accent4 4" xfId="150" xr:uid="{00000000-0005-0000-0000-00008F000000}"/>
    <cellStyle name="Accent4 5" xfId="151" xr:uid="{00000000-0005-0000-0000-000090000000}"/>
    <cellStyle name="Accent4 6" xfId="152" xr:uid="{00000000-0005-0000-0000-000091000000}"/>
    <cellStyle name="Accent4 7" xfId="153" xr:uid="{00000000-0005-0000-0000-000092000000}"/>
    <cellStyle name="Accent4 8" xfId="154" xr:uid="{00000000-0005-0000-0000-000093000000}"/>
    <cellStyle name="Accent5 2" xfId="155" xr:uid="{00000000-0005-0000-0000-000094000000}"/>
    <cellStyle name="Accent5 3" xfId="156" xr:uid="{00000000-0005-0000-0000-000095000000}"/>
    <cellStyle name="Accent5 4" xfId="157" xr:uid="{00000000-0005-0000-0000-000096000000}"/>
    <cellStyle name="Accent5 5" xfId="158" xr:uid="{00000000-0005-0000-0000-000097000000}"/>
    <cellStyle name="Accent5 6" xfId="159" xr:uid="{00000000-0005-0000-0000-000098000000}"/>
    <cellStyle name="Accent6 2" xfId="160" xr:uid="{00000000-0005-0000-0000-000099000000}"/>
    <cellStyle name="Accent6 3" xfId="161" xr:uid="{00000000-0005-0000-0000-00009A000000}"/>
    <cellStyle name="Accent6 4" xfId="162" xr:uid="{00000000-0005-0000-0000-00009B000000}"/>
    <cellStyle name="Accent6 5" xfId="163" xr:uid="{00000000-0005-0000-0000-00009C000000}"/>
    <cellStyle name="Accent6 6" xfId="164" xr:uid="{00000000-0005-0000-0000-00009D000000}"/>
    <cellStyle name="Bad 2" xfId="165" xr:uid="{00000000-0005-0000-0000-00009E000000}"/>
    <cellStyle name="Bad 3" xfId="166" xr:uid="{00000000-0005-0000-0000-00009F000000}"/>
    <cellStyle name="Bad 4" xfId="167" xr:uid="{00000000-0005-0000-0000-0000A0000000}"/>
    <cellStyle name="Bad 5" xfId="168" xr:uid="{00000000-0005-0000-0000-0000A1000000}"/>
    <cellStyle name="Bad 6" xfId="169" xr:uid="{00000000-0005-0000-0000-0000A2000000}"/>
    <cellStyle name="Bad 7" xfId="170" xr:uid="{00000000-0005-0000-0000-0000A3000000}"/>
    <cellStyle name="Bad 8" xfId="171" xr:uid="{00000000-0005-0000-0000-0000A4000000}"/>
    <cellStyle name="Calculation 2" xfId="172" xr:uid="{00000000-0005-0000-0000-0000A5000000}"/>
    <cellStyle name="Calculation 3" xfId="173" xr:uid="{00000000-0005-0000-0000-0000A6000000}"/>
    <cellStyle name="Calculation 4" xfId="174" xr:uid="{00000000-0005-0000-0000-0000A7000000}"/>
    <cellStyle name="Calculation 5" xfId="175" xr:uid="{00000000-0005-0000-0000-0000A8000000}"/>
    <cellStyle name="Calculation 6" xfId="176" xr:uid="{00000000-0005-0000-0000-0000A9000000}"/>
    <cellStyle name="Check Cell 2" xfId="177" xr:uid="{00000000-0005-0000-0000-0000AA000000}"/>
    <cellStyle name="Check Cell 3" xfId="178" xr:uid="{00000000-0005-0000-0000-0000AB000000}"/>
    <cellStyle name="Check Cell 4" xfId="179" xr:uid="{00000000-0005-0000-0000-0000AC000000}"/>
    <cellStyle name="Check Cell 5" xfId="180" xr:uid="{00000000-0005-0000-0000-0000AD000000}"/>
    <cellStyle name="Check Cell 6" xfId="181" xr:uid="{00000000-0005-0000-0000-0000AE000000}"/>
    <cellStyle name="Check Cell 7" xfId="182" xr:uid="{00000000-0005-0000-0000-0000AF000000}"/>
    <cellStyle name="Check Cell 8" xfId="183" xr:uid="{00000000-0005-0000-0000-0000B0000000}"/>
    <cellStyle name="Comma" xfId="1" builtinId="3"/>
    <cellStyle name="Comma 10" xfId="184" xr:uid="{00000000-0005-0000-0000-0000B2000000}"/>
    <cellStyle name="Comma 11" xfId="185" xr:uid="{00000000-0005-0000-0000-0000B3000000}"/>
    <cellStyle name="Comma 12" xfId="186" xr:uid="{00000000-0005-0000-0000-0000B4000000}"/>
    <cellStyle name="Comma 13" xfId="187" xr:uid="{00000000-0005-0000-0000-0000B5000000}"/>
    <cellStyle name="Comma 14" xfId="188" xr:uid="{00000000-0005-0000-0000-0000B6000000}"/>
    <cellStyle name="Comma 15" xfId="189" xr:uid="{00000000-0005-0000-0000-0000B7000000}"/>
    <cellStyle name="Comma 16" xfId="4" xr:uid="{00000000-0005-0000-0000-0000B8000000}"/>
    <cellStyle name="Comma 17" xfId="190" xr:uid="{00000000-0005-0000-0000-0000B9000000}"/>
    <cellStyle name="Comma 17 2" xfId="472" xr:uid="{00000000-0005-0000-0000-0000BA000000}"/>
    <cellStyle name="Comma 17 2 2" xfId="521" xr:uid="{00000000-0005-0000-0000-0000BB000000}"/>
    <cellStyle name="Comma 17 2 2 2" xfId="645" xr:uid="{00000000-0005-0000-0000-0000BC000000}"/>
    <cellStyle name="Comma 17 2 2 2 2" xfId="893" xr:uid="{00000000-0005-0000-0000-0000BD000000}"/>
    <cellStyle name="Comma 17 2 2 2 2 2" xfId="1397" xr:uid="{00000000-0005-0000-0000-0000BE000000}"/>
    <cellStyle name="Comma 17 2 2 2 2 2 2" xfId="2399" xr:uid="{00000000-0005-0000-0000-0000BF000000}"/>
    <cellStyle name="Comma 17 2 2 2 2 3" xfId="1898" xr:uid="{00000000-0005-0000-0000-0000C0000000}"/>
    <cellStyle name="Comma 17 2 2 2 3" xfId="1149" xr:uid="{00000000-0005-0000-0000-0000C1000000}"/>
    <cellStyle name="Comma 17 2 2 2 3 2" xfId="2151" xr:uid="{00000000-0005-0000-0000-0000C2000000}"/>
    <cellStyle name="Comma 17 2 2 2 4" xfId="1650" xr:uid="{00000000-0005-0000-0000-0000C3000000}"/>
    <cellStyle name="Comma 17 2 2 3" xfId="769" xr:uid="{00000000-0005-0000-0000-0000C4000000}"/>
    <cellStyle name="Comma 17 2 2 3 2" xfId="1273" xr:uid="{00000000-0005-0000-0000-0000C5000000}"/>
    <cellStyle name="Comma 17 2 2 3 2 2" xfId="2275" xr:uid="{00000000-0005-0000-0000-0000C6000000}"/>
    <cellStyle name="Comma 17 2 2 3 3" xfId="1774" xr:uid="{00000000-0005-0000-0000-0000C7000000}"/>
    <cellStyle name="Comma 17 2 2 4" xfId="1025" xr:uid="{00000000-0005-0000-0000-0000C8000000}"/>
    <cellStyle name="Comma 17 2 2 4 2" xfId="2027" xr:uid="{00000000-0005-0000-0000-0000C9000000}"/>
    <cellStyle name="Comma 17 2 2 5" xfId="1526" xr:uid="{00000000-0005-0000-0000-0000CA000000}"/>
    <cellStyle name="Comma 17 2 3" xfId="604" xr:uid="{00000000-0005-0000-0000-0000CB000000}"/>
    <cellStyle name="Comma 17 2 3 2" xfId="852" xr:uid="{00000000-0005-0000-0000-0000CC000000}"/>
    <cellStyle name="Comma 17 2 3 2 2" xfId="1356" xr:uid="{00000000-0005-0000-0000-0000CD000000}"/>
    <cellStyle name="Comma 17 2 3 2 2 2" xfId="2358" xr:uid="{00000000-0005-0000-0000-0000CE000000}"/>
    <cellStyle name="Comma 17 2 3 2 3" xfId="1857" xr:uid="{00000000-0005-0000-0000-0000CF000000}"/>
    <cellStyle name="Comma 17 2 3 3" xfId="1108" xr:uid="{00000000-0005-0000-0000-0000D0000000}"/>
    <cellStyle name="Comma 17 2 3 3 2" xfId="2110" xr:uid="{00000000-0005-0000-0000-0000D1000000}"/>
    <cellStyle name="Comma 17 2 3 4" xfId="1609" xr:uid="{00000000-0005-0000-0000-0000D2000000}"/>
    <cellStyle name="Comma 17 2 4" xfId="728" xr:uid="{00000000-0005-0000-0000-0000D3000000}"/>
    <cellStyle name="Comma 17 2 4 2" xfId="1232" xr:uid="{00000000-0005-0000-0000-0000D4000000}"/>
    <cellStyle name="Comma 17 2 4 2 2" xfId="2234" xr:uid="{00000000-0005-0000-0000-0000D5000000}"/>
    <cellStyle name="Comma 17 2 4 3" xfId="1733" xr:uid="{00000000-0005-0000-0000-0000D6000000}"/>
    <cellStyle name="Comma 17 2 5" xfId="984" xr:uid="{00000000-0005-0000-0000-0000D7000000}"/>
    <cellStyle name="Comma 17 2 5 2" xfId="1986" xr:uid="{00000000-0005-0000-0000-0000D8000000}"/>
    <cellStyle name="Comma 17 2 6" xfId="1485" xr:uid="{00000000-0005-0000-0000-0000D9000000}"/>
    <cellStyle name="Comma 17 3" xfId="500" xr:uid="{00000000-0005-0000-0000-0000DA000000}"/>
    <cellStyle name="Comma 17 3 2" xfId="522" xr:uid="{00000000-0005-0000-0000-0000DB000000}"/>
    <cellStyle name="Comma 17 3 2 2" xfId="646" xr:uid="{00000000-0005-0000-0000-0000DC000000}"/>
    <cellStyle name="Comma 17 3 2 2 2" xfId="894" xr:uid="{00000000-0005-0000-0000-0000DD000000}"/>
    <cellStyle name="Comma 17 3 2 2 2 2" xfId="1398" xr:uid="{00000000-0005-0000-0000-0000DE000000}"/>
    <cellStyle name="Comma 17 3 2 2 2 2 2" xfId="2400" xr:uid="{00000000-0005-0000-0000-0000DF000000}"/>
    <cellStyle name="Comma 17 3 2 2 2 3" xfId="1899" xr:uid="{00000000-0005-0000-0000-0000E0000000}"/>
    <cellStyle name="Comma 17 3 2 2 3" xfId="1150" xr:uid="{00000000-0005-0000-0000-0000E1000000}"/>
    <cellStyle name="Comma 17 3 2 2 3 2" xfId="2152" xr:uid="{00000000-0005-0000-0000-0000E2000000}"/>
    <cellStyle name="Comma 17 3 2 2 4" xfId="1651" xr:uid="{00000000-0005-0000-0000-0000E3000000}"/>
    <cellStyle name="Comma 17 3 2 3" xfId="770" xr:uid="{00000000-0005-0000-0000-0000E4000000}"/>
    <cellStyle name="Comma 17 3 2 3 2" xfId="1274" xr:uid="{00000000-0005-0000-0000-0000E5000000}"/>
    <cellStyle name="Comma 17 3 2 3 2 2" xfId="2276" xr:uid="{00000000-0005-0000-0000-0000E6000000}"/>
    <cellStyle name="Comma 17 3 2 3 3" xfId="1775" xr:uid="{00000000-0005-0000-0000-0000E7000000}"/>
    <cellStyle name="Comma 17 3 2 4" xfId="1026" xr:uid="{00000000-0005-0000-0000-0000E8000000}"/>
    <cellStyle name="Comma 17 3 2 4 2" xfId="2028" xr:uid="{00000000-0005-0000-0000-0000E9000000}"/>
    <cellStyle name="Comma 17 3 2 5" xfId="1527" xr:uid="{00000000-0005-0000-0000-0000EA000000}"/>
    <cellStyle name="Comma 17 3 3" xfId="624" xr:uid="{00000000-0005-0000-0000-0000EB000000}"/>
    <cellStyle name="Comma 17 3 3 2" xfId="872" xr:uid="{00000000-0005-0000-0000-0000EC000000}"/>
    <cellStyle name="Comma 17 3 3 2 2" xfId="1376" xr:uid="{00000000-0005-0000-0000-0000ED000000}"/>
    <cellStyle name="Comma 17 3 3 2 2 2" xfId="2378" xr:uid="{00000000-0005-0000-0000-0000EE000000}"/>
    <cellStyle name="Comma 17 3 3 2 3" xfId="1877" xr:uid="{00000000-0005-0000-0000-0000EF000000}"/>
    <cellStyle name="Comma 17 3 3 3" xfId="1128" xr:uid="{00000000-0005-0000-0000-0000F0000000}"/>
    <cellStyle name="Comma 17 3 3 3 2" xfId="2130" xr:uid="{00000000-0005-0000-0000-0000F1000000}"/>
    <cellStyle name="Comma 17 3 3 4" xfId="1629" xr:uid="{00000000-0005-0000-0000-0000F2000000}"/>
    <cellStyle name="Comma 17 3 4" xfId="748" xr:uid="{00000000-0005-0000-0000-0000F3000000}"/>
    <cellStyle name="Comma 17 3 4 2" xfId="1252" xr:uid="{00000000-0005-0000-0000-0000F4000000}"/>
    <cellStyle name="Comma 17 3 4 2 2" xfId="2254" xr:uid="{00000000-0005-0000-0000-0000F5000000}"/>
    <cellStyle name="Comma 17 3 4 3" xfId="1753" xr:uid="{00000000-0005-0000-0000-0000F6000000}"/>
    <cellStyle name="Comma 17 3 5" xfId="1004" xr:uid="{00000000-0005-0000-0000-0000F7000000}"/>
    <cellStyle name="Comma 17 3 5 2" xfId="2006" xr:uid="{00000000-0005-0000-0000-0000F8000000}"/>
    <cellStyle name="Comma 17 3 6" xfId="1505" xr:uid="{00000000-0005-0000-0000-0000F9000000}"/>
    <cellStyle name="Comma 17 4" xfId="520" xr:uid="{00000000-0005-0000-0000-0000FA000000}"/>
    <cellStyle name="Comma 17 4 2" xfId="644" xr:uid="{00000000-0005-0000-0000-0000FB000000}"/>
    <cellStyle name="Comma 17 4 2 2" xfId="892" xr:uid="{00000000-0005-0000-0000-0000FC000000}"/>
    <cellStyle name="Comma 17 4 2 2 2" xfId="1396" xr:uid="{00000000-0005-0000-0000-0000FD000000}"/>
    <cellStyle name="Comma 17 4 2 2 2 2" xfId="2398" xr:uid="{00000000-0005-0000-0000-0000FE000000}"/>
    <cellStyle name="Comma 17 4 2 2 3" xfId="1897" xr:uid="{00000000-0005-0000-0000-0000FF000000}"/>
    <cellStyle name="Comma 17 4 2 3" xfId="1148" xr:uid="{00000000-0005-0000-0000-000000010000}"/>
    <cellStyle name="Comma 17 4 2 3 2" xfId="2150" xr:uid="{00000000-0005-0000-0000-000001010000}"/>
    <cellStyle name="Comma 17 4 2 4" xfId="1649" xr:uid="{00000000-0005-0000-0000-000002010000}"/>
    <cellStyle name="Comma 17 4 3" xfId="768" xr:uid="{00000000-0005-0000-0000-000003010000}"/>
    <cellStyle name="Comma 17 4 3 2" xfId="1272" xr:uid="{00000000-0005-0000-0000-000004010000}"/>
    <cellStyle name="Comma 17 4 3 2 2" xfId="2274" xr:uid="{00000000-0005-0000-0000-000005010000}"/>
    <cellStyle name="Comma 17 4 3 3" xfId="1773" xr:uid="{00000000-0005-0000-0000-000006010000}"/>
    <cellStyle name="Comma 17 4 4" xfId="1024" xr:uid="{00000000-0005-0000-0000-000007010000}"/>
    <cellStyle name="Comma 17 4 4 2" xfId="2026" xr:uid="{00000000-0005-0000-0000-000008010000}"/>
    <cellStyle name="Comma 17 4 5" xfId="1525" xr:uid="{00000000-0005-0000-0000-000009010000}"/>
    <cellStyle name="Comma 17 5" xfId="582" xr:uid="{00000000-0005-0000-0000-00000A010000}"/>
    <cellStyle name="Comma 17 5 2" xfId="830" xr:uid="{00000000-0005-0000-0000-00000B010000}"/>
    <cellStyle name="Comma 17 5 2 2" xfId="1334" xr:uid="{00000000-0005-0000-0000-00000C010000}"/>
    <cellStyle name="Comma 17 5 2 2 2" xfId="2336" xr:uid="{00000000-0005-0000-0000-00000D010000}"/>
    <cellStyle name="Comma 17 5 2 3" xfId="1835" xr:uid="{00000000-0005-0000-0000-00000E010000}"/>
    <cellStyle name="Comma 17 5 3" xfId="1086" xr:uid="{00000000-0005-0000-0000-00000F010000}"/>
    <cellStyle name="Comma 17 5 3 2" xfId="2088" xr:uid="{00000000-0005-0000-0000-000010010000}"/>
    <cellStyle name="Comma 17 5 4" xfId="1587" xr:uid="{00000000-0005-0000-0000-000011010000}"/>
    <cellStyle name="Comma 17 6" xfId="706" xr:uid="{00000000-0005-0000-0000-000012010000}"/>
    <cellStyle name="Comma 17 6 2" xfId="1210" xr:uid="{00000000-0005-0000-0000-000013010000}"/>
    <cellStyle name="Comma 17 6 2 2" xfId="2212" xr:uid="{00000000-0005-0000-0000-000014010000}"/>
    <cellStyle name="Comma 17 6 3" xfId="1711" xr:uid="{00000000-0005-0000-0000-000015010000}"/>
    <cellStyle name="Comma 17 7" xfId="962" xr:uid="{00000000-0005-0000-0000-000016010000}"/>
    <cellStyle name="Comma 17 7 2" xfId="1964" xr:uid="{00000000-0005-0000-0000-000017010000}"/>
    <cellStyle name="Comma 17 8" xfId="1463" xr:uid="{00000000-0005-0000-0000-000018010000}"/>
    <cellStyle name="Comma 18" xfId="191" xr:uid="{00000000-0005-0000-0000-000019010000}"/>
    <cellStyle name="Comma 19" xfId="5" xr:uid="{00000000-0005-0000-0000-00001A010000}"/>
    <cellStyle name="Comma 2" xfId="192" xr:uid="{00000000-0005-0000-0000-00001B010000}"/>
    <cellStyle name="Comma 2 2" xfId="193" xr:uid="{00000000-0005-0000-0000-00001C010000}"/>
    <cellStyle name="Comma 2 2 2" xfId="451" xr:uid="{00000000-0005-0000-0000-00001D010000}"/>
    <cellStyle name="Comma 2 2 3" xfId="473" xr:uid="{00000000-0005-0000-0000-00001E010000}"/>
    <cellStyle name="Comma 2 3" xfId="194" xr:uid="{00000000-0005-0000-0000-00001F010000}"/>
    <cellStyle name="Comma 2 4" xfId="195" xr:uid="{00000000-0005-0000-0000-000020010000}"/>
    <cellStyle name="Comma 2_Allocators" xfId="196" xr:uid="{00000000-0005-0000-0000-000021010000}"/>
    <cellStyle name="Comma 20" xfId="197" xr:uid="{00000000-0005-0000-0000-000022010000}"/>
    <cellStyle name="Comma 20 2" xfId="474" xr:uid="{00000000-0005-0000-0000-000023010000}"/>
    <cellStyle name="Comma 20 2 2" xfId="524" xr:uid="{00000000-0005-0000-0000-000024010000}"/>
    <cellStyle name="Comma 20 2 2 2" xfId="648" xr:uid="{00000000-0005-0000-0000-000025010000}"/>
    <cellStyle name="Comma 20 2 2 2 2" xfId="896" xr:uid="{00000000-0005-0000-0000-000026010000}"/>
    <cellStyle name="Comma 20 2 2 2 2 2" xfId="1400" xr:uid="{00000000-0005-0000-0000-000027010000}"/>
    <cellStyle name="Comma 20 2 2 2 2 2 2" xfId="2402" xr:uid="{00000000-0005-0000-0000-000028010000}"/>
    <cellStyle name="Comma 20 2 2 2 2 3" xfId="1901" xr:uid="{00000000-0005-0000-0000-000029010000}"/>
    <cellStyle name="Comma 20 2 2 2 3" xfId="1152" xr:uid="{00000000-0005-0000-0000-00002A010000}"/>
    <cellStyle name="Comma 20 2 2 2 3 2" xfId="2154" xr:uid="{00000000-0005-0000-0000-00002B010000}"/>
    <cellStyle name="Comma 20 2 2 2 4" xfId="1653" xr:uid="{00000000-0005-0000-0000-00002C010000}"/>
    <cellStyle name="Comma 20 2 2 3" xfId="772" xr:uid="{00000000-0005-0000-0000-00002D010000}"/>
    <cellStyle name="Comma 20 2 2 3 2" xfId="1276" xr:uid="{00000000-0005-0000-0000-00002E010000}"/>
    <cellStyle name="Comma 20 2 2 3 2 2" xfId="2278" xr:uid="{00000000-0005-0000-0000-00002F010000}"/>
    <cellStyle name="Comma 20 2 2 3 3" xfId="1777" xr:uid="{00000000-0005-0000-0000-000030010000}"/>
    <cellStyle name="Comma 20 2 2 4" xfId="1028" xr:uid="{00000000-0005-0000-0000-000031010000}"/>
    <cellStyle name="Comma 20 2 2 4 2" xfId="2030" xr:uid="{00000000-0005-0000-0000-000032010000}"/>
    <cellStyle name="Comma 20 2 2 5" xfId="1529" xr:uid="{00000000-0005-0000-0000-000033010000}"/>
    <cellStyle name="Comma 20 2 3" xfId="605" xr:uid="{00000000-0005-0000-0000-000034010000}"/>
    <cellStyle name="Comma 20 2 3 2" xfId="853" xr:uid="{00000000-0005-0000-0000-000035010000}"/>
    <cellStyle name="Comma 20 2 3 2 2" xfId="1357" xr:uid="{00000000-0005-0000-0000-000036010000}"/>
    <cellStyle name="Comma 20 2 3 2 2 2" xfId="2359" xr:uid="{00000000-0005-0000-0000-000037010000}"/>
    <cellStyle name="Comma 20 2 3 2 3" xfId="1858" xr:uid="{00000000-0005-0000-0000-000038010000}"/>
    <cellStyle name="Comma 20 2 3 3" xfId="1109" xr:uid="{00000000-0005-0000-0000-000039010000}"/>
    <cellStyle name="Comma 20 2 3 3 2" xfId="2111" xr:uid="{00000000-0005-0000-0000-00003A010000}"/>
    <cellStyle name="Comma 20 2 3 4" xfId="1610" xr:uid="{00000000-0005-0000-0000-00003B010000}"/>
    <cellStyle name="Comma 20 2 4" xfId="729" xr:uid="{00000000-0005-0000-0000-00003C010000}"/>
    <cellStyle name="Comma 20 2 4 2" xfId="1233" xr:uid="{00000000-0005-0000-0000-00003D010000}"/>
    <cellStyle name="Comma 20 2 4 2 2" xfId="2235" xr:uid="{00000000-0005-0000-0000-00003E010000}"/>
    <cellStyle name="Comma 20 2 4 3" xfId="1734" xr:uid="{00000000-0005-0000-0000-00003F010000}"/>
    <cellStyle name="Comma 20 2 5" xfId="985" xr:uid="{00000000-0005-0000-0000-000040010000}"/>
    <cellStyle name="Comma 20 2 5 2" xfId="1987" xr:uid="{00000000-0005-0000-0000-000041010000}"/>
    <cellStyle name="Comma 20 2 6" xfId="1486" xr:uid="{00000000-0005-0000-0000-000042010000}"/>
    <cellStyle name="Comma 20 3" xfId="501" xr:uid="{00000000-0005-0000-0000-000043010000}"/>
    <cellStyle name="Comma 20 3 2" xfId="525" xr:uid="{00000000-0005-0000-0000-000044010000}"/>
    <cellStyle name="Comma 20 3 2 2" xfId="649" xr:uid="{00000000-0005-0000-0000-000045010000}"/>
    <cellStyle name="Comma 20 3 2 2 2" xfId="897" xr:uid="{00000000-0005-0000-0000-000046010000}"/>
    <cellStyle name="Comma 20 3 2 2 2 2" xfId="1401" xr:uid="{00000000-0005-0000-0000-000047010000}"/>
    <cellStyle name="Comma 20 3 2 2 2 2 2" xfId="2403" xr:uid="{00000000-0005-0000-0000-000048010000}"/>
    <cellStyle name="Comma 20 3 2 2 2 3" xfId="1902" xr:uid="{00000000-0005-0000-0000-000049010000}"/>
    <cellStyle name="Comma 20 3 2 2 3" xfId="1153" xr:uid="{00000000-0005-0000-0000-00004A010000}"/>
    <cellStyle name="Comma 20 3 2 2 3 2" xfId="2155" xr:uid="{00000000-0005-0000-0000-00004B010000}"/>
    <cellStyle name="Comma 20 3 2 2 4" xfId="1654" xr:uid="{00000000-0005-0000-0000-00004C010000}"/>
    <cellStyle name="Comma 20 3 2 3" xfId="773" xr:uid="{00000000-0005-0000-0000-00004D010000}"/>
    <cellStyle name="Comma 20 3 2 3 2" xfId="1277" xr:uid="{00000000-0005-0000-0000-00004E010000}"/>
    <cellStyle name="Comma 20 3 2 3 2 2" xfId="2279" xr:uid="{00000000-0005-0000-0000-00004F010000}"/>
    <cellStyle name="Comma 20 3 2 3 3" xfId="1778" xr:uid="{00000000-0005-0000-0000-000050010000}"/>
    <cellStyle name="Comma 20 3 2 4" xfId="1029" xr:uid="{00000000-0005-0000-0000-000051010000}"/>
    <cellStyle name="Comma 20 3 2 4 2" xfId="2031" xr:uid="{00000000-0005-0000-0000-000052010000}"/>
    <cellStyle name="Comma 20 3 2 5" xfId="1530" xr:uid="{00000000-0005-0000-0000-000053010000}"/>
    <cellStyle name="Comma 20 3 3" xfId="625" xr:uid="{00000000-0005-0000-0000-000054010000}"/>
    <cellStyle name="Comma 20 3 3 2" xfId="873" xr:uid="{00000000-0005-0000-0000-000055010000}"/>
    <cellStyle name="Comma 20 3 3 2 2" xfId="1377" xr:uid="{00000000-0005-0000-0000-000056010000}"/>
    <cellStyle name="Comma 20 3 3 2 2 2" xfId="2379" xr:uid="{00000000-0005-0000-0000-000057010000}"/>
    <cellStyle name="Comma 20 3 3 2 3" xfId="1878" xr:uid="{00000000-0005-0000-0000-000058010000}"/>
    <cellStyle name="Comma 20 3 3 3" xfId="1129" xr:uid="{00000000-0005-0000-0000-000059010000}"/>
    <cellStyle name="Comma 20 3 3 3 2" xfId="2131" xr:uid="{00000000-0005-0000-0000-00005A010000}"/>
    <cellStyle name="Comma 20 3 3 4" xfId="1630" xr:uid="{00000000-0005-0000-0000-00005B010000}"/>
    <cellStyle name="Comma 20 3 4" xfId="749" xr:uid="{00000000-0005-0000-0000-00005C010000}"/>
    <cellStyle name="Comma 20 3 4 2" xfId="1253" xr:uid="{00000000-0005-0000-0000-00005D010000}"/>
    <cellStyle name="Comma 20 3 4 2 2" xfId="2255" xr:uid="{00000000-0005-0000-0000-00005E010000}"/>
    <cellStyle name="Comma 20 3 4 3" xfId="1754" xr:uid="{00000000-0005-0000-0000-00005F010000}"/>
    <cellStyle name="Comma 20 3 5" xfId="1005" xr:uid="{00000000-0005-0000-0000-000060010000}"/>
    <cellStyle name="Comma 20 3 5 2" xfId="2007" xr:uid="{00000000-0005-0000-0000-000061010000}"/>
    <cellStyle name="Comma 20 3 6" xfId="1506" xr:uid="{00000000-0005-0000-0000-000062010000}"/>
    <cellStyle name="Comma 20 4" xfId="523" xr:uid="{00000000-0005-0000-0000-000063010000}"/>
    <cellStyle name="Comma 20 4 2" xfId="647" xr:uid="{00000000-0005-0000-0000-000064010000}"/>
    <cellStyle name="Comma 20 4 2 2" xfId="895" xr:uid="{00000000-0005-0000-0000-000065010000}"/>
    <cellStyle name="Comma 20 4 2 2 2" xfId="1399" xr:uid="{00000000-0005-0000-0000-000066010000}"/>
    <cellStyle name="Comma 20 4 2 2 2 2" xfId="2401" xr:uid="{00000000-0005-0000-0000-000067010000}"/>
    <cellStyle name="Comma 20 4 2 2 3" xfId="1900" xr:uid="{00000000-0005-0000-0000-000068010000}"/>
    <cellStyle name="Comma 20 4 2 3" xfId="1151" xr:uid="{00000000-0005-0000-0000-000069010000}"/>
    <cellStyle name="Comma 20 4 2 3 2" xfId="2153" xr:uid="{00000000-0005-0000-0000-00006A010000}"/>
    <cellStyle name="Comma 20 4 2 4" xfId="1652" xr:uid="{00000000-0005-0000-0000-00006B010000}"/>
    <cellStyle name="Comma 20 4 3" xfId="771" xr:uid="{00000000-0005-0000-0000-00006C010000}"/>
    <cellStyle name="Comma 20 4 3 2" xfId="1275" xr:uid="{00000000-0005-0000-0000-00006D010000}"/>
    <cellStyle name="Comma 20 4 3 2 2" xfId="2277" xr:uid="{00000000-0005-0000-0000-00006E010000}"/>
    <cellStyle name="Comma 20 4 3 3" xfId="1776" xr:uid="{00000000-0005-0000-0000-00006F010000}"/>
    <cellStyle name="Comma 20 4 4" xfId="1027" xr:uid="{00000000-0005-0000-0000-000070010000}"/>
    <cellStyle name="Comma 20 4 4 2" xfId="2029" xr:uid="{00000000-0005-0000-0000-000071010000}"/>
    <cellStyle name="Comma 20 4 5" xfId="1528" xr:uid="{00000000-0005-0000-0000-000072010000}"/>
    <cellStyle name="Comma 20 5" xfId="583" xr:uid="{00000000-0005-0000-0000-000073010000}"/>
    <cellStyle name="Comma 20 5 2" xfId="831" xr:uid="{00000000-0005-0000-0000-000074010000}"/>
    <cellStyle name="Comma 20 5 2 2" xfId="1335" xr:uid="{00000000-0005-0000-0000-000075010000}"/>
    <cellStyle name="Comma 20 5 2 2 2" xfId="2337" xr:uid="{00000000-0005-0000-0000-000076010000}"/>
    <cellStyle name="Comma 20 5 2 3" xfId="1836" xr:uid="{00000000-0005-0000-0000-000077010000}"/>
    <cellStyle name="Comma 20 5 3" xfId="1087" xr:uid="{00000000-0005-0000-0000-000078010000}"/>
    <cellStyle name="Comma 20 5 3 2" xfId="2089" xr:uid="{00000000-0005-0000-0000-000079010000}"/>
    <cellStyle name="Comma 20 5 4" xfId="1588" xr:uid="{00000000-0005-0000-0000-00007A010000}"/>
    <cellStyle name="Comma 20 6" xfId="707" xr:uid="{00000000-0005-0000-0000-00007B010000}"/>
    <cellStyle name="Comma 20 6 2" xfId="1211" xr:uid="{00000000-0005-0000-0000-00007C010000}"/>
    <cellStyle name="Comma 20 6 2 2" xfId="2213" xr:uid="{00000000-0005-0000-0000-00007D010000}"/>
    <cellStyle name="Comma 20 6 3" xfId="1712" xr:uid="{00000000-0005-0000-0000-00007E010000}"/>
    <cellStyle name="Comma 20 7" xfId="963" xr:uid="{00000000-0005-0000-0000-00007F010000}"/>
    <cellStyle name="Comma 20 7 2" xfId="1965" xr:uid="{00000000-0005-0000-0000-000080010000}"/>
    <cellStyle name="Comma 20 8" xfId="1464" xr:uid="{00000000-0005-0000-0000-000081010000}"/>
    <cellStyle name="Comma 3" xfId="198" xr:uid="{00000000-0005-0000-0000-000082010000}"/>
    <cellStyle name="Comma 3 10" xfId="468" xr:uid="{00000000-0005-0000-0000-000083010000}"/>
    <cellStyle name="Comma 3 10 2" xfId="498" xr:uid="{00000000-0005-0000-0000-000084010000}"/>
    <cellStyle name="Comma 3 10 2 2" xfId="527" xr:uid="{00000000-0005-0000-0000-000085010000}"/>
    <cellStyle name="Comma 3 10 2 2 2" xfId="651" xr:uid="{00000000-0005-0000-0000-000086010000}"/>
    <cellStyle name="Comma 3 10 2 2 2 2" xfId="899" xr:uid="{00000000-0005-0000-0000-000087010000}"/>
    <cellStyle name="Comma 3 10 2 2 2 2 2" xfId="1403" xr:uid="{00000000-0005-0000-0000-000088010000}"/>
    <cellStyle name="Comma 3 10 2 2 2 2 2 2" xfId="2405" xr:uid="{00000000-0005-0000-0000-000089010000}"/>
    <cellStyle name="Comma 3 10 2 2 2 2 3" xfId="1904" xr:uid="{00000000-0005-0000-0000-00008A010000}"/>
    <cellStyle name="Comma 3 10 2 2 2 3" xfId="1155" xr:uid="{00000000-0005-0000-0000-00008B010000}"/>
    <cellStyle name="Comma 3 10 2 2 2 3 2" xfId="2157" xr:uid="{00000000-0005-0000-0000-00008C010000}"/>
    <cellStyle name="Comma 3 10 2 2 2 4" xfId="1656" xr:uid="{00000000-0005-0000-0000-00008D010000}"/>
    <cellStyle name="Comma 3 10 2 2 3" xfId="775" xr:uid="{00000000-0005-0000-0000-00008E010000}"/>
    <cellStyle name="Comma 3 10 2 2 3 2" xfId="1279" xr:uid="{00000000-0005-0000-0000-00008F010000}"/>
    <cellStyle name="Comma 3 10 2 2 3 2 2" xfId="2281" xr:uid="{00000000-0005-0000-0000-000090010000}"/>
    <cellStyle name="Comma 3 10 2 2 3 3" xfId="1780" xr:uid="{00000000-0005-0000-0000-000091010000}"/>
    <cellStyle name="Comma 3 10 2 2 4" xfId="1031" xr:uid="{00000000-0005-0000-0000-000092010000}"/>
    <cellStyle name="Comma 3 10 2 2 4 2" xfId="2033" xr:uid="{00000000-0005-0000-0000-000093010000}"/>
    <cellStyle name="Comma 3 10 2 2 5" xfId="1532" xr:uid="{00000000-0005-0000-0000-000094010000}"/>
    <cellStyle name="Comma 3 10 2 3" xfId="622" xr:uid="{00000000-0005-0000-0000-000095010000}"/>
    <cellStyle name="Comma 3 10 2 3 2" xfId="870" xr:uid="{00000000-0005-0000-0000-000096010000}"/>
    <cellStyle name="Comma 3 10 2 3 2 2" xfId="1374" xr:uid="{00000000-0005-0000-0000-000097010000}"/>
    <cellStyle name="Comma 3 10 2 3 2 2 2" xfId="2376" xr:uid="{00000000-0005-0000-0000-000098010000}"/>
    <cellStyle name="Comma 3 10 2 3 2 3" xfId="1875" xr:uid="{00000000-0005-0000-0000-000099010000}"/>
    <cellStyle name="Comma 3 10 2 3 3" xfId="1126" xr:uid="{00000000-0005-0000-0000-00009A010000}"/>
    <cellStyle name="Comma 3 10 2 3 3 2" xfId="2128" xr:uid="{00000000-0005-0000-0000-00009B010000}"/>
    <cellStyle name="Comma 3 10 2 3 4" xfId="1627" xr:uid="{00000000-0005-0000-0000-00009C010000}"/>
    <cellStyle name="Comma 3 10 2 4" xfId="746" xr:uid="{00000000-0005-0000-0000-00009D010000}"/>
    <cellStyle name="Comma 3 10 2 4 2" xfId="1250" xr:uid="{00000000-0005-0000-0000-00009E010000}"/>
    <cellStyle name="Comma 3 10 2 4 2 2" xfId="2252" xr:uid="{00000000-0005-0000-0000-00009F010000}"/>
    <cellStyle name="Comma 3 10 2 4 3" xfId="1751" xr:uid="{00000000-0005-0000-0000-0000A0010000}"/>
    <cellStyle name="Comma 3 10 2 5" xfId="1002" xr:uid="{00000000-0005-0000-0000-0000A1010000}"/>
    <cellStyle name="Comma 3 10 2 5 2" xfId="2004" xr:uid="{00000000-0005-0000-0000-0000A2010000}"/>
    <cellStyle name="Comma 3 10 2 6" xfId="1503" xr:uid="{00000000-0005-0000-0000-0000A3010000}"/>
    <cellStyle name="Comma 3 10 3" xfId="518" xr:uid="{00000000-0005-0000-0000-0000A4010000}"/>
    <cellStyle name="Comma 3 10 3 2" xfId="528" xr:uid="{00000000-0005-0000-0000-0000A5010000}"/>
    <cellStyle name="Comma 3 10 3 2 2" xfId="652" xr:uid="{00000000-0005-0000-0000-0000A6010000}"/>
    <cellStyle name="Comma 3 10 3 2 2 2" xfId="900" xr:uid="{00000000-0005-0000-0000-0000A7010000}"/>
    <cellStyle name="Comma 3 10 3 2 2 2 2" xfId="1404" xr:uid="{00000000-0005-0000-0000-0000A8010000}"/>
    <cellStyle name="Comma 3 10 3 2 2 2 2 2" xfId="2406" xr:uid="{00000000-0005-0000-0000-0000A9010000}"/>
    <cellStyle name="Comma 3 10 3 2 2 2 3" xfId="1905" xr:uid="{00000000-0005-0000-0000-0000AA010000}"/>
    <cellStyle name="Comma 3 10 3 2 2 3" xfId="1156" xr:uid="{00000000-0005-0000-0000-0000AB010000}"/>
    <cellStyle name="Comma 3 10 3 2 2 3 2" xfId="2158" xr:uid="{00000000-0005-0000-0000-0000AC010000}"/>
    <cellStyle name="Comma 3 10 3 2 2 4" xfId="1657" xr:uid="{00000000-0005-0000-0000-0000AD010000}"/>
    <cellStyle name="Comma 3 10 3 2 3" xfId="776" xr:uid="{00000000-0005-0000-0000-0000AE010000}"/>
    <cellStyle name="Comma 3 10 3 2 3 2" xfId="1280" xr:uid="{00000000-0005-0000-0000-0000AF010000}"/>
    <cellStyle name="Comma 3 10 3 2 3 2 2" xfId="2282" xr:uid="{00000000-0005-0000-0000-0000B0010000}"/>
    <cellStyle name="Comma 3 10 3 2 3 3" xfId="1781" xr:uid="{00000000-0005-0000-0000-0000B1010000}"/>
    <cellStyle name="Comma 3 10 3 2 4" xfId="1032" xr:uid="{00000000-0005-0000-0000-0000B2010000}"/>
    <cellStyle name="Comma 3 10 3 2 4 2" xfId="2034" xr:uid="{00000000-0005-0000-0000-0000B3010000}"/>
    <cellStyle name="Comma 3 10 3 2 5" xfId="1533" xr:uid="{00000000-0005-0000-0000-0000B4010000}"/>
    <cellStyle name="Comma 3 10 3 3" xfId="642" xr:uid="{00000000-0005-0000-0000-0000B5010000}"/>
    <cellStyle name="Comma 3 10 3 3 2" xfId="890" xr:uid="{00000000-0005-0000-0000-0000B6010000}"/>
    <cellStyle name="Comma 3 10 3 3 2 2" xfId="1394" xr:uid="{00000000-0005-0000-0000-0000B7010000}"/>
    <cellStyle name="Comma 3 10 3 3 2 2 2" xfId="2396" xr:uid="{00000000-0005-0000-0000-0000B8010000}"/>
    <cellStyle name="Comma 3 10 3 3 2 3" xfId="1895" xr:uid="{00000000-0005-0000-0000-0000B9010000}"/>
    <cellStyle name="Comma 3 10 3 3 3" xfId="1146" xr:uid="{00000000-0005-0000-0000-0000BA010000}"/>
    <cellStyle name="Comma 3 10 3 3 3 2" xfId="2148" xr:uid="{00000000-0005-0000-0000-0000BB010000}"/>
    <cellStyle name="Comma 3 10 3 3 4" xfId="1647" xr:uid="{00000000-0005-0000-0000-0000BC010000}"/>
    <cellStyle name="Comma 3 10 3 4" xfId="766" xr:uid="{00000000-0005-0000-0000-0000BD010000}"/>
    <cellStyle name="Comma 3 10 3 4 2" xfId="1270" xr:uid="{00000000-0005-0000-0000-0000BE010000}"/>
    <cellStyle name="Comma 3 10 3 4 2 2" xfId="2272" xr:uid="{00000000-0005-0000-0000-0000BF010000}"/>
    <cellStyle name="Comma 3 10 3 4 3" xfId="1771" xr:uid="{00000000-0005-0000-0000-0000C0010000}"/>
    <cellStyle name="Comma 3 10 3 5" xfId="1022" xr:uid="{00000000-0005-0000-0000-0000C1010000}"/>
    <cellStyle name="Comma 3 10 3 5 2" xfId="2024" xr:uid="{00000000-0005-0000-0000-0000C2010000}"/>
    <cellStyle name="Comma 3 10 3 6" xfId="1523" xr:uid="{00000000-0005-0000-0000-0000C3010000}"/>
    <cellStyle name="Comma 3 10 4" xfId="526" xr:uid="{00000000-0005-0000-0000-0000C4010000}"/>
    <cellStyle name="Comma 3 10 4 2" xfId="650" xr:uid="{00000000-0005-0000-0000-0000C5010000}"/>
    <cellStyle name="Comma 3 10 4 2 2" xfId="898" xr:uid="{00000000-0005-0000-0000-0000C6010000}"/>
    <cellStyle name="Comma 3 10 4 2 2 2" xfId="1402" xr:uid="{00000000-0005-0000-0000-0000C7010000}"/>
    <cellStyle name="Comma 3 10 4 2 2 2 2" xfId="2404" xr:uid="{00000000-0005-0000-0000-0000C8010000}"/>
    <cellStyle name="Comma 3 10 4 2 2 3" xfId="1903" xr:uid="{00000000-0005-0000-0000-0000C9010000}"/>
    <cellStyle name="Comma 3 10 4 2 3" xfId="1154" xr:uid="{00000000-0005-0000-0000-0000CA010000}"/>
    <cellStyle name="Comma 3 10 4 2 3 2" xfId="2156" xr:uid="{00000000-0005-0000-0000-0000CB010000}"/>
    <cellStyle name="Comma 3 10 4 2 4" xfId="1655" xr:uid="{00000000-0005-0000-0000-0000CC010000}"/>
    <cellStyle name="Comma 3 10 4 3" xfId="774" xr:uid="{00000000-0005-0000-0000-0000CD010000}"/>
    <cellStyle name="Comma 3 10 4 3 2" xfId="1278" xr:uid="{00000000-0005-0000-0000-0000CE010000}"/>
    <cellStyle name="Comma 3 10 4 3 2 2" xfId="2280" xr:uid="{00000000-0005-0000-0000-0000CF010000}"/>
    <cellStyle name="Comma 3 10 4 3 3" xfId="1779" xr:uid="{00000000-0005-0000-0000-0000D0010000}"/>
    <cellStyle name="Comma 3 10 4 4" xfId="1030" xr:uid="{00000000-0005-0000-0000-0000D1010000}"/>
    <cellStyle name="Comma 3 10 4 4 2" xfId="2032" xr:uid="{00000000-0005-0000-0000-0000D2010000}"/>
    <cellStyle name="Comma 3 10 4 5" xfId="1531" xr:uid="{00000000-0005-0000-0000-0000D3010000}"/>
    <cellStyle name="Comma 3 10 5" xfId="600" xr:uid="{00000000-0005-0000-0000-0000D4010000}"/>
    <cellStyle name="Comma 3 10 5 2" xfId="848" xr:uid="{00000000-0005-0000-0000-0000D5010000}"/>
    <cellStyle name="Comma 3 10 5 2 2" xfId="1352" xr:uid="{00000000-0005-0000-0000-0000D6010000}"/>
    <cellStyle name="Comma 3 10 5 2 2 2" xfId="2354" xr:uid="{00000000-0005-0000-0000-0000D7010000}"/>
    <cellStyle name="Comma 3 10 5 2 3" xfId="1853" xr:uid="{00000000-0005-0000-0000-0000D8010000}"/>
    <cellStyle name="Comma 3 10 5 3" xfId="1104" xr:uid="{00000000-0005-0000-0000-0000D9010000}"/>
    <cellStyle name="Comma 3 10 5 3 2" xfId="2106" xr:uid="{00000000-0005-0000-0000-0000DA010000}"/>
    <cellStyle name="Comma 3 10 5 4" xfId="1605" xr:uid="{00000000-0005-0000-0000-0000DB010000}"/>
    <cellStyle name="Comma 3 10 6" xfId="724" xr:uid="{00000000-0005-0000-0000-0000DC010000}"/>
    <cellStyle name="Comma 3 10 6 2" xfId="1228" xr:uid="{00000000-0005-0000-0000-0000DD010000}"/>
    <cellStyle name="Comma 3 10 6 2 2" xfId="2230" xr:uid="{00000000-0005-0000-0000-0000DE010000}"/>
    <cellStyle name="Comma 3 10 6 3" xfId="1729" xr:uid="{00000000-0005-0000-0000-0000DF010000}"/>
    <cellStyle name="Comma 3 10 7" xfId="980" xr:uid="{00000000-0005-0000-0000-0000E0010000}"/>
    <cellStyle name="Comma 3 10 7 2" xfId="1982" xr:uid="{00000000-0005-0000-0000-0000E1010000}"/>
    <cellStyle name="Comma 3 10 8" xfId="1481" xr:uid="{00000000-0005-0000-0000-0000E2010000}"/>
    <cellStyle name="Comma 3 11" xfId="475" xr:uid="{00000000-0005-0000-0000-0000E3010000}"/>
    <cellStyle name="Comma 3 12" xfId="470" xr:uid="{00000000-0005-0000-0000-0000E4010000}"/>
    <cellStyle name="Comma 3 12 2" xfId="529" xr:uid="{00000000-0005-0000-0000-0000E5010000}"/>
    <cellStyle name="Comma 3 12 2 2" xfId="653" xr:uid="{00000000-0005-0000-0000-0000E6010000}"/>
    <cellStyle name="Comma 3 12 2 2 2" xfId="901" xr:uid="{00000000-0005-0000-0000-0000E7010000}"/>
    <cellStyle name="Comma 3 12 2 2 2 2" xfId="1405" xr:uid="{00000000-0005-0000-0000-0000E8010000}"/>
    <cellStyle name="Comma 3 12 2 2 2 2 2" xfId="2407" xr:uid="{00000000-0005-0000-0000-0000E9010000}"/>
    <cellStyle name="Comma 3 12 2 2 2 3" xfId="1906" xr:uid="{00000000-0005-0000-0000-0000EA010000}"/>
    <cellStyle name="Comma 3 12 2 2 3" xfId="1157" xr:uid="{00000000-0005-0000-0000-0000EB010000}"/>
    <cellStyle name="Comma 3 12 2 2 3 2" xfId="2159" xr:uid="{00000000-0005-0000-0000-0000EC010000}"/>
    <cellStyle name="Comma 3 12 2 2 4" xfId="1658" xr:uid="{00000000-0005-0000-0000-0000ED010000}"/>
    <cellStyle name="Comma 3 12 2 3" xfId="777" xr:uid="{00000000-0005-0000-0000-0000EE010000}"/>
    <cellStyle name="Comma 3 12 2 3 2" xfId="1281" xr:uid="{00000000-0005-0000-0000-0000EF010000}"/>
    <cellStyle name="Comma 3 12 2 3 2 2" xfId="2283" xr:uid="{00000000-0005-0000-0000-0000F0010000}"/>
    <cellStyle name="Comma 3 12 2 3 3" xfId="1782" xr:uid="{00000000-0005-0000-0000-0000F1010000}"/>
    <cellStyle name="Comma 3 12 2 4" xfId="1033" xr:uid="{00000000-0005-0000-0000-0000F2010000}"/>
    <cellStyle name="Comma 3 12 2 4 2" xfId="2035" xr:uid="{00000000-0005-0000-0000-0000F3010000}"/>
    <cellStyle name="Comma 3 12 2 5" xfId="1534" xr:uid="{00000000-0005-0000-0000-0000F4010000}"/>
    <cellStyle name="Comma 3 12 3" xfId="602" xr:uid="{00000000-0005-0000-0000-0000F5010000}"/>
    <cellStyle name="Comma 3 12 3 2" xfId="850" xr:uid="{00000000-0005-0000-0000-0000F6010000}"/>
    <cellStyle name="Comma 3 12 3 2 2" xfId="1354" xr:uid="{00000000-0005-0000-0000-0000F7010000}"/>
    <cellStyle name="Comma 3 12 3 2 2 2" xfId="2356" xr:uid="{00000000-0005-0000-0000-0000F8010000}"/>
    <cellStyle name="Comma 3 12 3 2 3" xfId="1855" xr:uid="{00000000-0005-0000-0000-0000F9010000}"/>
    <cellStyle name="Comma 3 12 3 3" xfId="1106" xr:uid="{00000000-0005-0000-0000-0000FA010000}"/>
    <cellStyle name="Comma 3 12 3 3 2" xfId="2108" xr:uid="{00000000-0005-0000-0000-0000FB010000}"/>
    <cellStyle name="Comma 3 12 3 4" xfId="1607" xr:uid="{00000000-0005-0000-0000-0000FC010000}"/>
    <cellStyle name="Comma 3 12 4" xfId="726" xr:uid="{00000000-0005-0000-0000-0000FD010000}"/>
    <cellStyle name="Comma 3 12 4 2" xfId="1230" xr:uid="{00000000-0005-0000-0000-0000FE010000}"/>
    <cellStyle name="Comma 3 12 4 2 2" xfId="2232" xr:uid="{00000000-0005-0000-0000-0000FF010000}"/>
    <cellStyle name="Comma 3 12 4 3" xfId="1731" xr:uid="{00000000-0005-0000-0000-000000020000}"/>
    <cellStyle name="Comma 3 12 5" xfId="982" xr:uid="{00000000-0005-0000-0000-000001020000}"/>
    <cellStyle name="Comma 3 12 5 2" xfId="1984" xr:uid="{00000000-0005-0000-0000-000002020000}"/>
    <cellStyle name="Comma 3 12 6" xfId="1483" xr:uid="{00000000-0005-0000-0000-000003020000}"/>
    <cellStyle name="Comma 3 13" xfId="954" xr:uid="{00000000-0005-0000-0000-000004020000}"/>
    <cellStyle name="Comma 3 13 2" xfId="1458" xr:uid="{00000000-0005-0000-0000-000005020000}"/>
    <cellStyle name="Comma 3 13 2 2" xfId="2460" xr:uid="{00000000-0005-0000-0000-000006020000}"/>
    <cellStyle name="Comma 3 13 3" xfId="1959" xr:uid="{00000000-0005-0000-0000-000007020000}"/>
    <cellStyle name="Comma 3 2" xfId="199" xr:uid="{00000000-0005-0000-0000-000008020000}"/>
    <cellStyle name="Comma 3 3" xfId="200" xr:uid="{00000000-0005-0000-0000-000009020000}"/>
    <cellStyle name="Comma 3 4" xfId="452" xr:uid="{00000000-0005-0000-0000-00000A020000}"/>
    <cellStyle name="Comma 3 4 2" xfId="486" xr:uid="{00000000-0005-0000-0000-00000B020000}"/>
    <cellStyle name="Comma 3 4 2 2" xfId="531" xr:uid="{00000000-0005-0000-0000-00000C020000}"/>
    <cellStyle name="Comma 3 4 2 2 2" xfId="655" xr:uid="{00000000-0005-0000-0000-00000D020000}"/>
    <cellStyle name="Comma 3 4 2 2 2 2" xfId="903" xr:uid="{00000000-0005-0000-0000-00000E020000}"/>
    <cellStyle name="Comma 3 4 2 2 2 2 2" xfId="1407" xr:uid="{00000000-0005-0000-0000-00000F020000}"/>
    <cellStyle name="Comma 3 4 2 2 2 2 2 2" xfId="2409" xr:uid="{00000000-0005-0000-0000-000010020000}"/>
    <cellStyle name="Comma 3 4 2 2 2 2 3" xfId="1908" xr:uid="{00000000-0005-0000-0000-000011020000}"/>
    <cellStyle name="Comma 3 4 2 2 2 3" xfId="1159" xr:uid="{00000000-0005-0000-0000-000012020000}"/>
    <cellStyle name="Comma 3 4 2 2 2 3 2" xfId="2161" xr:uid="{00000000-0005-0000-0000-000013020000}"/>
    <cellStyle name="Comma 3 4 2 2 2 4" xfId="1660" xr:uid="{00000000-0005-0000-0000-000014020000}"/>
    <cellStyle name="Comma 3 4 2 2 3" xfId="779" xr:uid="{00000000-0005-0000-0000-000015020000}"/>
    <cellStyle name="Comma 3 4 2 2 3 2" xfId="1283" xr:uid="{00000000-0005-0000-0000-000016020000}"/>
    <cellStyle name="Comma 3 4 2 2 3 2 2" xfId="2285" xr:uid="{00000000-0005-0000-0000-000017020000}"/>
    <cellStyle name="Comma 3 4 2 2 3 3" xfId="1784" xr:uid="{00000000-0005-0000-0000-000018020000}"/>
    <cellStyle name="Comma 3 4 2 2 4" xfId="1035" xr:uid="{00000000-0005-0000-0000-000019020000}"/>
    <cellStyle name="Comma 3 4 2 2 4 2" xfId="2037" xr:uid="{00000000-0005-0000-0000-00001A020000}"/>
    <cellStyle name="Comma 3 4 2 2 5" xfId="1536" xr:uid="{00000000-0005-0000-0000-00001B020000}"/>
    <cellStyle name="Comma 3 4 2 3" xfId="610" xr:uid="{00000000-0005-0000-0000-00001C020000}"/>
    <cellStyle name="Comma 3 4 2 3 2" xfId="858" xr:uid="{00000000-0005-0000-0000-00001D020000}"/>
    <cellStyle name="Comma 3 4 2 3 2 2" xfId="1362" xr:uid="{00000000-0005-0000-0000-00001E020000}"/>
    <cellStyle name="Comma 3 4 2 3 2 2 2" xfId="2364" xr:uid="{00000000-0005-0000-0000-00001F020000}"/>
    <cellStyle name="Comma 3 4 2 3 2 3" xfId="1863" xr:uid="{00000000-0005-0000-0000-000020020000}"/>
    <cellStyle name="Comma 3 4 2 3 3" xfId="1114" xr:uid="{00000000-0005-0000-0000-000021020000}"/>
    <cellStyle name="Comma 3 4 2 3 3 2" xfId="2116" xr:uid="{00000000-0005-0000-0000-000022020000}"/>
    <cellStyle name="Comma 3 4 2 3 4" xfId="1615" xr:uid="{00000000-0005-0000-0000-000023020000}"/>
    <cellStyle name="Comma 3 4 2 4" xfId="734" xr:uid="{00000000-0005-0000-0000-000024020000}"/>
    <cellStyle name="Comma 3 4 2 4 2" xfId="1238" xr:uid="{00000000-0005-0000-0000-000025020000}"/>
    <cellStyle name="Comma 3 4 2 4 2 2" xfId="2240" xr:uid="{00000000-0005-0000-0000-000026020000}"/>
    <cellStyle name="Comma 3 4 2 4 3" xfId="1739" xr:uid="{00000000-0005-0000-0000-000027020000}"/>
    <cellStyle name="Comma 3 4 2 5" xfId="990" xr:uid="{00000000-0005-0000-0000-000028020000}"/>
    <cellStyle name="Comma 3 4 2 5 2" xfId="1992" xr:uid="{00000000-0005-0000-0000-000029020000}"/>
    <cellStyle name="Comma 3 4 2 6" xfId="1491" xr:uid="{00000000-0005-0000-0000-00002A020000}"/>
    <cellStyle name="Comma 3 4 3" xfId="506" xr:uid="{00000000-0005-0000-0000-00002B020000}"/>
    <cellStyle name="Comma 3 4 3 2" xfId="532" xr:uid="{00000000-0005-0000-0000-00002C020000}"/>
    <cellStyle name="Comma 3 4 3 2 2" xfId="656" xr:uid="{00000000-0005-0000-0000-00002D020000}"/>
    <cellStyle name="Comma 3 4 3 2 2 2" xfId="904" xr:uid="{00000000-0005-0000-0000-00002E020000}"/>
    <cellStyle name="Comma 3 4 3 2 2 2 2" xfId="1408" xr:uid="{00000000-0005-0000-0000-00002F020000}"/>
    <cellStyle name="Comma 3 4 3 2 2 2 2 2" xfId="2410" xr:uid="{00000000-0005-0000-0000-000030020000}"/>
    <cellStyle name="Comma 3 4 3 2 2 2 3" xfId="1909" xr:uid="{00000000-0005-0000-0000-000031020000}"/>
    <cellStyle name="Comma 3 4 3 2 2 3" xfId="1160" xr:uid="{00000000-0005-0000-0000-000032020000}"/>
    <cellStyle name="Comma 3 4 3 2 2 3 2" xfId="2162" xr:uid="{00000000-0005-0000-0000-000033020000}"/>
    <cellStyle name="Comma 3 4 3 2 2 4" xfId="1661" xr:uid="{00000000-0005-0000-0000-000034020000}"/>
    <cellStyle name="Comma 3 4 3 2 3" xfId="780" xr:uid="{00000000-0005-0000-0000-000035020000}"/>
    <cellStyle name="Comma 3 4 3 2 3 2" xfId="1284" xr:uid="{00000000-0005-0000-0000-000036020000}"/>
    <cellStyle name="Comma 3 4 3 2 3 2 2" xfId="2286" xr:uid="{00000000-0005-0000-0000-000037020000}"/>
    <cellStyle name="Comma 3 4 3 2 3 3" xfId="1785" xr:uid="{00000000-0005-0000-0000-000038020000}"/>
    <cellStyle name="Comma 3 4 3 2 4" xfId="1036" xr:uid="{00000000-0005-0000-0000-000039020000}"/>
    <cellStyle name="Comma 3 4 3 2 4 2" xfId="2038" xr:uid="{00000000-0005-0000-0000-00003A020000}"/>
    <cellStyle name="Comma 3 4 3 2 5" xfId="1537" xr:uid="{00000000-0005-0000-0000-00003B020000}"/>
    <cellStyle name="Comma 3 4 3 3" xfId="630" xr:uid="{00000000-0005-0000-0000-00003C020000}"/>
    <cellStyle name="Comma 3 4 3 3 2" xfId="878" xr:uid="{00000000-0005-0000-0000-00003D020000}"/>
    <cellStyle name="Comma 3 4 3 3 2 2" xfId="1382" xr:uid="{00000000-0005-0000-0000-00003E020000}"/>
    <cellStyle name="Comma 3 4 3 3 2 2 2" xfId="2384" xr:uid="{00000000-0005-0000-0000-00003F020000}"/>
    <cellStyle name="Comma 3 4 3 3 2 3" xfId="1883" xr:uid="{00000000-0005-0000-0000-000040020000}"/>
    <cellStyle name="Comma 3 4 3 3 3" xfId="1134" xr:uid="{00000000-0005-0000-0000-000041020000}"/>
    <cellStyle name="Comma 3 4 3 3 3 2" xfId="2136" xr:uid="{00000000-0005-0000-0000-000042020000}"/>
    <cellStyle name="Comma 3 4 3 3 4" xfId="1635" xr:uid="{00000000-0005-0000-0000-000043020000}"/>
    <cellStyle name="Comma 3 4 3 4" xfId="754" xr:uid="{00000000-0005-0000-0000-000044020000}"/>
    <cellStyle name="Comma 3 4 3 4 2" xfId="1258" xr:uid="{00000000-0005-0000-0000-000045020000}"/>
    <cellStyle name="Comma 3 4 3 4 2 2" xfId="2260" xr:uid="{00000000-0005-0000-0000-000046020000}"/>
    <cellStyle name="Comma 3 4 3 4 3" xfId="1759" xr:uid="{00000000-0005-0000-0000-000047020000}"/>
    <cellStyle name="Comma 3 4 3 5" xfId="1010" xr:uid="{00000000-0005-0000-0000-000048020000}"/>
    <cellStyle name="Comma 3 4 3 5 2" xfId="2012" xr:uid="{00000000-0005-0000-0000-000049020000}"/>
    <cellStyle name="Comma 3 4 3 6" xfId="1511" xr:uid="{00000000-0005-0000-0000-00004A020000}"/>
    <cellStyle name="Comma 3 4 4" xfId="530" xr:uid="{00000000-0005-0000-0000-00004B020000}"/>
    <cellStyle name="Comma 3 4 4 2" xfId="654" xr:uid="{00000000-0005-0000-0000-00004C020000}"/>
    <cellStyle name="Comma 3 4 4 2 2" xfId="902" xr:uid="{00000000-0005-0000-0000-00004D020000}"/>
    <cellStyle name="Comma 3 4 4 2 2 2" xfId="1406" xr:uid="{00000000-0005-0000-0000-00004E020000}"/>
    <cellStyle name="Comma 3 4 4 2 2 2 2" xfId="2408" xr:uid="{00000000-0005-0000-0000-00004F020000}"/>
    <cellStyle name="Comma 3 4 4 2 2 3" xfId="1907" xr:uid="{00000000-0005-0000-0000-000050020000}"/>
    <cellStyle name="Comma 3 4 4 2 3" xfId="1158" xr:uid="{00000000-0005-0000-0000-000051020000}"/>
    <cellStyle name="Comma 3 4 4 2 3 2" xfId="2160" xr:uid="{00000000-0005-0000-0000-000052020000}"/>
    <cellStyle name="Comma 3 4 4 2 4" xfId="1659" xr:uid="{00000000-0005-0000-0000-000053020000}"/>
    <cellStyle name="Comma 3 4 4 3" xfId="778" xr:uid="{00000000-0005-0000-0000-000054020000}"/>
    <cellStyle name="Comma 3 4 4 3 2" xfId="1282" xr:uid="{00000000-0005-0000-0000-000055020000}"/>
    <cellStyle name="Comma 3 4 4 3 2 2" xfId="2284" xr:uid="{00000000-0005-0000-0000-000056020000}"/>
    <cellStyle name="Comma 3 4 4 3 3" xfId="1783" xr:uid="{00000000-0005-0000-0000-000057020000}"/>
    <cellStyle name="Comma 3 4 4 4" xfId="1034" xr:uid="{00000000-0005-0000-0000-000058020000}"/>
    <cellStyle name="Comma 3 4 4 4 2" xfId="2036" xr:uid="{00000000-0005-0000-0000-000059020000}"/>
    <cellStyle name="Comma 3 4 4 5" xfId="1535" xr:uid="{00000000-0005-0000-0000-00005A020000}"/>
    <cellStyle name="Comma 3 4 5" xfId="588" xr:uid="{00000000-0005-0000-0000-00005B020000}"/>
    <cellStyle name="Comma 3 4 5 2" xfId="836" xr:uid="{00000000-0005-0000-0000-00005C020000}"/>
    <cellStyle name="Comma 3 4 5 2 2" xfId="1340" xr:uid="{00000000-0005-0000-0000-00005D020000}"/>
    <cellStyle name="Comma 3 4 5 2 2 2" xfId="2342" xr:uid="{00000000-0005-0000-0000-00005E020000}"/>
    <cellStyle name="Comma 3 4 5 2 3" xfId="1841" xr:uid="{00000000-0005-0000-0000-00005F020000}"/>
    <cellStyle name="Comma 3 4 5 3" xfId="1092" xr:uid="{00000000-0005-0000-0000-000060020000}"/>
    <cellStyle name="Comma 3 4 5 3 2" xfId="2094" xr:uid="{00000000-0005-0000-0000-000061020000}"/>
    <cellStyle name="Comma 3 4 5 4" xfId="1593" xr:uid="{00000000-0005-0000-0000-000062020000}"/>
    <cellStyle name="Comma 3 4 6" xfId="712" xr:uid="{00000000-0005-0000-0000-000063020000}"/>
    <cellStyle name="Comma 3 4 6 2" xfId="1216" xr:uid="{00000000-0005-0000-0000-000064020000}"/>
    <cellStyle name="Comma 3 4 6 2 2" xfId="2218" xr:uid="{00000000-0005-0000-0000-000065020000}"/>
    <cellStyle name="Comma 3 4 6 3" xfId="1717" xr:uid="{00000000-0005-0000-0000-000066020000}"/>
    <cellStyle name="Comma 3 4 7" xfId="968" xr:uid="{00000000-0005-0000-0000-000067020000}"/>
    <cellStyle name="Comma 3 4 7 2" xfId="1970" xr:uid="{00000000-0005-0000-0000-000068020000}"/>
    <cellStyle name="Comma 3 4 8" xfId="1469" xr:uid="{00000000-0005-0000-0000-000069020000}"/>
    <cellStyle name="Comma 3 5" xfId="458" xr:uid="{00000000-0005-0000-0000-00006A020000}"/>
    <cellStyle name="Comma 3 5 2" xfId="488" xr:uid="{00000000-0005-0000-0000-00006B020000}"/>
    <cellStyle name="Comma 3 5 2 2" xfId="534" xr:uid="{00000000-0005-0000-0000-00006C020000}"/>
    <cellStyle name="Comma 3 5 2 2 2" xfId="658" xr:uid="{00000000-0005-0000-0000-00006D020000}"/>
    <cellStyle name="Comma 3 5 2 2 2 2" xfId="906" xr:uid="{00000000-0005-0000-0000-00006E020000}"/>
    <cellStyle name="Comma 3 5 2 2 2 2 2" xfId="1410" xr:uid="{00000000-0005-0000-0000-00006F020000}"/>
    <cellStyle name="Comma 3 5 2 2 2 2 2 2" xfId="2412" xr:uid="{00000000-0005-0000-0000-000070020000}"/>
    <cellStyle name="Comma 3 5 2 2 2 2 3" xfId="1911" xr:uid="{00000000-0005-0000-0000-000071020000}"/>
    <cellStyle name="Comma 3 5 2 2 2 3" xfId="1162" xr:uid="{00000000-0005-0000-0000-000072020000}"/>
    <cellStyle name="Comma 3 5 2 2 2 3 2" xfId="2164" xr:uid="{00000000-0005-0000-0000-000073020000}"/>
    <cellStyle name="Comma 3 5 2 2 2 4" xfId="1663" xr:uid="{00000000-0005-0000-0000-000074020000}"/>
    <cellStyle name="Comma 3 5 2 2 3" xfId="782" xr:uid="{00000000-0005-0000-0000-000075020000}"/>
    <cellStyle name="Comma 3 5 2 2 3 2" xfId="1286" xr:uid="{00000000-0005-0000-0000-000076020000}"/>
    <cellStyle name="Comma 3 5 2 2 3 2 2" xfId="2288" xr:uid="{00000000-0005-0000-0000-000077020000}"/>
    <cellStyle name="Comma 3 5 2 2 3 3" xfId="1787" xr:uid="{00000000-0005-0000-0000-000078020000}"/>
    <cellStyle name="Comma 3 5 2 2 4" xfId="1038" xr:uid="{00000000-0005-0000-0000-000079020000}"/>
    <cellStyle name="Comma 3 5 2 2 4 2" xfId="2040" xr:uid="{00000000-0005-0000-0000-00007A020000}"/>
    <cellStyle name="Comma 3 5 2 2 5" xfId="1539" xr:uid="{00000000-0005-0000-0000-00007B020000}"/>
    <cellStyle name="Comma 3 5 2 3" xfId="612" xr:uid="{00000000-0005-0000-0000-00007C020000}"/>
    <cellStyle name="Comma 3 5 2 3 2" xfId="860" xr:uid="{00000000-0005-0000-0000-00007D020000}"/>
    <cellStyle name="Comma 3 5 2 3 2 2" xfId="1364" xr:uid="{00000000-0005-0000-0000-00007E020000}"/>
    <cellStyle name="Comma 3 5 2 3 2 2 2" xfId="2366" xr:uid="{00000000-0005-0000-0000-00007F020000}"/>
    <cellStyle name="Comma 3 5 2 3 2 3" xfId="1865" xr:uid="{00000000-0005-0000-0000-000080020000}"/>
    <cellStyle name="Comma 3 5 2 3 3" xfId="1116" xr:uid="{00000000-0005-0000-0000-000081020000}"/>
    <cellStyle name="Comma 3 5 2 3 3 2" xfId="2118" xr:uid="{00000000-0005-0000-0000-000082020000}"/>
    <cellStyle name="Comma 3 5 2 3 4" xfId="1617" xr:uid="{00000000-0005-0000-0000-000083020000}"/>
    <cellStyle name="Comma 3 5 2 4" xfId="736" xr:uid="{00000000-0005-0000-0000-000084020000}"/>
    <cellStyle name="Comma 3 5 2 4 2" xfId="1240" xr:uid="{00000000-0005-0000-0000-000085020000}"/>
    <cellStyle name="Comma 3 5 2 4 2 2" xfId="2242" xr:uid="{00000000-0005-0000-0000-000086020000}"/>
    <cellStyle name="Comma 3 5 2 4 3" xfId="1741" xr:uid="{00000000-0005-0000-0000-000087020000}"/>
    <cellStyle name="Comma 3 5 2 5" xfId="992" xr:uid="{00000000-0005-0000-0000-000088020000}"/>
    <cellStyle name="Comma 3 5 2 5 2" xfId="1994" xr:uid="{00000000-0005-0000-0000-000089020000}"/>
    <cellStyle name="Comma 3 5 2 6" xfId="1493" xr:uid="{00000000-0005-0000-0000-00008A020000}"/>
    <cellStyle name="Comma 3 5 3" xfId="508" xr:uid="{00000000-0005-0000-0000-00008B020000}"/>
    <cellStyle name="Comma 3 5 3 2" xfId="535" xr:uid="{00000000-0005-0000-0000-00008C020000}"/>
    <cellStyle name="Comma 3 5 3 2 2" xfId="659" xr:uid="{00000000-0005-0000-0000-00008D020000}"/>
    <cellStyle name="Comma 3 5 3 2 2 2" xfId="907" xr:uid="{00000000-0005-0000-0000-00008E020000}"/>
    <cellStyle name="Comma 3 5 3 2 2 2 2" xfId="1411" xr:uid="{00000000-0005-0000-0000-00008F020000}"/>
    <cellStyle name="Comma 3 5 3 2 2 2 2 2" xfId="2413" xr:uid="{00000000-0005-0000-0000-000090020000}"/>
    <cellStyle name="Comma 3 5 3 2 2 2 3" xfId="1912" xr:uid="{00000000-0005-0000-0000-000091020000}"/>
    <cellStyle name="Comma 3 5 3 2 2 3" xfId="1163" xr:uid="{00000000-0005-0000-0000-000092020000}"/>
    <cellStyle name="Comma 3 5 3 2 2 3 2" xfId="2165" xr:uid="{00000000-0005-0000-0000-000093020000}"/>
    <cellStyle name="Comma 3 5 3 2 2 4" xfId="1664" xr:uid="{00000000-0005-0000-0000-000094020000}"/>
    <cellStyle name="Comma 3 5 3 2 3" xfId="783" xr:uid="{00000000-0005-0000-0000-000095020000}"/>
    <cellStyle name="Comma 3 5 3 2 3 2" xfId="1287" xr:uid="{00000000-0005-0000-0000-000096020000}"/>
    <cellStyle name="Comma 3 5 3 2 3 2 2" xfId="2289" xr:uid="{00000000-0005-0000-0000-000097020000}"/>
    <cellStyle name="Comma 3 5 3 2 3 3" xfId="1788" xr:uid="{00000000-0005-0000-0000-000098020000}"/>
    <cellStyle name="Comma 3 5 3 2 4" xfId="1039" xr:uid="{00000000-0005-0000-0000-000099020000}"/>
    <cellStyle name="Comma 3 5 3 2 4 2" xfId="2041" xr:uid="{00000000-0005-0000-0000-00009A020000}"/>
    <cellStyle name="Comma 3 5 3 2 5" xfId="1540" xr:uid="{00000000-0005-0000-0000-00009B020000}"/>
    <cellStyle name="Comma 3 5 3 3" xfId="632" xr:uid="{00000000-0005-0000-0000-00009C020000}"/>
    <cellStyle name="Comma 3 5 3 3 2" xfId="880" xr:uid="{00000000-0005-0000-0000-00009D020000}"/>
    <cellStyle name="Comma 3 5 3 3 2 2" xfId="1384" xr:uid="{00000000-0005-0000-0000-00009E020000}"/>
    <cellStyle name="Comma 3 5 3 3 2 2 2" xfId="2386" xr:uid="{00000000-0005-0000-0000-00009F020000}"/>
    <cellStyle name="Comma 3 5 3 3 2 3" xfId="1885" xr:uid="{00000000-0005-0000-0000-0000A0020000}"/>
    <cellStyle name="Comma 3 5 3 3 3" xfId="1136" xr:uid="{00000000-0005-0000-0000-0000A1020000}"/>
    <cellStyle name="Comma 3 5 3 3 3 2" xfId="2138" xr:uid="{00000000-0005-0000-0000-0000A2020000}"/>
    <cellStyle name="Comma 3 5 3 3 4" xfId="1637" xr:uid="{00000000-0005-0000-0000-0000A3020000}"/>
    <cellStyle name="Comma 3 5 3 4" xfId="756" xr:uid="{00000000-0005-0000-0000-0000A4020000}"/>
    <cellStyle name="Comma 3 5 3 4 2" xfId="1260" xr:uid="{00000000-0005-0000-0000-0000A5020000}"/>
    <cellStyle name="Comma 3 5 3 4 2 2" xfId="2262" xr:uid="{00000000-0005-0000-0000-0000A6020000}"/>
    <cellStyle name="Comma 3 5 3 4 3" xfId="1761" xr:uid="{00000000-0005-0000-0000-0000A7020000}"/>
    <cellStyle name="Comma 3 5 3 5" xfId="1012" xr:uid="{00000000-0005-0000-0000-0000A8020000}"/>
    <cellStyle name="Comma 3 5 3 5 2" xfId="2014" xr:uid="{00000000-0005-0000-0000-0000A9020000}"/>
    <cellStyle name="Comma 3 5 3 6" xfId="1513" xr:uid="{00000000-0005-0000-0000-0000AA020000}"/>
    <cellStyle name="Comma 3 5 4" xfId="533" xr:uid="{00000000-0005-0000-0000-0000AB020000}"/>
    <cellStyle name="Comma 3 5 4 2" xfId="657" xr:uid="{00000000-0005-0000-0000-0000AC020000}"/>
    <cellStyle name="Comma 3 5 4 2 2" xfId="905" xr:uid="{00000000-0005-0000-0000-0000AD020000}"/>
    <cellStyle name="Comma 3 5 4 2 2 2" xfId="1409" xr:uid="{00000000-0005-0000-0000-0000AE020000}"/>
    <cellStyle name="Comma 3 5 4 2 2 2 2" xfId="2411" xr:uid="{00000000-0005-0000-0000-0000AF020000}"/>
    <cellStyle name="Comma 3 5 4 2 2 3" xfId="1910" xr:uid="{00000000-0005-0000-0000-0000B0020000}"/>
    <cellStyle name="Comma 3 5 4 2 3" xfId="1161" xr:uid="{00000000-0005-0000-0000-0000B1020000}"/>
    <cellStyle name="Comma 3 5 4 2 3 2" xfId="2163" xr:uid="{00000000-0005-0000-0000-0000B2020000}"/>
    <cellStyle name="Comma 3 5 4 2 4" xfId="1662" xr:uid="{00000000-0005-0000-0000-0000B3020000}"/>
    <cellStyle name="Comma 3 5 4 3" xfId="781" xr:uid="{00000000-0005-0000-0000-0000B4020000}"/>
    <cellStyle name="Comma 3 5 4 3 2" xfId="1285" xr:uid="{00000000-0005-0000-0000-0000B5020000}"/>
    <cellStyle name="Comma 3 5 4 3 2 2" xfId="2287" xr:uid="{00000000-0005-0000-0000-0000B6020000}"/>
    <cellStyle name="Comma 3 5 4 3 3" xfId="1786" xr:uid="{00000000-0005-0000-0000-0000B7020000}"/>
    <cellStyle name="Comma 3 5 4 4" xfId="1037" xr:uid="{00000000-0005-0000-0000-0000B8020000}"/>
    <cellStyle name="Comma 3 5 4 4 2" xfId="2039" xr:uid="{00000000-0005-0000-0000-0000B9020000}"/>
    <cellStyle name="Comma 3 5 4 5" xfId="1538" xr:uid="{00000000-0005-0000-0000-0000BA020000}"/>
    <cellStyle name="Comma 3 5 5" xfId="590" xr:uid="{00000000-0005-0000-0000-0000BB020000}"/>
    <cellStyle name="Comma 3 5 5 2" xfId="838" xr:uid="{00000000-0005-0000-0000-0000BC020000}"/>
    <cellStyle name="Comma 3 5 5 2 2" xfId="1342" xr:uid="{00000000-0005-0000-0000-0000BD020000}"/>
    <cellStyle name="Comma 3 5 5 2 2 2" xfId="2344" xr:uid="{00000000-0005-0000-0000-0000BE020000}"/>
    <cellStyle name="Comma 3 5 5 2 3" xfId="1843" xr:uid="{00000000-0005-0000-0000-0000BF020000}"/>
    <cellStyle name="Comma 3 5 5 3" xfId="1094" xr:uid="{00000000-0005-0000-0000-0000C0020000}"/>
    <cellStyle name="Comma 3 5 5 3 2" xfId="2096" xr:uid="{00000000-0005-0000-0000-0000C1020000}"/>
    <cellStyle name="Comma 3 5 5 4" xfId="1595" xr:uid="{00000000-0005-0000-0000-0000C2020000}"/>
    <cellStyle name="Comma 3 5 6" xfId="714" xr:uid="{00000000-0005-0000-0000-0000C3020000}"/>
    <cellStyle name="Comma 3 5 6 2" xfId="1218" xr:uid="{00000000-0005-0000-0000-0000C4020000}"/>
    <cellStyle name="Comma 3 5 6 2 2" xfId="2220" xr:uid="{00000000-0005-0000-0000-0000C5020000}"/>
    <cellStyle name="Comma 3 5 6 3" xfId="1719" xr:uid="{00000000-0005-0000-0000-0000C6020000}"/>
    <cellStyle name="Comma 3 5 7" xfId="970" xr:uid="{00000000-0005-0000-0000-0000C7020000}"/>
    <cellStyle name="Comma 3 5 7 2" xfId="1972" xr:uid="{00000000-0005-0000-0000-0000C8020000}"/>
    <cellStyle name="Comma 3 5 8" xfId="1471" xr:uid="{00000000-0005-0000-0000-0000C9020000}"/>
    <cellStyle name="Comma 3 6" xfId="460" xr:uid="{00000000-0005-0000-0000-0000CA020000}"/>
    <cellStyle name="Comma 3 6 2" xfId="490" xr:uid="{00000000-0005-0000-0000-0000CB020000}"/>
    <cellStyle name="Comma 3 6 2 2" xfId="537" xr:uid="{00000000-0005-0000-0000-0000CC020000}"/>
    <cellStyle name="Comma 3 6 2 2 2" xfId="661" xr:uid="{00000000-0005-0000-0000-0000CD020000}"/>
    <cellStyle name="Comma 3 6 2 2 2 2" xfId="909" xr:uid="{00000000-0005-0000-0000-0000CE020000}"/>
    <cellStyle name="Comma 3 6 2 2 2 2 2" xfId="1413" xr:uid="{00000000-0005-0000-0000-0000CF020000}"/>
    <cellStyle name="Comma 3 6 2 2 2 2 2 2" xfId="2415" xr:uid="{00000000-0005-0000-0000-0000D0020000}"/>
    <cellStyle name="Comma 3 6 2 2 2 2 3" xfId="1914" xr:uid="{00000000-0005-0000-0000-0000D1020000}"/>
    <cellStyle name="Comma 3 6 2 2 2 3" xfId="1165" xr:uid="{00000000-0005-0000-0000-0000D2020000}"/>
    <cellStyle name="Comma 3 6 2 2 2 3 2" xfId="2167" xr:uid="{00000000-0005-0000-0000-0000D3020000}"/>
    <cellStyle name="Comma 3 6 2 2 2 4" xfId="1666" xr:uid="{00000000-0005-0000-0000-0000D4020000}"/>
    <cellStyle name="Comma 3 6 2 2 3" xfId="785" xr:uid="{00000000-0005-0000-0000-0000D5020000}"/>
    <cellStyle name="Comma 3 6 2 2 3 2" xfId="1289" xr:uid="{00000000-0005-0000-0000-0000D6020000}"/>
    <cellStyle name="Comma 3 6 2 2 3 2 2" xfId="2291" xr:uid="{00000000-0005-0000-0000-0000D7020000}"/>
    <cellStyle name="Comma 3 6 2 2 3 3" xfId="1790" xr:uid="{00000000-0005-0000-0000-0000D8020000}"/>
    <cellStyle name="Comma 3 6 2 2 4" xfId="1041" xr:uid="{00000000-0005-0000-0000-0000D9020000}"/>
    <cellStyle name="Comma 3 6 2 2 4 2" xfId="2043" xr:uid="{00000000-0005-0000-0000-0000DA020000}"/>
    <cellStyle name="Comma 3 6 2 2 5" xfId="1542" xr:uid="{00000000-0005-0000-0000-0000DB020000}"/>
    <cellStyle name="Comma 3 6 2 3" xfId="614" xr:uid="{00000000-0005-0000-0000-0000DC020000}"/>
    <cellStyle name="Comma 3 6 2 3 2" xfId="862" xr:uid="{00000000-0005-0000-0000-0000DD020000}"/>
    <cellStyle name="Comma 3 6 2 3 2 2" xfId="1366" xr:uid="{00000000-0005-0000-0000-0000DE020000}"/>
    <cellStyle name="Comma 3 6 2 3 2 2 2" xfId="2368" xr:uid="{00000000-0005-0000-0000-0000DF020000}"/>
    <cellStyle name="Comma 3 6 2 3 2 3" xfId="1867" xr:uid="{00000000-0005-0000-0000-0000E0020000}"/>
    <cellStyle name="Comma 3 6 2 3 3" xfId="1118" xr:uid="{00000000-0005-0000-0000-0000E1020000}"/>
    <cellStyle name="Comma 3 6 2 3 3 2" xfId="2120" xr:uid="{00000000-0005-0000-0000-0000E2020000}"/>
    <cellStyle name="Comma 3 6 2 3 4" xfId="1619" xr:uid="{00000000-0005-0000-0000-0000E3020000}"/>
    <cellStyle name="Comma 3 6 2 4" xfId="738" xr:uid="{00000000-0005-0000-0000-0000E4020000}"/>
    <cellStyle name="Comma 3 6 2 4 2" xfId="1242" xr:uid="{00000000-0005-0000-0000-0000E5020000}"/>
    <cellStyle name="Comma 3 6 2 4 2 2" xfId="2244" xr:uid="{00000000-0005-0000-0000-0000E6020000}"/>
    <cellStyle name="Comma 3 6 2 4 3" xfId="1743" xr:uid="{00000000-0005-0000-0000-0000E7020000}"/>
    <cellStyle name="Comma 3 6 2 5" xfId="994" xr:uid="{00000000-0005-0000-0000-0000E8020000}"/>
    <cellStyle name="Comma 3 6 2 5 2" xfId="1996" xr:uid="{00000000-0005-0000-0000-0000E9020000}"/>
    <cellStyle name="Comma 3 6 2 6" xfId="1495" xr:uid="{00000000-0005-0000-0000-0000EA020000}"/>
    <cellStyle name="Comma 3 6 3" xfId="510" xr:uid="{00000000-0005-0000-0000-0000EB020000}"/>
    <cellStyle name="Comma 3 6 3 2" xfId="538" xr:uid="{00000000-0005-0000-0000-0000EC020000}"/>
    <cellStyle name="Comma 3 6 3 2 2" xfId="662" xr:uid="{00000000-0005-0000-0000-0000ED020000}"/>
    <cellStyle name="Comma 3 6 3 2 2 2" xfId="910" xr:uid="{00000000-0005-0000-0000-0000EE020000}"/>
    <cellStyle name="Comma 3 6 3 2 2 2 2" xfId="1414" xr:uid="{00000000-0005-0000-0000-0000EF020000}"/>
    <cellStyle name="Comma 3 6 3 2 2 2 2 2" xfId="2416" xr:uid="{00000000-0005-0000-0000-0000F0020000}"/>
    <cellStyle name="Comma 3 6 3 2 2 2 3" xfId="1915" xr:uid="{00000000-0005-0000-0000-0000F1020000}"/>
    <cellStyle name="Comma 3 6 3 2 2 3" xfId="1166" xr:uid="{00000000-0005-0000-0000-0000F2020000}"/>
    <cellStyle name="Comma 3 6 3 2 2 3 2" xfId="2168" xr:uid="{00000000-0005-0000-0000-0000F3020000}"/>
    <cellStyle name="Comma 3 6 3 2 2 4" xfId="1667" xr:uid="{00000000-0005-0000-0000-0000F4020000}"/>
    <cellStyle name="Comma 3 6 3 2 3" xfId="786" xr:uid="{00000000-0005-0000-0000-0000F5020000}"/>
    <cellStyle name="Comma 3 6 3 2 3 2" xfId="1290" xr:uid="{00000000-0005-0000-0000-0000F6020000}"/>
    <cellStyle name="Comma 3 6 3 2 3 2 2" xfId="2292" xr:uid="{00000000-0005-0000-0000-0000F7020000}"/>
    <cellStyle name="Comma 3 6 3 2 3 3" xfId="1791" xr:uid="{00000000-0005-0000-0000-0000F8020000}"/>
    <cellStyle name="Comma 3 6 3 2 4" xfId="1042" xr:uid="{00000000-0005-0000-0000-0000F9020000}"/>
    <cellStyle name="Comma 3 6 3 2 4 2" xfId="2044" xr:uid="{00000000-0005-0000-0000-0000FA020000}"/>
    <cellStyle name="Comma 3 6 3 2 5" xfId="1543" xr:uid="{00000000-0005-0000-0000-0000FB020000}"/>
    <cellStyle name="Comma 3 6 3 3" xfId="634" xr:uid="{00000000-0005-0000-0000-0000FC020000}"/>
    <cellStyle name="Comma 3 6 3 3 2" xfId="882" xr:uid="{00000000-0005-0000-0000-0000FD020000}"/>
    <cellStyle name="Comma 3 6 3 3 2 2" xfId="1386" xr:uid="{00000000-0005-0000-0000-0000FE020000}"/>
    <cellStyle name="Comma 3 6 3 3 2 2 2" xfId="2388" xr:uid="{00000000-0005-0000-0000-0000FF020000}"/>
    <cellStyle name="Comma 3 6 3 3 2 3" xfId="1887" xr:uid="{00000000-0005-0000-0000-000000030000}"/>
    <cellStyle name="Comma 3 6 3 3 3" xfId="1138" xr:uid="{00000000-0005-0000-0000-000001030000}"/>
    <cellStyle name="Comma 3 6 3 3 3 2" xfId="2140" xr:uid="{00000000-0005-0000-0000-000002030000}"/>
    <cellStyle name="Comma 3 6 3 3 4" xfId="1639" xr:uid="{00000000-0005-0000-0000-000003030000}"/>
    <cellStyle name="Comma 3 6 3 4" xfId="758" xr:uid="{00000000-0005-0000-0000-000004030000}"/>
    <cellStyle name="Comma 3 6 3 4 2" xfId="1262" xr:uid="{00000000-0005-0000-0000-000005030000}"/>
    <cellStyle name="Comma 3 6 3 4 2 2" xfId="2264" xr:uid="{00000000-0005-0000-0000-000006030000}"/>
    <cellStyle name="Comma 3 6 3 4 3" xfId="1763" xr:uid="{00000000-0005-0000-0000-000007030000}"/>
    <cellStyle name="Comma 3 6 3 5" xfId="1014" xr:uid="{00000000-0005-0000-0000-000008030000}"/>
    <cellStyle name="Comma 3 6 3 5 2" xfId="2016" xr:uid="{00000000-0005-0000-0000-000009030000}"/>
    <cellStyle name="Comma 3 6 3 6" xfId="1515" xr:uid="{00000000-0005-0000-0000-00000A030000}"/>
    <cellStyle name="Comma 3 6 4" xfId="536" xr:uid="{00000000-0005-0000-0000-00000B030000}"/>
    <cellStyle name="Comma 3 6 4 2" xfId="660" xr:uid="{00000000-0005-0000-0000-00000C030000}"/>
    <cellStyle name="Comma 3 6 4 2 2" xfId="908" xr:uid="{00000000-0005-0000-0000-00000D030000}"/>
    <cellStyle name="Comma 3 6 4 2 2 2" xfId="1412" xr:uid="{00000000-0005-0000-0000-00000E030000}"/>
    <cellStyle name="Comma 3 6 4 2 2 2 2" xfId="2414" xr:uid="{00000000-0005-0000-0000-00000F030000}"/>
    <cellStyle name="Comma 3 6 4 2 2 3" xfId="1913" xr:uid="{00000000-0005-0000-0000-000010030000}"/>
    <cellStyle name="Comma 3 6 4 2 3" xfId="1164" xr:uid="{00000000-0005-0000-0000-000011030000}"/>
    <cellStyle name="Comma 3 6 4 2 3 2" xfId="2166" xr:uid="{00000000-0005-0000-0000-000012030000}"/>
    <cellStyle name="Comma 3 6 4 2 4" xfId="1665" xr:uid="{00000000-0005-0000-0000-000013030000}"/>
    <cellStyle name="Comma 3 6 4 3" xfId="784" xr:uid="{00000000-0005-0000-0000-000014030000}"/>
    <cellStyle name="Comma 3 6 4 3 2" xfId="1288" xr:uid="{00000000-0005-0000-0000-000015030000}"/>
    <cellStyle name="Comma 3 6 4 3 2 2" xfId="2290" xr:uid="{00000000-0005-0000-0000-000016030000}"/>
    <cellStyle name="Comma 3 6 4 3 3" xfId="1789" xr:uid="{00000000-0005-0000-0000-000017030000}"/>
    <cellStyle name="Comma 3 6 4 4" xfId="1040" xr:uid="{00000000-0005-0000-0000-000018030000}"/>
    <cellStyle name="Comma 3 6 4 4 2" xfId="2042" xr:uid="{00000000-0005-0000-0000-000019030000}"/>
    <cellStyle name="Comma 3 6 4 5" xfId="1541" xr:uid="{00000000-0005-0000-0000-00001A030000}"/>
    <cellStyle name="Comma 3 6 5" xfId="592" xr:uid="{00000000-0005-0000-0000-00001B030000}"/>
    <cellStyle name="Comma 3 6 5 2" xfId="840" xr:uid="{00000000-0005-0000-0000-00001C030000}"/>
    <cellStyle name="Comma 3 6 5 2 2" xfId="1344" xr:uid="{00000000-0005-0000-0000-00001D030000}"/>
    <cellStyle name="Comma 3 6 5 2 2 2" xfId="2346" xr:uid="{00000000-0005-0000-0000-00001E030000}"/>
    <cellStyle name="Comma 3 6 5 2 3" xfId="1845" xr:uid="{00000000-0005-0000-0000-00001F030000}"/>
    <cellStyle name="Comma 3 6 5 3" xfId="1096" xr:uid="{00000000-0005-0000-0000-000020030000}"/>
    <cellStyle name="Comma 3 6 5 3 2" xfId="2098" xr:uid="{00000000-0005-0000-0000-000021030000}"/>
    <cellStyle name="Comma 3 6 5 4" xfId="1597" xr:uid="{00000000-0005-0000-0000-000022030000}"/>
    <cellStyle name="Comma 3 6 6" xfId="716" xr:uid="{00000000-0005-0000-0000-000023030000}"/>
    <cellStyle name="Comma 3 6 6 2" xfId="1220" xr:uid="{00000000-0005-0000-0000-000024030000}"/>
    <cellStyle name="Comma 3 6 6 2 2" xfId="2222" xr:uid="{00000000-0005-0000-0000-000025030000}"/>
    <cellStyle name="Comma 3 6 6 3" xfId="1721" xr:uid="{00000000-0005-0000-0000-000026030000}"/>
    <cellStyle name="Comma 3 6 7" xfId="972" xr:uid="{00000000-0005-0000-0000-000027030000}"/>
    <cellStyle name="Comma 3 6 7 2" xfId="1974" xr:uid="{00000000-0005-0000-0000-000028030000}"/>
    <cellStyle name="Comma 3 6 8" xfId="1473" xr:uid="{00000000-0005-0000-0000-000029030000}"/>
    <cellStyle name="Comma 3 7" xfId="462" xr:uid="{00000000-0005-0000-0000-00002A030000}"/>
    <cellStyle name="Comma 3 7 2" xfId="492" xr:uid="{00000000-0005-0000-0000-00002B030000}"/>
    <cellStyle name="Comma 3 7 2 2" xfId="540" xr:uid="{00000000-0005-0000-0000-00002C030000}"/>
    <cellStyle name="Comma 3 7 2 2 2" xfId="664" xr:uid="{00000000-0005-0000-0000-00002D030000}"/>
    <cellStyle name="Comma 3 7 2 2 2 2" xfId="912" xr:uid="{00000000-0005-0000-0000-00002E030000}"/>
    <cellStyle name="Comma 3 7 2 2 2 2 2" xfId="1416" xr:uid="{00000000-0005-0000-0000-00002F030000}"/>
    <cellStyle name="Comma 3 7 2 2 2 2 2 2" xfId="2418" xr:uid="{00000000-0005-0000-0000-000030030000}"/>
    <cellStyle name="Comma 3 7 2 2 2 2 3" xfId="1917" xr:uid="{00000000-0005-0000-0000-000031030000}"/>
    <cellStyle name="Comma 3 7 2 2 2 3" xfId="1168" xr:uid="{00000000-0005-0000-0000-000032030000}"/>
    <cellStyle name="Comma 3 7 2 2 2 3 2" xfId="2170" xr:uid="{00000000-0005-0000-0000-000033030000}"/>
    <cellStyle name="Comma 3 7 2 2 2 4" xfId="1669" xr:uid="{00000000-0005-0000-0000-000034030000}"/>
    <cellStyle name="Comma 3 7 2 2 3" xfId="788" xr:uid="{00000000-0005-0000-0000-000035030000}"/>
    <cellStyle name="Comma 3 7 2 2 3 2" xfId="1292" xr:uid="{00000000-0005-0000-0000-000036030000}"/>
    <cellStyle name="Comma 3 7 2 2 3 2 2" xfId="2294" xr:uid="{00000000-0005-0000-0000-000037030000}"/>
    <cellStyle name="Comma 3 7 2 2 3 3" xfId="1793" xr:uid="{00000000-0005-0000-0000-000038030000}"/>
    <cellStyle name="Comma 3 7 2 2 4" xfId="1044" xr:uid="{00000000-0005-0000-0000-000039030000}"/>
    <cellStyle name="Comma 3 7 2 2 4 2" xfId="2046" xr:uid="{00000000-0005-0000-0000-00003A030000}"/>
    <cellStyle name="Comma 3 7 2 2 5" xfId="1545" xr:uid="{00000000-0005-0000-0000-00003B030000}"/>
    <cellStyle name="Comma 3 7 2 3" xfId="616" xr:uid="{00000000-0005-0000-0000-00003C030000}"/>
    <cellStyle name="Comma 3 7 2 3 2" xfId="864" xr:uid="{00000000-0005-0000-0000-00003D030000}"/>
    <cellStyle name="Comma 3 7 2 3 2 2" xfId="1368" xr:uid="{00000000-0005-0000-0000-00003E030000}"/>
    <cellStyle name="Comma 3 7 2 3 2 2 2" xfId="2370" xr:uid="{00000000-0005-0000-0000-00003F030000}"/>
    <cellStyle name="Comma 3 7 2 3 2 3" xfId="1869" xr:uid="{00000000-0005-0000-0000-000040030000}"/>
    <cellStyle name="Comma 3 7 2 3 3" xfId="1120" xr:uid="{00000000-0005-0000-0000-000041030000}"/>
    <cellStyle name="Comma 3 7 2 3 3 2" xfId="2122" xr:uid="{00000000-0005-0000-0000-000042030000}"/>
    <cellStyle name="Comma 3 7 2 3 4" xfId="1621" xr:uid="{00000000-0005-0000-0000-000043030000}"/>
    <cellStyle name="Comma 3 7 2 4" xfId="740" xr:uid="{00000000-0005-0000-0000-000044030000}"/>
    <cellStyle name="Comma 3 7 2 4 2" xfId="1244" xr:uid="{00000000-0005-0000-0000-000045030000}"/>
    <cellStyle name="Comma 3 7 2 4 2 2" xfId="2246" xr:uid="{00000000-0005-0000-0000-000046030000}"/>
    <cellStyle name="Comma 3 7 2 4 3" xfId="1745" xr:uid="{00000000-0005-0000-0000-000047030000}"/>
    <cellStyle name="Comma 3 7 2 5" xfId="996" xr:uid="{00000000-0005-0000-0000-000048030000}"/>
    <cellStyle name="Comma 3 7 2 5 2" xfId="1998" xr:uid="{00000000-0005-0000-0000-000049030000}"/>
    <cellStyle name="Comma 3 7 2 6" xfId="1497" xr:uid="{00000000-0005-0000-0000-00004A030000}"/>
    <cellStyle name="Comma 3 7 3" xfId="512" xr:uid="{00000000-0005-0000-0000-00004B030000}"/>
    <cellStyle name="Comma 3 7 3 2" xfId="541" xr:uid="{00000000-0005-0000-0000-00004C030000}"/>
    <cellStyle name="Comma 3 7 3 2 2" xfId="665" xr:uid="{00000000-0005-0000-0000-00004D030000}"/>
    <cellStyle name="Comma 3 7 3 2 2 2" xfId="913" xr:uid="{00000000-0005-0000-0000-00004E030000}"/>
    <cellStyle name="Comma 3 7 3 2 2 2 2" xfId="1417" xr:uid="{00000000-0005-0000-0000-00004F030000}"/>
    <cellStyle name="Comma 3 7 3 2 2 2 2 2" xfId="2419" xr:uid="{00000000-0005-0000-0000-000050030000}"/>
    <cellStyle name="Comma 3 7 3 2 2 2 3" xfId="1918" xr:uid="{00000000-0005-0000-0000-000051030000}"/>
    <cellStyle name="Comma 3 7 3 2 2 3" xfId="1169" xr:uid="{00000000-0005-0000-0000-000052030000}"/>
    <cellStyle name="Comma 3 7 3 2 2 3 2" xfId="2171" xr:uid="{00000000-0005-0000-0000-000053030000}"/>
    <cellStyle name="Comma 3 7 3 2 2 4" xfId="1670" xr:uid="{00000000-0005-0000-0000-000054030000}"/>
    <cellStyle name="Comma 3 7 3 2 3" xfId="789" xr:uid="{00000000-0005-0000-0000-000055030000}"/>
    <cellStyle name="Comma 3 7 3 2 3 2" xfId="1293" xr:uid="{00000000-0005-0000-0000-000056030000}"/>
    <cellStyle name="Comma 3 7 3 2 3 2 2" xfId="2295" xr:uid="{00000000-0005-0000-0000-000057030000}"/>
    <cellStyle name="Comma 3 7 3 2 3 3" xfId="1794" xr:uid="{00000000-0005-0000-0000-000058030000}"/>
    <cellStyle name="Comma 3 7 3 2 4" xfId="1045" xr:uid="{00000000-0005-0000-0000-000059030000}"/>
    <cellStyle name="Comma 3 7 3 2 4 2" xfId="2047" xr:uid="{00000000-0005-0000-0000-00005A030000}"/>
    <cellStyle name="Comma 3 7 3 2 5" xfId="1546" xr:uid="{00000000-0005-0000-0000-00005B030000}"/>
    <cellStyle name="Comma 3 7 3 3" xfId="636" xr:uid="{00000000-0005-0000-0000-00005C030000}"/>
    <cellStyle name="Comma 3 7 3 3 2" xfId="884" xr:uid="{00000000-0005-0000-0000-00005D030000}"/>
    <cellStyle name="Comma 3 7 3 3 2 2" xfId="1388" xr:uid="{00000000-0005-0000-0000-00005E030000}"/>
    <cellStyle name="Comma 3 7 3 3 2 2 2" xfId="2390" xr:uid="{00000000-0005-0000-0000-00005F030000}"/>
    <cellStyle name="Comma 3 7 3 3 2 3" xfId="1889" xr:uid="{00000000-0005-0000-0000-000060030000}"/>
    <cellStyle name="Comma 3 7 3 3 3" xfId="1140" xr:uid="{00000000-0005-0000-0000-000061030000}"/>
    <cellStyle name="Comma 3 7 3 3 3 2" xfId="2142" xr:uid="{00000000-0005-0000-0000-000062030000}"/>
    <cellStyle name="Comma 3 7 3 3 4" xfId="1641" xr:uid="{00000000-0005-0000-0000-000063030000}"/>
    <cellStyle name="Comma 3 7 3 4" xfId="760" xr:uid="{00000000-0005-0000-0000-000064030000}"/>
    <cellStyle name="Comma 3 7 3 4 2" xfId="1264" xr:uid="{00000000-0005-0000-0000-000065030000}"/>
    <cellStyle name="Comma 3 7 3 4 2 2" xfId="2266" xr:uid="{00000000-0005-0000-0000-000066030000}"/>
    <cellStyle name="Comma 3 7 3 4 3" xfId="1765" xr:uid="{00000000-0005-0000-0000-000067030000}"/>
    <cellStyle name="Comma 3 7 3 5" xfId="1016" xr:uid="{00000000-0005-0000-0000-000068030000}"/>
    <cellStyle name="Comma 3 7 3 5 2" xfId="2018" xr:uid="{00000000-0005-0000-0000-000069030000}"/>
    <cellStyle name="Comma 3 7 3 6" xfId="1517" xr:uid="{00000000-0005-0000-0000-00006A030000}"/>
    <cellStyle name="Comma 3 7 4" xfId="539" xr:uid="{00000000-0005-0000-0000-00006B030000}"/>
    <cellStyle name="Comma 3 7 4 2" xfId="663" xr:uid="{00000000-0005-0000-0000-00006C030000}"/>
    <cellStyle name="Comma 3 7 4 2 2" xfId="911" xr:uid="{00000000-0005-0000-0000-00006D030000}"/>
    <cellStyle name="Comma 3 7 4 2 2 2" xfId="1415" xr:uid="{00000000-0005-0000-0000-00006E030000}"/>
    <cellStyle name="Comma 3 7 4 2 2 2 2" xfId="2417" xr:uid="{00000000-0005-0000-0000-00006F030000}"/>
    <cellStyle name="Comma 3 7 4 2 2 3" xfId="1916" xr:uid="{00000000-0005-0000-0000-000070030000}"/>
    <cellStyle name="Comma 3 7 4 2 3" xfId="1167" xr:uid="{00000000-0005-0000-0000-000071030000}"/>
    <cellStyle name="Comma 3 7 4 2 3 2" xfId="2169" xr:uid="{00000000-0005-0000-0000-000072030000}"/>
    <cellStyle name="Comma 3 7 4 2 4" xfId="1668" xr:uid="{00000000-0005-0000-0000-000073030000}"/>
    <cellStyle name="Comma 3 7 4 3" xfId="787" xr:uid="{00000000-0005-0000-0000-000074030000}"/>
    <cellStyle name="Comma 3 7 4 3 2" xfId="1291" xr:uid="{00000000-0005-0000-0000-000075030000}"/>
    <cellStyle name="Comma 3 7 4 3 2 2" xfId="2293" xr:uid="{00000000-0005-0000-0000-000076030000}"/>
    <cellStyle name="Comma 3 7 4 3 3" xfId="1792" xr:uid="{00000000-0005-0000-0000-000077030000}"/>
    <cellStyle name="Comma 3 7 4 4" xfId="1043" xr:uid="{00000000-0005-0000-0000-000078030000}"/>
    <cellStyle name="Comma 3 7 4 4 2" xfId="2045" xr:uid="{00000000-0005-0000-0000-000079030000}"/>
    <cellStyle name="Comma 3 7 4 5" xfId="1544" xr:uid="{00000000-0005-0000-0000-00007A030000}"/>
    <cellStyle name="Comma 3 7 5" xfId="594" xr:uid="{00000000-0005-0000-0000-00007B030000}"/>
    <cellStyle name="Comma 3 7 5 2" xfId="842" xr:uid="{00000000-0005-0000-0000-00007C030000}"/>
    <cellStyle name="Comma 3 7 5 2 2" xfId="1346" xr:uid="{00000000-0005-0000-0000-00007D030000}"/>
    <cellStyle name="Comma 3 7 5 2 2 2" xfId="2348" xr:uid="{00000000-0005-0000-0000-00007E030000}"/>
    <cellStyle name="Comma 3 7 5 2 3" xfId="1847" xr:uid="{00000000-0005-0000-0000-00007F030000}"/>
    <cellStyle name="Comma 3 7 5 3" xfId="1098" xr:uid="{00000000-0005-0000-0000-000080030000}"/>
    <cellStyle name="Comma 3 7 5 3 2" xfId="2100" xr:uid="{00000000-0005-0000-0000-000081030000}"/>
    <cellStyle name="Comma 3 7 5 4" xfId="1599" xr:uid="{00000000-0005-0000-0000-000082030000}"/>
    <cellStyle name="Comma 3 7 6" xfId="718" xr:uid="{00000000-0005-0000-0000-000083030000}"/>
    <cellStyle name="Comma 3 7 6 2" xfId="1222" xr:uid="{00000000-0005-0000-0000-000084030000}"/>
    <cellStyle name="Comma 3 7 6 2 2" xfId="2224" xr:uid="{00000000-0005-0000-0000-000085030000}"/>
    <cellStyle name="Comma 3 7 6 3" xfId="1723" xr:uid="{00000000-0005-0000-0000-000086030000}"/>
    <cellStyle name="Comma 3 7 7" xfId="974" xr:uid="{00000000-0005-0000-0000-000087030000}"/>
    <cellStyle name="Comma 3 7 7 2" xfId="1976" xr:uid="{00000000-0005-0000-0000-000088030000}"/>
    <cellStyle name="Comma 3 7 8" xfId="1475" xr:uid="{00000000-0005-0000-0000-000089030000}"/>
    <cellStyle name="Comma 3 8" xfId="464" xr:uid="{00000000-0005-0000-0000-00008A030000}"/>
    <cellStyle name="Comma 3 8 2" xfId="494" xr:uid="{00000000-0005-0000-0000-00008B030000}"/>
    <cellStyle name="Comma 3 8 2 2" xfId="543" xr:uid="{00000000-0005-0000-0000-00008C030000}"/>
    <cellStyle name="Comma 3 8 2 2 2" xfId="667" xr:uid="{00000000-0005-0000-0000-00008D030000}"/>
    <cellStyle name="Comma 3 8 2 2 2 2" xfId="915" xr:uid="{00000000-0005-0000-0000-00008E030000}"/>
    <cellStyle name="Comma 3 8 2 2 2 2 2" xfId="1419" xr:uid="{00000000-0005-0000-0000-00008F030000}"/>
    <cellStyle name="Comma 3 8 2 2 2 2 2 2" xfId="2421" xr:uid="{00000000-0005-0000-0000-000090030000}"/>
    <cellStyle name="Comma 3 8 2 2 2 2 3" xfId="1920" xr:uid="{00000000-0005-0000-0000-000091030000}"/>
    <cellStyle name="Comma 3 8 2 2 2 3" xfId="1171" xr:uid="{00000000-0005-0000-0000-000092030000}"/>
    <cellStyle name="Comma 3 8 2 2 2 3 2" xfId="2173" xr:uid="{00000000-0005-0000-0000-000093030000}"/>
    <cellStyle name="Comma 3 8 2 2 2 4" xfId="1672" xr:uid="{00000000-0005-0000-0000-000094030000}"/>
    <cellStyle name="Comma 3 8 2 2 3" xfId="791" xr:uid="{00000000-0005-0000-0000-000095030000}"/>
    <cellStyle name="Comma 3 8 2 2 3 2" xfId="1295" xr:uid="{00000000-0005-0000-0000-000096030000}"/>
    <cellStyle name="Comma 3 8 2 2 3 2 2" xfId="2297" xr:uid="{00000000-0005-0000-0000-000097030000}"/>
    <cellStyle name="Comma 3 8 2 2 3 3" xfId="1796" xr:uid="{00000000-0005-0000-0000-000098030000}"/>
    <cellStyle name="Comma 3 8 2 2 4" xfId="1047" xr:uid="{00000000-0005-0000-0000-000099030000}"/>
    <cellStyle name="Comma 3 8 2 2 4 2" xfId="2049" xr:uid="{00000000-0005-0000-0000-00009A030000}"/>
    <cellStyle name="Comma 3 8 2 2 5" xfId="1548" xr:uid="{00000000-0005-0000-0000-00009B030000}"/>
    <cellStyle name="Comma 3 8 2 3" xfId="618" xr:uid="{00000000-0005-0000-0000-00009C030000}"/>
    <cellStyle name="Comma 3 8 2 3 2" xfId="866" xr:uid="{00000000-0005-0000-0000-00009D030000}"/>
    <cellStyle name="Comma 3 8 2 3 2 2" xfId="1370" xr:uid="{00000000-0005-0000-0000-00009E030000}"/>
    <cellStyle name="Comma 3 8 2 3 2 2 2" xfId="2372" xr:uid="{00000000-0005-0000-0000-00009F030000}"/>
    <cellStyle name="Comma 3 8 2 3 2 3" xfId="1871" xr:uid="{00000000-0005-0000-0000-0000A0030000}"/>
    <cellStyle name="Comma 3 8 2 3 3" xfId="1122" xr:uid="{00000000-0005-0000-0000-0000A1030000}"/>
    <cellStyle name="Comma 3 8 2 3 3 2" xfId="2124" xr:uid="{00000000-0005-0000-0000-0000A2030000}"/>
    <cellStyle name="Comma 3 8 2 3 4" xfId="1623" xr:uid="{00000000-0005-0000-0000-0000A3030000}"/>
    <cellStyle name="Comma 3 8 2 4" xfId="742" xr:uid="{00000000-0005-0000-0000-0000A4030000}"/>
    <cellStyle name="Comma 3 8 2 4 2" xfId="1246" xr:uid="{00000000-0005-0000-0000-0000A5030000}"/>
    <cellStyle name="Comma 3 8 2 4 2 2" xfId="2248" xr:uid="{00000000-0005-0000-0000-0000A6030000}"/>
    <cellStyle name="Comma 3 8 2 4 3" xfId="1747" xr:uid="{00000000-0005-0000-0000-0000A7030000}"/>
    <cellStyle name="Comma 3 8 2 5" xfId="998" xr:uid="{00000000-0005-0000-0000-0000A8030000}"/>
    <cellStyle name="Comma 3 8 2 5 2" xfId="2000" xr:uid="{00000000-0005-0000-0000-0000A9030000}"/>
    <cellStyle name="Comma 3 8 2 6" xfId="1499" xr:uid="{00000000-0005-0000-0000-0000AA030000}"/>
    <cellStyle name="Comma 3 8 3" xfId="514" xr:uid="{00000000-0005-0000-0000-0000AB030000}"/>
    <cellStyle name="Comma 3 8 3 2" xfId="544" xr:uid="{00000000-0005-0000-0000-0000AC030000}"/>
    <cellStyle name="Comma 3 8 3 2 2" xfId="668" xr:uid="{00000000-0005-0000-0000-0000AD030000}"/>
    <cellStyle name="Comma 3 8 3 2 2 2" xfId="916" xr:uid="{00000000-0005-0000-0000-0000AE030000}"/>
    <cellStyle name="Comma 3 8 3 2 2 2 2" xfId="1420" xr:uid="{00000000-0005-0000-0000-0000AF030000}"/>
    <cellStyle name="Comma 3 8 3 2 2 2 2 2" xfId="2422" xr:uid="{00000000-0005-0000-0000-0000B0030000}"/>
    <cellStyle name="Comma 3 8 3 2 2 2 3" xfId="1921" xr:uid="{00000000-0005-0000-0000-0000B1030000}"/>
    <cellStyle name="Comma 3 8 3 2 2 3" xfId="1172" xr:uid="{00000000-0005-0000-0000-0000B2030000}"/>
    <cellStyle name="Comma 3 8 3 2 2 3 2" xfId="2174" xr:uid="{00000000-0005-0000-0000-0000B3030000}"/>
    <cellStyle name="Comma 3 8 3 2 2 4" xfId="1673" xr:uid="{00000000-0005-0000-0000-0000B4030000}"/>
    <cellStyle name="Comma 3 8 3 2 3" xfId="792" xr:uid="{00000000-0005-0000-0000-0000B5030000}"/>
    <cellStyle name="Comma 3 8 3 2 3 2" xfId="1296" xr:uid="{00000000-0005-0000-0000-0000B6030000}"/>
    <cellStyle name="Comma 3 8 3 2 3 2 2" xfId="2298" xr:uid="{00000000-0005-0000-0000-0000B7030000}"/>
    <cellStyle name="Comma 3 8 3 2 3 3" xfId="1797" xr:uid="{00000000-0005-0000-0000-0000B8030000}"/>
    <cellStyle name="Comma 3 8 3 2 4" xfId="1048" xr:uid="{00000000-0005-0000-0000-0000B9030000}"/>
    <cellStyle name="Comma 3 8 3 2 4 2" xfId="2050" xr:uid="{00000000-0005-0000-0000-0000BA030000}"/>
    <cellStyle name="Comma 3 8 3 2 5" xfId="1549" xr:uid="{00000000-0005-0000-0000-0000BB030000}"/>
    <cellStyle name="Comma 3 8 3 3" xfId="638" xr:uid="{00000000-0005-0000-0000-0000BC030000}"/>
    <cellStyle name="Comma 3 8 3 3 2" xfId="886" xr:uid="{00000000-0005-0000-0000-0000BD030000}"/>
    <cellStyle name="Comma 3 8 3 3 2 2" xfId="1390" xr:uid="{00000000-0005-0000-0000-0000BE030000}"/>
    <cellStyle name="Comma 3 8 3 3 2 2 2" xfId="2392" xr:uid="{00000000-0005-0000-0000-0000BF030000}"/>
    <cellStyle name="Comma 3 8 3 3 2 3" xfId="1891" xr:uid="{00000000-0005-0000-0000-0000C0030000}"/>
    <cellStyle name="Comma 3 8 3 3 3" xfId="1142" xr:uid="{00000000-0005-0000-0000-0000C1030000}"/>
    <cellStyle name="Comma 3 8 3 3 3 2" xfId="2144" xr:uid="{00000000-0005-0000-0000-0000C2030000}"/>
    <cellStyle name="Comma 3 8 3 3 4" xfId="1643" xr:uid="{00000000-0005-0000-0000-0000C3030000}"/>
    <cellStyle name="Comma 3 8 3 4" xfId="762" xr:uid="{00000000-0005-0000-0000-0000C4030000}"/>
    <cellStyle name="Comma 3 8 3 4 2" xfId="1266" xr:uid="{00000000-0005-0000-0000-0000C5030000}"/>
    <cellStyle name="Comma 3 8 3 4 2 2" xfId="2268" xr:uid="{00000000-0005-0000-0000-0000C6030000}"/>
    <cellStyle name="Comma 3 8 3 4 3" xfId="1767" xr:uid="{00000000-0005-0000-0000-0000C7030000}"/>
    <cellStyle name="Comma 3 8 3 5" xfId="1018" xr:uid="{00000000-0005-0000-0000-0000C8030000}"/>
    <cellStyle name="Comma 3 8 3 5 2" xfId="2020" xr:uid="{00000000-0005-0000-0000-0000C9030000}"/>
    <cellStyle name="Comma 3 8 3 6" xfId="1519" xr:uid="{00000000-0005-0000-0000-0000CA030000}"/>
    <cellStyle name="Comma 3 8 4" xfId="542" xr:uid="{00000000-0005-0000-0000-0000CB030000}"/>
    <cellStyle name="Comma 3 8 4 2" xfId="666" xr:uid="{00000000-0005-0000-0000-0000CC030000}"/>
    <cellStyle name="Comma 3 8 4 2 2" xfId="914" xr:uid="{00000000-0005-0000-0000-0000CD030000}"/>
    <cellStyle name="Comma 3 8 4 2 2 2" xfId="1418" xr:uid="{00000000-0005-0000-0000-0000CE030000}"/>
    <cellStyle name="Comma 3 8 4 2 2 2 2" xfId="2420" xr:uid="{00000000-0005-0000-0000-0000CF030000}"/>
    <cellStyle name="Comma 3 8 4 2 2 3" xfId="1919" xr:uid="{00000000-0005-0000-0000-0000D0030000}"/>
    <cellStyle name="Comma 3 8 4 2 3" xfId="1170" xr:uid="{00000000-0005-0000-0000-0000D1030000}"/>
    <cellStyle name="Comma 3 8 4 2 3 2" xfId="2172" xr:uid="{00000000-0005-0000-0000-0000D2030000}"/>
    <cellStyle name="Comma 3 8 4 2 4" xfId="1671" xr:uid="{00000000-0005-0000-0000-0000D3030000}"/>
    <cellStyle name="Comma 3 8 4 3" xfId="790" xr:uid="{00000000-0005-0000-0000-0000D4030000}"/>
    <cellStyle name="Comma 3 8 4 3 2" xfId="1294" xr:uid="{00000000-0005-0000-0000-0000D5030000}"/>
    <cellStyle name="Comma 3 8 4 3 2 2" xfId="2296" xr:uid="{00000000-0005-0000-0000-0000D6030000}"/>
    <cellStyle name="Comma 3 8 4 3 3" xfId="1795" xr:uid="{00000000-0005-0000-0000-0000D7030000}"/>
    <cellStyle name="Comma 3 8 4 4" xfId="1046" xr:uid="{00000000-0005-0000-0000-0000D8030000}"/>
    <cellStyle name="Comma 3 8 4 4 2" xfId="2048" xr:uid="{00000000-0005-0000-0000-0000D9030000}"/>
    <cellStyle name="Comma 3 8 4 5" xfId="1547" xr:uid="{00000000-0005-0000-0000-0000DA030000}"/>
    <cellStyle name="Comma 3 8 5" xfId="596" xr:uid="{00000000-0005-0000-0000-0000DB030000}"/>
    <cellStyle name="Comma 3 8 5 2" xfId="844" xr:uid="{00000000-0005-0000-0000-0000DC030000}"/>
    <cellStyle name="Comma 3 8 5 2 2" xfId="1348" xr:uid="{00000000-0005-0000-0000-0000DD030000}"/>
    <cellStyle name="Comma 3 8 5 2 2 2" xfId="2350" xr:uid="{00000000-0005-0000-0000-0000DE030000}"/>
    <cellStyle name="Comma 3 8 5 2 3" xfId="1849" xr:uid="{00000000-0005-0000-0000-0000DF030000}"/>
    <cellStyle name="Comma 3 8 5 3" xfId="1100" xr:uid="{00000000-0005-0000-0000-0000E0030000}"/>
    <cellStyle name="Comma 3 8 5 3 2" xfId="2102" xr:uid="{00000000-0005-0000-0000-0000E1030000}"/>
    <cellStyle name="Comma 3 8 5 4" xfId="1601" xr:uid="{00000000-0005-0000-0000-0000E2030000}"/>
    <cellStyle name="Comma 3 8 6" xfId="720" xr:uid="{00000000-0005-0000-0000-0000E3030000}"/>
    <cellStyle name="Comma 3 8 6 2" xfId="1224" xr:uid="{00000000-0005-0000-0000-0000E4030000}"/>
    <cellStyle name="Comma 3 8 6 2 2" xfId="2226" xr:uid="{00000000-0005-0000-0000-0000E5030000}"/>
    <cellStyle name="Comma 3 8 6 3" xfId="1725" xr:uid="{00000000-0005-0000-0000-0000E6030000}"/>
    <cellStyle name="Comma 3 8 7" xfId="976" xr:uid="{00000000-0005-0000-0000-0000E7030000}"/>
    <cellStyle name="Comma 3 8 7 2" xfId="1978" xr:uid="{00000000-0005-0000-0000-0000E8030000}"/>
    <cellStyle name="Comma 3 8 8" xfId="1477" xr:uid="{00000000-0005-0000-0000-0000E9030000}"/>
    <cellStyle name="Comma 3 9" xfId="466" xr:uid="{00000000-0005-0000-0000-0000EA030000}"/>
    <cellStyle name="Comma 3 9 2" xfId="496" xr:uid="{00000000-0005-0000-0000-0000EB030000}"/>
    <cellStyle name="Comma 3 9 2 2" xfId="546" xr:uid="{00000000-0005-0000-0000-0000EC030000}"/>
    <cellStyle name="Comma 3 9 2 2 2" xfId="670" xr:uid="{00000000-0005-0000-0000-0000ED030000}"/>
    <cellStyle name="Comma 3 9 2 2 2 2" xfId="918" xr:uid="{00000000-0005-0000-0000-0000EE030000}"/>
    <cellStyle name="Comma 3 9 2 2 2 2 2" xfId="1422" xr:uid="{00000000-0005-0000-0000-0000EF030000}"/>
    <cellStyle name="Comma 3 9 2 2 2 2 2 2" xfId="2424" xr:uid="{00000000-0005-0000-0000-0000F0030000}"/>
    <cellStyle name="Comma 3 9 2 2 2 2 3" xfId="1923" xr:uid="{00000000-0005-0000-0000-0000F1030000}"/>
    <cellStyle name="Comma 3 9 2 2 2 3" xfId="1174" xr:uid="{00000000-0005-0000-0000-0000F2030000}"/>
    <cellStyle name="Comma 3 9 2 2 2 3 2" xfId="2176" xr:uid="{00000000-0005-0000-0000-0000F3030000}"/>
    <cellStyle name="Comma 3 9 2 2 2 4" xfId="1675" xr:uid="{00000000-0005-0000-0000-0000F4030000}"/>
    <cellStyle name="Comma 3 9 2 2 3" xfId="794" xr:uid="{00000000-0005-0000-0000-0000F5030000}"/>
    <cellStyle name="Comma 3 9 2 2 3 2" xfId="1298" xr:uid="{00000000-0005-0000-0000-0000F6030000}"/>
    <cellStyle name="Comma 3 9 2 2 3 2 2" xfId="2300" xr:uid="{00000000-0005-0000-0000-0000F7030000}"/>
    <cellStyle name="Comma 3 9 2 2 3 3" xfId="1799" xr:uid="{00000000-0005-0000-0000-0000F8030000}"/>
    <cellStyle name="Comma 3 9 2 2 4" xfId="1050" xr:uid="{00000000-0005-0000-0000-0000F9030000}"/>
    <cellStyle name="Comma 3 9 2 2 4 2" xfId="2052" xr:uid="{00000000-0005-0000-0000-0000FA030000}"/>
    <cellStyle name="Comma 3 9 2 2 5" xfId="1551" xr:uid="{00000000-0005-0000-0000-0000FB030000}"/>
    <cellStyle name="Comma 3 9 2 3" xfId="620" xr:uid="{00000000-0005-0000-0000-0000FC030000}"/>
    <cellStyle name="Comma 3 9 2 3 2" xfId="868" xr:uid="{00000000-0005-0000-0000-0000FD030000}"/>
    <cellStyle name="Comma 3 9 2 3 2 2" xfId="1372" xr:uid="{00000000-0005-0000-0000-0000FE030000}"/>
    <cellStyle name="Comma 3 9 2 3 2 2 2" xfId="2374" xr:uid="{00000000-0005-0000-0000-0000FF030000}"/>
    <cellStyle name="Comma 3 9 2 3 2 3" xfId="1873" xr:uid="{00000000-0005-0000-0000-000000040000}"/>
    <cellStyle name="Comma 3 9 2 3 3" xfId="1124" xr:uid="{00000000-0005-0000-0000-000001040000}"/>
    <cellStyle name="Comma 3 9 2 3 3 2" xfId="2126" xr:uid="{00000000-0005-0000-0000-000002040000}"/>
    <cellStyle name="Comma 3 9 2 3 4" xfId="1625" xr:uid="{00000000-0005-0000-0000-000003040000}"/>
    <cellStyle name="Comma 3 9 2 4" xfId="744" xr:uid="{00000000-0005-0000-0000-000004040000}"/>
    <cellStyle name="Comma 3 9 2 4 2" xfId="1248" xr:uid="{00000000-0005-0000-0000-000005040000}"/>
    <cellStyle name="Comma 3 9 2 4 2 2" xfId="2250" xr:uid="{00000000-0005-0000-0000-000006040000}"/>
    <cellStyle name="Comma 3 9 2 4 3" xfId="1749" xr:uid="{00000000-0005-0000-0000-000007040000}"/>
    <cellStyle name="Comma 3 9 2 5" xfId="1000" xr:uid="{00000000-0005-0000-0000-000008040000}"/>
    <cellStyle name="Comma 3 9 2 5 2" xfId="2002" xr:uid="{00000000-0005-0000-0000-000009040000}"/>
    <cellStyle name="Comma 3 9 2 6" xfId="1501" xr:uid="{00000000-0005-0000-0000-00000A040000}"/>
    <cellStyle name="Comma 3 9 3" xfId="516" xr:uid="{00000000-0005-0000-0000-00000B040000}"/>
    <cellStyle name="Comma 3 9 3 2" xfId="547" xr:uid="{00000000-0005-0000-0000-00000C040000}"/>
    <cellStyle name="Comma 3 9 3 2 2" xfId="671" xr:uid="{00000000-0005-0000-0000-00000D040000}"/>
    <cellStyle name="Comma 3 9 3 2 2 2" xfId="919" xr:uid="{00000000-0005-0000-0000-00000E040000}"/>
    <cellStyle name="Comma 3 9 3 2 2 2 2" xfId="1423" xr:uid="{00000000-0005-0000-0000-00000F040000}"/>
    <cellStyle name="Comma 3 9 3 2 2 2 2 2" xfId="2425" xr:uid="{00000000-0005-0000-0000-000010040000}"/>
    <cellStyle name="Comma 3 9 3 2 2 2 3" xfId="1924" xr:uid="{00000000-0005-0000-0000-000011040000}"/>
    <cellStyle name="Comma 3 9 3 2 2 3" xfId="1175" xr:uid="{00000000-0005-0000-0000-000012040000}"/>
    <cellStyle name="Comma 3 9 3 2 2 3 2" xfId="2177" xr:uid="{00000000-0005-0000-0000-000013040000}"/>
    <cellStyle name="Comma 3 9 3 2 2 4" xfId="1676" xr:uid="{00000000-0005-0000-0000-000014040000}"/>
    <cellStyle name="Comma 3 9 3 2 3" xfId="795" xr:uid="{00000000-0005-0000-0000-000015040000}"/>
    <cellStyle name="Comma 3 9 3 2 3 2" xfId="1299" xr:uid="{00000000-0005-0000-0000-000016040000}"/>
    <cellStyle name="Comma 3 9 3 2 3 2 2" xfId="2301" xr:uid="{00000000-0005-0000-0000-000017040000}"/>
    <cellStyle name="Comma 3 9 3 2 3 3" xfId="1800" xr:uid="{00000000-0005-0000-0000-000018040000}"/>
    <cellStyle name="Comma 3 9 3 2 4" xfId="1051" xr:uid="{00000000-0005-0000-0000-000019040000}"/>
    <cellStyle name="Comma 3 9 3 2 4 2" xfId="2053" xr:uid="{00000000-0005-0000-0000-00001A040000}"/>
    <cellStyle name="Comma 3 9 3 2 5" xfId="1552" xr:uid="{00000000-0005-0000-0000-00001B040000}"/>
    <cellStyle name="Comma 3 9 3 3" xfId="640" xr:uid="{00000000-0005-0000-0000-00001C040000}"/>
    <cellStyle name="Comma 3 9 3 3 2" xfId="888" xr:uid="{00000000-0005-0000-0000-00001D040000}"/>
    <cellStyle name="Comma 3 9 3 3 2 2" xfId="1392" xr:uid="{00000000-0005-0000-0000-00001E040000}"/>
    <cellStyle name="Comma 3 9 3 3 2 2 2" xfId="2394" xr:uid="{00000000-0005-0000-0000-00001F040000}"/>
    <cellStyle name="Comma 3 9 3 3 2 3" xfId="1893" xr:uid="{00000000-0005-0000-0000-000020040000}"/>
    <cellStyle name="Comma 3 9 3 3 3" xfId="1144" xr:uid="{00000000-0005-0000-0000-000021040000}"/>
    <cellStyle name="Comma 3 9 3 3 3 2" xfId="2146" xr:uid="{00000000-0005-0000-0000-000022040000}"/>
    <cellStyle name="Comma 3 9 3 3 4" xfId="1645" xr:uid="{00000000-0005-0000-0000-000023040000}"/>
    <cellStyle name="Comma 3 9 3 4" xfId="764" xr:uid="{00000000-0005-0000-0000-000024040000}"/>
    <cellStyle name="Comma 3 9 3 4 2" xfId="1268" xr:uid="{00000000-0005-0000-0000-000025040000}"/>
    <cellStyle name="Comma 3 9 3 4 2 2" xfId="2270" xr:uid="{00000000-0005-0000-0000-000026040000}"/>
    <cellStyle name="Comma 3 9 3 4 3" xfId="1769" xr:uid="{00000000-0005-0000-0000-000027040000}"/>
    <cellStyle name="Comma 3 9 3 5" xfId="1020" xr:uid="{00000000-0005-0000-0000-000028040000}"/>
    <cellStyle name="Comma 3 9 3 5 2" xfId="2022" xr:uid="{00000000-0005-0000-0000-000029040000}"/>
    <cellStyle name="Comma 3 9 3 6" xfId="1521" xr:uid="{00000000-0005-0000-0000-00002A040000}"/>
    <cellStyle name="Comma 3 9 4" xfId="545" xr:uid="{00000000-0005-0000-0000-00002B040000}"/>
    <cellStyle name="Comma 3 9 4 2" xfId="669" xr:uid="{00000000-0005-0000-0000-00002C040000}"/>
    <cellStyle name="Comma 3 9 4 2 2" xfId="917" xr:uid="{00000000-0005-0000-0000-00002D040000}"/>
    <cellStyle name="Comma 3 9 4 2 2 2" xfId="1421" xr:uid="{00000000-0005-0000-0000-00002E040000}"/>
    <cellStyle name="Comma 3 9 4 2 2 2 2" xfId="2423" xr:uid="{00000000-0005-0000-0000-00002F040000}"/>
    <cellStyle name="Comma 3 9 4 2 2 3" xfId="1922" xr:uid="{00000000-0005-0000-0000-000030040000}"/>
    <cellStyle name="Comma 3 9 4 2 3" xfId="1173" xr:uid="{00000000-0005-0000-0000-000031040000}"/>
    <cellStyle name="Comma 3 9 4 2 3 2" xfId="2175" xr:uid="{00000000-0005-0000-0000-000032040000}"/>
    <cellStyle name="Comma 3 9 4 2 4" xfId="1674" xr:uid="{00000000-0005-0000-0000-000033040000}"/>
    <cellStyle name="Comma 3 9 4 3" xfId="793" xr:uid="{00000000-0005-0000-0000-000034040000}"/>
    <cellStyle name="Comma 3 9 4 3 2" xfId="1297" xr:uid="{00000000-0005-0000-0000-000035040000}"/>
    <cellStyle name="Comma 3 9 4 3 2 2" xfId="2299" xr:uid="{00000000-0005-0000-0000-000036040000}"/>
    <cellStyle name="Comma 3 9 4 3 3" xfId="1798" xr:uid="{00000000-0005-0000-0000-000037040000}"/>
    <cellStyle name="Comma 3 9 4 4" xfId="1049" xr:uid="{00000000-0005-0000-0000-000038040000}"/>
    <cellStyle name="Comma 3 9 4 4 2" xfId="2051" xr:uid="{00000000-0005-0000-0000-000039040000}"/>
    <cellStyle name="Comma 3 9 4 5" xfId="1550" xr:uid="{00000000-0005-0000-0000-00003A040000}"/>
    <cellStyle name="Comma 3 9 5" xfId="598" xr:uid="{00000000-0005-0000-0000-00003B040000}"/>
    <cellStyle name="Comma 3 9 5 2" xfId="846" xr:uid="{00000000-0005-0000-0000-00003C040000}"/>
    <cellStyle name="Comma 3 9 5 2 2" xfId="1350" xr:uid="{00000000-0005-0000-0000-00003D040000}"/>
    <cellStyle name="Comma 3 9 5 2 2 2" xfId="2352" xr:uid="{00000000-0005-0000-0000-00003E040000}"/>
    <cellStyle name="Comma 3 9 5 2 3" xfId="1851" xr:uid="{00000000-0005-0000-0000-00003F040000}"/>
    <cellStyle name="Comma 3 9 5 3" xfId="1102" xr:uid="{00000000-0005-0000-0000-000040040000}"/>
    <cellStyle name="Comma 3 9 5 3 2" xfId="2104" xr:uid="{00000000-0005-0000-0000-000041040000}"/>
    <cellStyle name="Comma 3 9 5 4" xfId="1603" xr:uid="{00000000-0005-0000-0000-000042040000}"/>
    <cellStyle name="Comma 3 9 6" xfId="722" xr:uid="{00000000-0005-0000-0000-000043040000}"/>
    <cellStyle name="Comma 3 9 6 2" xfId="1226" xr:uid="{00000000-0005-0000-0000-000044040000}"/>
    <cellStyle name="Comma 3 9 6 2 2" xfId="2228" xr:uid="{00000000-0005-0000-0000-000045040000}"/>
    <cellStyle name="Comma 3 9 6 3" xfId="1727" xr:uid="{00000000-0005-0000-0000-000046040000}"/>
    <cellStyle name="Comma 3 9 7" xfId="978" xr:uid="{00000000-0005-0000-0000-000047040000}"/>
    <cellStyle name="Comma 3 9 7 2" xfId="1980" xr:uid="{00000000-0005-0000-0000-000048040000}"/>
    <cellStyle name="Comma 3 9 8" xfId="1479" xr:uid="{00000000-0005-0000-0000-000049040000}"/>
    <cellStyle name="Comma 4" xfId="201" xr:uid="{00000000-0005-0000-0000-00004A040000}"/>
    <cellStyle name="Comma 4 2" xfId="6" xr:uid="{00000000-0005-0000-0000-00004B040000}"/>
    <cellStyle name="Comma 4 3" xfId="202" xr:uid="{00000000-0005-0000-0000-00004C040000}"/>
    <cellStyle name="Comma 5" xfId="203" xr:uid="{00000000-0005-0000-0000-00004D040000}"/>
    <cellStyle name="Comma 6" xfId="204" xr:uid="{00000000-0005-0000-0000-00004E040000}"/>
    <cellStyle name="Comma 6 2" xfId="205" xr:uid="{00000000-0005-0000-0000-00004F040000}"/>
    <cellStyle name="Comma 7" xfId="206" xr:uid="{00000000-0005-0000-0000-000050040000}"/>
    <cellStyle name="Comma 7 2" xfId="207" xr:uid="{00000000-0005-0000-0000-000051040000}"/>
    <cellStyle name="Comma 8" xfId="208" xr:uid="{00000000-0005-0000-0000-000052040000}"/>
    <cellStyle name="Comma 8 2" xfId="209" xr:uid="{00000000-0005-0000-0000-000053040000}"/>
    <cellStyle name="Comma 9" xfId="210" xr:uid="{00000000-0005-0000-0000-000054040000}"/>
    <cellStyle name="CommaBlank" xfId="211" xr:uid="{00000000-0005-0000-0000-000055040000}"/>
    <cellStyle name="CommaBlank 2" xfId="212" xr:uid="{00000000-0005-0000-0000-000056040000}"/>
    <cellStyle name="Currency" xfId="457" builtinId="4"/>
    <cellStyle name="Currency 10" xfId="213" xr:uid="{00000000-0005-0000-0000-000058040000}"/>
    <cellStyle name="Currency 10 2" xfId="476" xr:uid="{00000000-0005-0000-0000-000059040000}"/>
    <cellStyle name="Currency 10 2 2" xfId="549" xr:uid="{00000000-0005-0000-0000-00005A040000}"/>
    <cellStyle name="Currency 10 2 2 2" xfId="673" xr:uid="{00000000-0005-0000-0000-00005B040000}"/>
    <cellStyle name="Currency 10 2 2 2 2" xfId="921" xr:uid="{00000000-0005-0000-0000-00005C040000}"/>
    <cellStyle name="Currency 10 2 2 2 2 2" xfId="1425" xr:uid="{00000000-0005-0000-0000-00005D040000}"/>
    <cellStyle name="Currency 10 2 2 2 2 2 2" xfId="2427" xr:uid="{00000000-0005-0000-0000-00005E040000}"/>
    <cellStyle name="Currency 10 2 2 2 2 3" xfId="1926" xr:uid="{00000000-0005-0000-0000-00005F040000}"/>
    <cellStyle name="Currency 10 2 2 2 3" xfId="1177" xr:uid="{00000000-0005-0000-0000-000060040000}"/>
    <cellStyle name="Currency 10 2 2 2 3 2" xfId="2179" xr:uid="{00000000-0005-0000-0000-000061040000}"/>
    <cellStyle name="Currency 10 2 2 2 4" xfId="1678" xr:uid="{00000000-0005-0000-0000-000062040000}"/>
    <cellStyle name="Currency 10 2 2 3" xfId="797" xr:uid="{00000000-0005-0000-0000-000063040000}"/>
    <cellStyle name="Currency 10 2 2 3 2" xfId="1301" xr:uid="{00000000-0005-0000-0000-000064040000}"/>
    <cellStyle name="Currency 10 2 2 3 2 2" xfId="2303" xr:uid="{00000000-0005-0000-0000-000065040000}"/>
    <cellStyle name="Currency 10 2 2 3 3" xfId="1802" xr:uid="{00000000-0005-0000-0000-000066040000}"/>
    <cellStyle name="Currency 10 2 2 4" xfId="1053" xr:uid="{00000000-0005-0000-0000-000067040000}"/>
    <cellStyle name="Currency 10 2 2 4 2" xfId="2055" xr:uid="{00000000-0005-0000-0000-000068040000}"/>
    <cellStyle name="Currency 10 2 2 5" xfId="1554" xr:uid="{00000000-0005-0000-0000-000069040000}"/>
    <cellStyle name="Currency 10 2 3" xfId="606" xr:uid="{00000000-0005-0000-0000-00006A040000}"/>
    <cellStyle name="Currency 10 2 3 2" xfId="854" xr:uid="{00000000-0005-0000-0000-00006B040000}"/>
    <cellStyle name="Currency 10 2 3 2 2" xfId="1358" xr:uid="{00000000-0005-0000-0000-00006C040000}"/>
    <cellStyle name="Currency 10 2 3 2 2 2" xfId="2360" xr:uid="{00000000-0005-0000-0000-00006D040000}"/>
    <cellStyle name="Currency 10 2 3 2 3" xfId="1859" xr:uid="{00000000-0005-0000-0000-00006E040000}"/>
    <cellStyle name="Currency 10 2 3 3" xfId="1110" xr:uid="{00000000-0005-0000-0000-00006F040000}"/>
    <cellStyle name="Currency 10 2 3 3 2" xfId="2112" xr:uid="{00000000-0005-0000-0000-000070040000}"/>
    <cellStyle name="Currency 10 2 3 4" xfId="1611" xr:uid="{00000000-0005-0000-0000-000071040000}"/>
    <cellStyle name="Currency 10 2 4" xfId="730" xr:uid="{00000000-0005-0000-0000-000072040000}"/>
    <cellStyle name="Currency 10 2 4 2" xfId="1234" xr:uid="{00000000-0005-0000-0000-000073040000}"/>
    <cellStyle name="Currency 10 2 4 2 2" xfId="2236" xr:uid="{00000000-0005-0000-0000-000074040000}"/>
    <cellStyle name="Currency 10 2 4 3" xfId="1735" xr:uid="{00000000-0005-0000-0000-000075040000}"/>
    <cellStyle name="Currency 10 2 5" xfId="986" xr:uid="{00000000-0005-0000-0000-000076040000}"/>
    <cellStyle name="Currency 10 2 5 2" xfId="1988" xr:uid="{00000000-0005-0000-0000-000077040000}"/>
    <cellStyle name="Currency 10 2 6" xfId="1487" xr:uid="{00000000-0005-0000-0000-000078040000}"/>
    <cellStyle name="Currency 10 3" xfId="502" xr:uid="{00000000-0005-0000-0000-000079040000}"/>
    <cellStyle name="Currency 10 3 2" xfId="550" xr:uid="{00000000-0005-0000-0000-00007A040000}"/>
    <cellStyle name="Currency 10 3 2 2" xfId="674" xr:uid="{00000000-0005-0000-0000-00007B040000}"/>
    <cellStyle name="Currency 10 3 2 2 2" xfId="922" xr:uid="{00000000-0005-0000-0000-00007C040000}"/>
    <cellStyle name="Currency 10 3 2 2 2 2" xfId="1426" xr:uid="{00000000-0005-0000-0000-00007D040000}"/>
    <cellStyle name="Currency 10 3 2 2 2 2 2" xfId="2428" xr:uid="{00000000-0005-0000-0000-00007E040000}"/>
    <cellStyle name="Currency 10 3 2 2 2 3" xfId="1927" xr:uid="{00000000-0005-0000-0000-00007F040000}"/>
    <cellStyle name="Currency 10 3 2 2 3" xfId="1178" xr:uid="{00000000-0005-0000-0000-000080040000}"/>
    <cellStyle name="Currency 10 3 2 2 3 2" xfId="2180" xr:uid="{00000000-0005-0000-0000-000081040000}"/>
    <cellStyle name="Currency 10 3 2 2 4" xfId="1679" xr:uid="{00000000-0005-0000-0000-000082040000}"/>
    <cellStyle name="Currency 10 3 2 3" xfId="798" xr:uid="{00000000-0005-0000-0000-000083040000}"/>
    <cellStyle name="Currency 10 3 2 3 2" xfId="1302" xr:uid="{00000000-0005-0000-0000-000084040000}"/>
    <cellStyle name="Currency 10 3 2 3 2 2" xfId="2304" xr:uid="{00000000-0005-0000-0000-000085040000}"/>
    <cellStyle name="Currency 10 3 2 3 3" xfId="1803" xr:uid="{00000000-0005-0000-0000-000086040000}"/>
    <cellStyle name="Currency 10 3 2 4" xfId="1054" xr:uid="{00000000-0005-0000-0000-000087040000}"/>
    <cellStyle name="Currency 10 3 2 4 2" xfId="2056" xr:uid="{00000000-0005-0000-0000-000088040000}"/>
    <cellStyle name="Currency 10 3 2 5" xfId="1555" xr:uid="{00000000-0005-0000-0000-000089040000}"/>
    <cellStyle name="Currency 10 3 3" xfId="626" xr:uid="{00000000-0005-0000-0000-00008A040000}"/>
    <cellStyle name="Currency 10 3 3 2" xfId="874" xr:uid="{00000000-0005-0000-0000-00008B040000}"/>
    <cellStyle name="Currency 10 3 3 2 2" xfId="1378" xr:uid="{00000000-0005-0000-0000-00008C040000}"/>
    <cellStyle name="Currency 10 3 3 2 2 2" xfId="2380" xr:uid="{00000000-0005-0000-0000-00008D040000}"/>
    <cellStyle name="Currency 10 3 3 2 3" xfId="1879" xr:uid="{00000000-0005-0000-0000-00008E040000}"/>
    <cellStyle name="Currency 10 3 3 3" xfId="1130" xr:uid="{00000000-0005-0000-0000-00008F040000}"/>
    <cellStyle name="Currency 10 3 3 3 2" xfId="2132" xr:uid="{00000000-0005-0000-0000-000090040000}"/>
    <cellStyle name="Currency 10 3 3 4" xfId="1631" xr:uid="{00000000-0005-0000-0000-000091040000}"/>
    <cellStyle name="Currency 10 3 4" xfId="750" xr:uid="{00000000-0005-0000-0000-000092040000}"/>
    <cellStyle name="Currency 10 3 4 2" xfId="1254" xr:uid="{00000000-0005-0000-0000-000093040000}"/>
    <cellStyle name="Currency 10 3 4 2 2" xfId="2256" xr:uid="{00000000-0005-0000-0000-000094040000}"/>
    <cellStyle name="Currency 10 3 4 3" xfId="1755" xr:uid="{00000000-0005-0000-0000-000095040000}"/>
    <cellStyle name="Currency 10 3 5" xfId="1006" xr:uid="{00000000-0005-0000-0000-000096040000}"/>
    <cellStyle name="Currency 10 3 5 2" xfId="2008" xr:uid="{00000000-0005-0000-0000-000097040000}"/>
    <cellStyle name="Currency 10 3 6" xfId="1507" xr:uid="{00000000-0005-0000-0000-000098040000}"/>
    <cellStyle name="Currency 10 4" xfId="548" xr:uid="{00000000-0005-0000-0000-000099040000}"/>
    <cellStyle name="Currency 10 4 2" xfId="672" xr:uid="{00000000-0005-0000-0000-00009A040000}"/>
    <cellStyle name="Currency 10 4 2 2" xfId="920" xr:uid="{00000000-0005-0000-0000-00009B040000}"/>
    <cellStyle name="Currency 10 4 2 2 2" xfId="1424" xr:uid="{00000000-0005-0000-0000-00009C040000}"/>
    <cellStyle name="Currency 10 4 2 2 2 2" xfId="2426" xr:uid="{00000000-0005-0000-0000-00009D040000}"/>
    <cellStyle name="Currency 10 4 2 2 3" xfId="1925" xr:uid="{00000000-0005-0000-0000-00009E040000}"/>
    <cellStyle name="Currency 10 4 2 3" xfId="1176" xr:uid="{00000000-0005-0000-0000-00009F040000}"/>
    <cellStyle name="Currency 10 4 2 3 2" xfId="2178" xr:uid="{00000000-0005-0000-0000-0000A0040000}"/>
    <cellStyle name="Currency 10 4 2 4" xfId="1677" xr:uid="{00000000-0005-0000-0000-0000A1040000}"/>
    <cellStyle name="Currency 10 4 3" xfId="796" xr:uid="{00000000-0005-0000-0000-0000A2040000}"/>
    <cellStyle name="Currency 10 4 3 2" xfId="1300" xr:uid="{00000000-0005-0000-0000-0000A3040000}"/>
    <cellStyle name="Currency 10 4 3 2 2" xfId="2302" xr:uid="{00000000-0005-0000-0000-0000A4040000}"/>
    <cellStyle name="Currency 10 4 3 3" xfId="1801" xr:uid="{00000000-0005-0000-0000-0000A5040000}"/>
    <cellStyle name="Currency 10 4 4" xfId="1052" xr:uid="{00000000-0005-0000-0000-0000A6040000}"/>
    <cellStyle name="Currency 10 4 4 2" xfId="2054" xr:uid="{00000000-0005-0000-0000-0000A7040000}"/>
    <cellStyle name="Currency 10 4 5" xfId="1553" xr:uid="{00000000-0005-0000-0000-0000A8040000}"/>
    <cellStyle name="Currency 10 5" xfId="584" xr:uid="{00000000-0005-0000-0000-0000A9040000}"/>
    <cellStyle name="Currency 10 5 2" xfId="832" xr:uid="{00000000-0005-0000-0000-0000AA040000}"/>
    <cellStyle name="Currency 10 5 2 2" xfId="1336" xr:uid="{00000000-0005-0000-0000-0000AB040000}"/>
    <cellStyle name="Currency 10 5 2 2 2" xfId="2338" xr:uid="{00000000-0005-0000-0000-0000AC040000}"/>
    <cellStyle name="Currency 10 5 2 3" xfId="1837" xr:uid="{00000000-0005-0000-0000-0000AD040000}"/>
    <cellStyle name="Currency 10 5 3" xfId="1088" xr:uid="{00000000-0005-0000-0000-0000AE040000}"/>
    <cellStyle name="Currency 10 5 3 2" xfId="2090" xr:uid="{00000000-0005-0000-0000-0000AF040000}"/>
    <cellStyle name="Currency 10 5 4" xfId="1589" xr:uid="{00000000-0005-0000-0000-0000B0040000}"/>
    <cellStyle name="Currency 10 6" xfId="708" xr:uid="{00000000-0005-0000-0000-0000B1040000}"/>
    <cellStyle name="Currency 10 6 2" xfId="1212" xr:uid="{00000000-0005-0000-0000-0000B2040000}"/>
    <cellStyle name="Currency 10 6 2 2" xfId="2214" xr:uid="{00000000-0005-0000-0000-0000B3040000}"/>
    <cellStyle name="Currency 10 6 3" xfId="1713" xr:uid="{00000000-0005-0000-0000-0000B4040000}"/>
    <cellStyle name="Currency 10 7" xfId="964" xr:uid="{00000000-0005-0000-0000-0000B5040000}"/>
    <cellStyle name="Currency 10 7 2" xfId="1966" xr:uid="{00000000-0005-0000-0000-0000B6040000}"/>
    <cellStyle name="Currency 10 8" xfId="1465" xr:uid="{00000000-0005-0000-0000-0000B7040000}"/>
    <cellStyle name="Currency 2" xfId="214" xr:uid="{00000000-0005-0000-0000-0000B8040000}"/>
    <cellStyle name="Currency 2 2" xfId="215" xr:uid="{00000000-0005-0000-0000-0000B9040000}"/>
    <cellStyle name="Currency 2 3" xfId="450" xr:uid="{00000000-0005-0000-0000-0000BA040000}"/>
    <cellStyle name="Currency 3" xfId="216" xr:uid="{00000000-0005-0000-0000-0000BB040000}"/>
    <cellStyle name="Currency 3 2" xfId="217" xr:uid="{00000000-0005-0000-0000-0000BC040000}"/>
    <cellStyle name="Currency 3 3" xfId="218" xr:uid="{00000000-0005-0000-0000-0000BD040000}"/>
    <cellStyle name="Currency 3 4" xfId="219" xr:uid="{00000000-0005-0000-0000-0000BE040000}"/>
    <cellStyle name="Currency 3 5" xfId="477" xr:uid="{00000000-0005-0000-0000-0000BF040000}"/>
    <cellStyle name="Currency 36" xfId="2468" xr:uid="{7A34CFA8-952C-4228-BA95-08612DF959FB}"/>
    <cellStyle name="Currency 4" xfId="220" xr:uid="{00000000-0005-0000-0000-0000C0040000}"/>
    <cellStyle name="Currency 4 2" xfId="221" xr:uid="{00000000-0005-0000-0000-0000C1040000}"/>
    <cellStyle name="Currency 4 3" xfId="222" xr:uid="{00000000-0005-0000-0000-0000C2040000}"/>
    <cellStyle name="Currency 4 4" xfId="223" xr:uid="{00000000-0005-0000-0000-0000C3040000}"/>
    <cellStyle name="Currency 5" xfId="224" xr:uid="{00000000-0005-0000-0000-0000C4040000}"/>
    <cellStyle name="Currency 6" xfId="225" xr:uid="{00000000-0005-0000-0000-0000C5040000}"/>
    <cellStyle name="Currency 7" xfId="226" xr:uid="{00000000-0005-0000-0000-0000C6040000}"/>
    <cellStyle name="Currency 8" xfId="227" xr:uid="{00000000-0005-0000-0000-0000C7040000}"/>
    <cellStyle name="Currency 9" xfId="228" xr:uid="{00000000-0005-0000-0000-0000C8040000}"/>
    <cellStyle name="Explanatory Text 2" xfId="229" xr:uid="{00000000-0005-0000-0000-0000C9040000}"/>
    <cellStyle name="Explanatory Text 3" xfId="230" xr:uid="{00000000-0005-0000-0000-0000CA040000}"/>
    <cellStyle name="Explanatory Text 4" xfId="231" xr:uid="{00000000-0005-0000-0000-0000CB040000}"/>
    <cellStyle name="Explanatory Text 5" xfId="232" xr:uid="{00000000-0005-0000-0000-0000CC040000}"/>
    <cellStyle name="Explanatory Text 6" xfId="233" xr:uid="{00000000-0005-0000-0000-0000CD040000}"/>
    <cellStyle name="Good 2" xfId="234" xr:uid="{00000000-0005-0000-0000-0000CE040000}"/>
    <cellStyle name="Good 3" xfId="235" xr:uid="{00000000-0005-0000-0000-0000CF040000}"/>
    <cellStyle name="Good 4" xfId="236" xr:uid="{00000000-0005-0000-0000-0000D0040000}"/>
    <cellStyle name="Good 5" xfId="237" xr:uid="{00000000-0005-0000-0000-0000D1040000}"/>
    <cellStyle name="Good 6" xfId="238" xr:uid="{00000000-0005-0000-0000-0000D2040000}"/>
    <cellStyle name="Heading 1 2" xfId="239" xr:uid="{00000000-0005-0000-0000-0000D3040000}"/>
    <cellStyle name="Heading 1 3" xfId="240" xr:uid="{00000000-0005-0000-0000-0000D4040000}"/>
    <cellStyle name="Heading 1 4" xfId="241" xr:uid="{00000000-0005-0000-0000-0000D5040000}"/>
    <cellStyle name="Heading 1 5" xfId="242" xr:uid="{00000000-0005-0000-0000-0000D6040000}"/>
    <cellStyle name="Heading 1 6" xfId="243" xr:uid="{00000000-0005-0000-0000-0000D7040000}"/>
    <cellStyle name="Heading 1 7" xfId="244" xr:uid="{00000000-0005-0000-0000-0000D8040000}"/>
    <cellStyle name="Heading 1 8" xfId="245" xr:uid="{00000000-0005-0000-0000-0000D9040000}"/>
    <cellStyle name="Heading 2 2" xfId="246" xr:uid="{00000000-0005-0000-0000-0000DA040000}"/>
    <cellStyle name="Heading 2 3" xfId="247" xr:uid="{00000000-0005-0000-0000-0000DB040000}"/>
    <cellStyle name="Heading 2 4" xfId="248" xr:uid="{00000000-0005-0000-0000-0000DC040000}"/>
    <cellStyle name="Heading 2 5" xfId="249" xr:uid="{00000000-0005-0000-0000-0000DD040000}"/>
    <cellStyle name="Heading 2 6" xfId="250" xr:uid="{00000000-0005-0000-0000-0000DE040000}"/>
    <cellStyle name="Heading 2 7" xfId="251" xr:uid="{00000000-0005-0000-0000-0000DF040000}"/>
    <cellStyle name="Heading 2 8" xfId="252" xr:uid="{00000000-0005-0000-0000-0000E0040000}"/>
    <cellStyle name="Heading 3 2" xfId="253" xr:uid="{00000000-0005-0000-0000-0000E1040000}"/>
    <cellStyle name="Heading 3 3" xfId="254" xr:uid="{00000000-0005-0000-0000-0000E2040000}"/>
    <cellStyle name="Heading 3 4" xfId="255" xr:uid="{00000000-0005-0000-0000-0000E3040000}"/>
    <cellStyle name="Heading 3 5" xfId="256" xr:uid="{00000000-0005-0000-0000-0000E4040000}"/>
    <cellStyle name="Heading 3 6" xfId="257" xr:uid="{00000000-0005-0000-0000-0000E5040000}"/>
    <cellStyle name="Heading 3 7" xfId="258" xr:uid="{00000000-0005-0000-0000-0000E6040000}"/>
    <cellStyle name="Heading 3 8" xfId="259" xr:uid="{00000000-0005-0000-0000-0000E7040000}"/>
    <cellStyle name="Heading 4 2" xfId="260" xr:uid="{00000000-0005-0000-0000-0000E8040000}"/>
    <cellStyle name="Heading 4 3" xfId="261" xr:uid="{00000000-0005-0000-0000-0000E9040000}"/>
    <cellStyle name="Heading 4 4" xfId="262" xr:uid="{00000000-0005-0000-0000-0000EA040000}"/>
    <cellStyle name="Heading 4 5" xfId="263" xr:uid="{00000000-0005-0000-0000-0000EB040000}"/>
    <cellStyle name="Heading 4 6" xfId="264" xr:uid="{00000000-0005-0000-0000-0000EC040000}"/>
    <cellStyle name="Heading 4 7" xfId="265" xr:uid="{00000000-0005-0000-0000-0000ED040000}"/>
    <cellStyle name="Heading 4 8" xfId="266" xr:uid="{00000000-0005-0000-0000-0000EE040000}"/>
    <cellStyle name="Input 2" xfId="267" xr:uid="{00000000-0005-0000-0000-0000EF040000}"/>
    <cellStyle name="Input 3" xfId="268" xr:uid="{00000000-0005-0000-0000-0000F0040000}"/>
    <cellStyle name="Input 4" xfId="269" xr:uid="{00000000-0005-0000-0000-0000F1040000}"/>
    <cellStyle name="Input 5" xfId="270" xr:uid="{00000000-0005-0000-0000-0000F2040000}"/>
    <cellStyle name="Input 6" xfId="271" xr:uid="{00000000-0005-0000-0000-0000F3040000}"/>
    <cellStyle name="kirkdollars" xfId="272" xr:uid="{00000000-0005-0000-0000-0000F4040000}"/>
    <cellStyle name="Lines" xfId="959" xr:uid="{00000000-0005-0000-0000-0000F5040000}"/>
    <cellStyle name="Linked Cell 2" xfId="273" xr:uid="{00000000-0005-0000-0000-0000F6040000}"/>
    <cellStyle name="Linked Cell 3" xfId="274" xr:uid="{00000000-0005-0000-0000-0000F7040000}"/>
    <cellStyle name="Linked Cell 4" xfId="275" xr:uid="{00000000-0005-0000-0000-0000F8040000}"/>
    <cellStyle name="Linked Cell 5" xfId="276" xr:uid="{00000000-0005-0000-0000-0000F9040000}"/>
    <cellStyle name="Linked Cell 6" xfId="277" xr:uid="{00000000-0005-0000-0000-0000FA040000}"/>
    <cellStyle name="Neutral 2" xfId="278" xr:uid="{00000000-0005-0000-0000-0000FB040000}"/>
    <cellStyle name="Neutral 3" xfId="279" xr:uid="{00000000-0005-0000-0000-0000FC040000}"/>
    <cellStyle name="Neutral 4" xfId="280" xr:uid="{00000000-0005-0000-0000-0000FD040000}"/>
    <cellStyle name="Neutral 5" xfId="281" xr:uid="{00000000-0005-0000-0000-0000FE040000}"/>
    <cellStyle name="Neutral 6" xfId="282" xr:uid="{00000000-0005-0000-0000-0000FF040000}"/>
    <cellStyle name="Normal" xfId="0" builtinId="0"/>
    <cellStyle name="Normal 10" xfId="283" xr:uid="{00000000-0005-0000-0000-000001050000}"/>
    <cellStyle name="Normal 102" xfId="2465" xr:uid="{00000000-0005-0000-0000-000002050000}"/>
    <cellStyle name="Normal 11" xfId="284" xr:uid="{00000000-0005-0000-0000-000003050000}"/>
    <cellStyle name="Normal 12" xfId="285" xr:uid="{00000000-0005-0000-0000-000004050000}"/>
    <cellStyle name="Normal 129" xfId="2466" xr:uid="{BF459568-3398-4F59-B917-0EFCA32B5525}"/>
    <cellStyle name="Normal 13" xfId="286" xr:uid="{00000000-0005-0000-0000-000005050000}"/>
    <cellStyle name="Normal 132" xfId="961" xr:uid="{00000000-0005-0000-0000-000006050000}"/>
    <cellStyle name="Normal 14" xfId="287" xr:uid="{00000000-0005-0000-0000-000007050000}"/>
    <cellStyle name="Normal 15" xfId="288" xr:uid="{00000000-0005-0000-0000-000008050000}"/>
    <cellStyle name="Normal 15 2" xfId="478" xr:uid="{00000000-0005-0000-0000-000009050000}"/>
    <cellStyle name="Normal 15 2 2" xfId="552" xr:uid="{00000000-0005-0000-0000-00000A050000}"/>
    <cellStyle name="Normal 15 2 2 2" xfId="676" xr:uid="{00000000-0005-0000-0000-00000B050000}"/>
    <cellStyle name="Normal 15 2 2 2 2" xfId="924" xr:uid="{00000000-0005-0000-0000-00000C050000}"/>
    <cellStyle name="Normal 15 2 2 2 2 2" xfId="1428" xr:uid="{00000000-0005-0000-0000-00000D050000}"/>
    <cellStyle name="Normal 15 2 2 2 2 2 2" xfId="2430" xr:uid="{00000000-0005-0000-0000-00000E050000}"/>
    <cellStyle name="Normal 15 2 2 2 2 3" xfId="1929" xr:uid="{00000000-0005-0000-0000-00000F050000}"/>
    <cellStyle name="Normal 15 2 2 2 3" xfId="1180" xr:uid="{00000000-0005-0000-0000-000010050000}"/>
    <cellStyle name="Normal 15 2 2 2 3 2" xfId="2182" xr:uid="{00000000-0005-0000-0000-000011050000}"/>
    <cellStyle name="Normal 15 2 2 2 4" xfId="1681" xr:uid="{00000000-0005-0000-0000-000012050000}"/>
    <cellStyle name="Normal 15 2 2 3" xfId="800" xr:uid="{00000000-0005-0000-0000-000013050000}"/>
    <cellStyle name="Normal 15 2 2 3 2" xfId="1304" xr:uid="{00000000-0005-0000-0000-000014050000}"/>
    <cellStyle name="Normal 15 2 2 3 2 2" xfId="2306" xr:uid="{00000000-0005-0000-0000-000015050000}"/>
    <cellStyle name="Normal 15 2 2 3 3" xfId="1805" xr:uid="{00000000-0005-0000-0000-000016050000}"/>
    <cellStyle name="Normal 15 2 2 4" xfId="1056" xr:uid="{00000000-0005-0000-0000-000017050000}"/>
    <cellStyle name="Normal 15 2 2 4 2" xfId="2058" xr:uid="{00000000-0005-0000-0000-000018050000}"/>
    <cellStyle name="Normal 15 2 2 5" xfId="1557" xr:uid="{00000000-0005-0000-0000-000019050000}"/>
    <cellStyle name="Normal 15 2 3" xfId="607" xr:uid="{00000000-0005-0000-0000-00001A050000}"/>
    <cellStyle name="Normal 15 2 3 2" xfId="855" xr:uid="{00000000-0005-0000-0000-00001B050000}"/>
    <cellStyle name="Normal 15 2 3 2 2" xfId="1359" xr:uid="{00000000-0005-0000-0000-00001C050000}"/>
    <cellStyle name="Normal 15 2 3 2 2 2" xfId="2361" xr:uid="{00000000-0005-0000-0000-00001D050000}"/>
    <cellStyle name="Normal 15 2 3 2 3" xfId="1860" xr:uid="{00000000-0005-0000-0000-00001E050000}"/>
    <cellStyle name="Normal 15 2 3 3" xfId="1111" xr:uid="{00000000-0005-0000-0000-00001F050000}"/>
    <cellStyle name="Normal 15 2 3 3 2" xfId="2113" xr:uid="{00000000-0005-0000-0000-000020050000}"/>
    <cellStyle name="Normal 15 2 3 4" xfId="1612" xr:uid="{00000000-0005-0000-0000-000021050000}"/>
    <cellStyle name="Normal 15 2 4" xfId="731" xr:uid="{00000000-0005-0000-0000-000022050000}"/>
    <cellStyle name="Normal 15 2 4 2" xfId="1235" xr:uid="{00000000-0005-0000-0000-000023050000}"/>
    <cellStyle name="Normal 15 2 4 2 2" xfId="2237" xr:uid="{00000000-0005-0000-0000-000024050000}"/>
    <cellStyle name="Normal 15 2 4 3" xfId="1736" xr:uid="{00000000-0005-0000-0000-000025050000}"/>
    <cellStyle name="Normal 15 2 5" xfId="987" xr:uid="{00000000-0005-0000-0000-000026050000}"/>
    <cellStyle name="Normal 15 2 5 2" xfId="1989" xr:uid="{00000000-0005-0000-0000-000027050000}"/>
    <cellStyle name="Normal 15 2 6" xfId="1488" xr:uid="{00000000-0005-0000-0000-000028050000}"/>
    <cellStyle name="Normal 15 3" xfId="503" xr:uid="{00000000-0005-0000-0000-000029050000}"/>
    <cellStyle name="Normal 15 3 2" xfId="553" xr:uid="{00000000-0005-0000-0000-00002A050000}"/>
    <cellStyle name="Normal 15 3 2 2" xfId="677" xr:uid="{00000000-0005-0000-0000-00002B050000}"/>
    <cellStyle name="Normal 15 3 2 2 2" xfId="925" xr:uid="{00000000-0005-0000-0000-00002C050000}"/>
    <cellStyle name="Normal 15 3 2 2 2 2" xfId="1429" xr:uid="{00000000-0005-0000-0000-00002D050000}"/>
    <cellStyle name="Normal 15 3 2 2 2 2 2" xfId="2431" xr:uid="{00000000-0005-0000-0000-00002E050000}"/>
    <cellStyle name="Normal 15 3 2 2 2 3" xfId="1930" xr:uid="{00000000-0005-0000-0000-00002F050000}"/>
    <cellStyle name="Normal 15 3 2 2 3" xfId="1181" xr:uid="{00000000-0005-0000-0000-000030050000}"/>
    <cellStyle name="Normal 15 3 2 2 3 2" xfId="2183" xr:uid="{00000000-0005-0000-0000-000031050000}"/>
    <cellStyle name="Normal 15 3 2 2 4" xfId="1682" xr:uid="{00000000-0005-0000-0000-000032050000}"/>
    <cellStyle name="Normal 15 3 2 3" xfId="801" xr:uid="{00000000-0005-0000-0000-000033050000}"/>
    <cellStyle name="Normal 15 3 2 3 2" xfId="1305" xr:uid="{00000000-0005-0000-0000-000034050000}"/>
    <cellStyle name="Normal 15 3 2 3 2 2" xfId="2307" xr:uid="{00000000-0005-0000-0000-000035050000}"/>
    <cellStyle name="Normal 15 3 2 3 3" xfId="1806" xr:uid="{00000000-0005-0000-0000-000036050000}"/>
    <cellStyle name="Normal 15 3 2 4" xfId="1057" xr:uid="{00000000-0005-0000-0000-000037050000}"/>
    <cellStyle name="Normal 15 3 2 4 2" xfId="2059" xr:uid="{00000000-0005-0000-0000-000038050000}"/>
    <cellStyle name="Normal 15 3 2 5" xfId="1558" xr:uid="{00000000-0005-0000-0000-000039050000}"/>
    <cellStyle name="Normal 15 3 3" xfId="627" xr:uid="{00000000-0005-0000-0000-00003A050000}"/>
    <cellStyle name="Normal 15 3 3 2" xfId="875" xr:uid="{00000000-0005-0000-0000-00003B050000}"/>
    <cellStyle name="Normal 15 3 3 2 2" xfId="1379" xr:uid="{00000000-0005-0000-0000-00003C050000}"/>
    <cellStyle name="Normal 15 3 3 2 2 2" xfId="2381" xr:uid="{00000000-0005-0000-0000-00003D050000}"/>
    <cellStyle name="Normal 15 3 3 2 3" xfId="1880" xr:uid="{00000000-0005-0000-0000-00003E050000}"/>
    <cellStyle name="Normal 15 3 3 3" xfId="1131" xr:uid="{00000000-0005-0000-0000-00003F050000}"/>
    <cellStyle name="Normal 15 3 3 3 2" xfId="2133" xr:uid="{00000000-0005-0000-0000-000040050000}"/>
    <cellStyle name="Normal 15 3 3 4" xfId="1632" xr:uid="{00000000-0005-0000-0000-000041050000}"/>
    <cellStyle name="Normal 15 3 4" xfId="751" xr:uid="{00000000-0005-0000-0000-000042050000}"/>
    <cellStyle name="Normal 15 3 4 2" xfId="1255" xr:uid="{00000000-0005-0000-0000-000043050000}"/>
    <cellStyle name="Normal 15 3 4 2 2" xfId="2257" xr:uid="{00000000-0005-0000-0000-000044050000}"/>
    <cellStyle name="Normal 15 3 4 3" xfId="1756" xr:uid="{00000000-0005-0000-0000-000045050000}"/>
    <cellStyle name="Normal 15 3 5" xfId="1007" xr:uid="{00000000-0005-0000-0000-000046050000}"/>
    <cellStyle name="Normal 15 3 5 2" xfId="2009" xr:uid="{00000000-0005-0000-0000-000047050000}"/>
    <cellStyle name="Normal 15 3 6" xfId="1508" xr:uid="{00000000-0005-0000-0000-000048050000}"/>
    <cellStyle name="Normal 15 4" xfId="551" xr:uid="{00000000-0005-0000-0000-000049050000}"/>
    <cellStyle name="Normal 15 4 2" xfId="675" xr:uid="{00000000-0005-0000-0000-00004A050000}"/>
    <cellStyle name="Normal 15 4 2 2" xfId="923" xr:uid="{00000000-0005-0000-0000-00004B050000}"/>
    <cellStyle name="Normal 15 4 2 2 2" xfId="1427" xr:uid="{00000000-0005-0000-0000-00004C050000}"/>
    <cellStyle name="Normal 15 4 2 2 2 2" xfId="2429" xr:uid="{00000000-0005-0000-0000-00004D050000}"/>
    <cellStyle name="Normal 15 4 2 2 3" xfId="1928" xr:uid="{00000000-0005-0000-0000-00004E050000}"/>
    <cellStyle name="Normal 15 4 2 3" xfId="1179" xr:uid="{00000000-0005-0000-0000-00004F050000}"/>
    <cellStyle name="Normal 15 4 2 3 2" xfId="2181" xr:uid="{00000000-0005-0000-0000-000050050000}"/>
    <cellStyle name="Normal 15 4 2 4" xfId="1680" xr:uid="{00000000-0005-0000-0000-000051050000}"/>
    <cellStyle name="Normal 15 4 3" xfId="799" xr:uid="{00000000-0005-0000-0000-000052050000}"/>
    <cellStyle name="Normal 15 4 3 2" xfId="1303" xr:uid="{00000000-0005-0000-0000-000053050000}"/>
    <cellStyle name="Normal 15 4 3 2 2" xfId="2305" xr:uid="{00000000-0005-0000-0000-000054050000}"/>
    <cellStyle name="Normal 15 4 3 3" xfId="1804" xr:uid="{00000000-0005-0000-0000-000055050000}"/>
    <cellStyle name="Normal 15 4 4" xfId="1055" xr:uid="{00000000-0005-0000-0000-000056050000}"/>
    <cellStyle name="Normal 15 4 4 2" xfId="2057" xr:uid="{00000000-0005-0000-0000-000057050000}"/>
    <cellStyle name="Normal 15 4 5" xfId="1556" xr:uid="{00000000-0005-0000-0000-000058050000}"/>
    <cellStyle name="Normal 15 5" xfId="585" xr:uid="{00000000-0005-0000-0000-000059050000}"/>
    <cellStyle name="Normal 15 5 2" xfId="833" xr:uid="{00000000-0005-0000-0000-00005A050000}"/>
    <cellStyle name="Normal 15 5 2 2" xfId="1337" xr:uid="{00000000-0005-0000-0000-00005B050000}"/>
    <cellStyle name="Normal 15 5 2 2 2" xfId="2339" xr:uid="{00000000-0005-0000-0000-00005C050000}"/>
    <cellStyle name="Normal 15 5 2 3" xfId="1838" xr:uid="{00000000-0005-0000-0000-00005D050000}"/>
    <cellStyle name="Normal 15 5 3" xfId="1089" xr:uid="{00000000-0005-0000-0000-00005E050000}"/>
    <cellStyle name="Normal 15 5 3 2" xfId="2091" xr:uid="{00000000-0005-0000-0000-00005F050000}"/>
    <cellStyle name="Normal 15 5 4" xfId="1590" xr:uid="{00000000-0005-0000-0000-000060050000}"/>
    <cellStyle name="Normal 15 6" xfId="709" xr:uid="{00000000-0005-0000-0000-000061050000}"/>
    <cellStyle name="Normal 15 6 2" xfId="1213" xr:uid="{00000000-0005-0000-0000-000062050000}"/>
    <cellStyle name="Normal 15 6 2 2" xfId="2215" xr:uid="{00000000-0005-0000-0000-000063050000}"/>
    <cellStyle name="Normal 15 6 3" xfId="1714" xr:uid="{00000000-0005-0000-0000-000064050000}"/>
    <cellStyle name="Normal 15 7" xfId="965" xr:uid="{00000000-0005-0000-0000-000065050000}"/>
    <cellStyle name="Normal 15 7 2" xfId="1967" xr:uid="{00000000-0005-0000-0000-000066050000}"/>
    <cellStyle name="Normal 15 8" xfId="1466" xr:uid="{00000000-0005-0000-0000-000067050000}"/>
    <cellStyle name="Normal 16" xfId="289" xr:uid="{00000000-0005-0000-0000-000068050000}"/>
    <cellStyle name="Normal 17" xfId="290" xr:uid="{00000000-0005-0000-0000-000069050000}"/>
    <cellStyle name="Normal 18" xfId="291" xr:uid="{00000000-0005-0000-0000-00006A050000}"/>
    <cellStyle name="Normal 19" xfId="292" xr:uid="{00000000-0005-0000-0000-00006B050000}"/>
    <cellStyle name="Normal 2" xfId="293" xr:uid="{00000000-0005-0000-0000-00006C050000}"/>
    <cellStyle name="Normal 2 2" xfId="294" xr:uid="{00000000-0005-0000-0000-00006D050000}"/>
    <cellStyle name="Normal 2 3" xfId="3" xr:uid="{00000000-0005-0000-0000-00006E050000}"/>
    <cellStyle name="Normal 2 3 2" xfId="956" xr:uid="{00000000-0005-0000-0000-00006F050000}"/>
    <cellStyle name="Normal 2 3 2 2" xfId="1460" xr:uid="{00000000-0005-0000-0000-000070050000}"/>
    <cellStyle name="Normal 2 3 2 2 2" xfId="2462" xr:uid="{00000000-0005-0000-0000-000071050000}"/>
    <cellStyle name="Normal 2 3 2 3" xfId="1961" xr:uid="{00000000-0005-0000-0000-000072050000}"/>
    <cellStyle name="Normal 2 4" xfId="295" xr:uid="{00000000-0005-0000-0000-000073050000}"/>
    <cellStyle name="Normal 2_Adjustment WP" xfId="296" xr:uid="{00000000-0005-0000-0000-000074050000}"/>
    <cellStyle name="Normal 20" xfId="297" xr:uid="{00000000-0005-0000-0000-000075050000}"/>
    <cellStyle name="Normal 21" xfId="298" xr:uid="{00000000-0005-0000-0000-000076050000}"/>
    <cellStyle name="Normal 22" xfId="299" xr:uid="{00000000-0005-0000-0000-000077050000}"/>
    <cellStyle name="Normal 23" xfId="300" xr:uid="{00000000-0005-0000-0000-000078050000}"/>
    <cellStyle name="Normal 24" xfId="301" xr:uid="{00000000-0005-0000-0000-000079050000}"/>
    <cellStyle name="Normal 25" xfId="302" xr:uid="{00000000-0005-0000-0000-00007A050000}"/>
    <cellStyle name="Normal 26" xfId="303" xr:uid="{00000000-0005-0000-0000-00007B050000}"/>
    <cellStyle name="Normal 27" xfId="304" xr:uid="{00000000-0005-0000-0000-00007C050000}"/>
    <cellStyle name="Normal 28" xfId="305" xr:uid="{00000000-0005-0000-0000-00007D050000}"/>
    <cellStyle name="Normal 29" xfId="306" xr:uid="{00000000-0005-0000-0000-00007E050000}"/>
    <cellStyle name="Normal 3" xfId="307" xr:uid="{00000000-0005-0000-0000-00007F050000}"/>
    <cellStyle name="Normal 3 2" xfId="308" xr:uid="{00000000-0005-0000-0000-000080050000}"/>
    <cellStyle name="Normal 3 2 2" xfId="957" xr:uid="{00000000-0005-0000-0000-000081050000}"/>
    <cellStyle name="Normal 3 2 2 2" xfId="1461" xr:uid="{00000000-0005-0000-0000-000082050000}"/>
    <cellStyle name="Normal 3 2 2 2 2" xfId="2463" xr:uid="{00000000-0005-0000-0000-000083050000}"/>
    <cellStyle name="Normal 3 2 2 3" xfId="1962" xr:uid="{00000000-0005-0000-0000-000084050000}"/>
    <cellStyle name="Normal 3 3" xfId="309" xr:uid="{00000000-0005-0000-0000-000085050000}"/>
    <cellStyle name="Normal 3 4" xfId="310" xr:uid="{00000000-0005-0000-0000-000086050000}"/>
    <cellStyle name="Normal 3 5" xfId="449" xr:uid="{00000000-0005-0000-0000-000087050000}"/>
    <cellStyle name="Normal 3 6" xfId="479" xr:uid="{00000000-0005-0000-0000-000088050000}"/>
    <cellStyle name="Normal 3 7" xfId="958" xr:uid="{00000000-0005-0000-0000-000089050000}"/>
    <cellStyle name="Normal 3 7 2" xfId="1462" xr:uid="{00000000-0005-0000-0000-00008A050000}"/>
    <cellStyle name="Normal 3 7 2 2" xfId="2464" xr:uid="{00000000-0005-0000-0000-00008B050000}"/>
    <cellStyle name="Normal 3 7 3" xfId="1963" xr:uid="{00000000-0005-0000-0000-00008C050000}"/>
    <cellStyle name="Normal 3_108 Summary" xfId="311" xr:uid="{00000000-0005-0000-0000-00008D050000}"/>
    <cellStyle name="Normal 30" xfId="312" xr:uid="{00000000-0005-0000-0000-00008E050000}"/>
    <cellStyle name="Normal 31" xfId="313" xr:uid="{00000000-0005-0000-0000-00008F050000}"/>
    <cellStyle name="Normal 32" xfId="314" xr:uid="{00000000-0005-0000-0000-000090050000}"/>
    <cellStyle name="Normal 33" xfId="315" xr:uid="{00000000-0005-0000-0000-000091050000}"/>
    <cellStyle name="Normal 34" xfId="316" xr:uid="{00000000-0005-0000-0000-000092050000}"/>
    <cellStyle name="Normal 35" xfId="317" xr:uid="{00000000-0005-0000-0000-000093050000}"/>
    <cellStyle name="Normal 35 2" xfId="480" xr:uid="{00000000-0005-0000-0000-000094050000}"/>
    <cellStyle name="Normal 35 2 2" xfId="555" xr:uid="{00000000-0005-0000-0000-000095050000}"/>
    <cellStyle name="Normal 35 2 2 2" xfId="679" xr:uid="{00000000-0005-0000-0000-000096050000}"/>
    <cellStyle name="Normal 35 2 2 2 2" xfId="927" xr:uid="{00000000-0005-0000-0000-000097050000}"/>
    <cellStyle name="Normal 35 2 2 2 2 2" xfId="1431" xr:uid="{00000000-0005-0000-0000-000098050000}"/>
    <cellStyle name="Normal 35 2 2 2 2 2 2" xfId="2433" xr:uid="{00000000-0005-0000-0000-000099050000}"/>
    <cellStyle name="Normal 35 2 2 2 2 3" xfId="1932" xr:uid="{00000000-0005-0000-0000-00009A050000}"/>
    <cellStyle name="Normal 35 2 2 2 3" xfId="1183" xr:uid="{00000000-0005-0000-0000-00009B050000}"/>
    <cellStyle name="Normal 35 2 2 2 3 2" xfId="2185" xr:uid="{00000000-0005-0000-0000-00009C050000}"/>
    <cellStyle name="Normal 35 2 2 2 4" xfId="1684" xr:uid="{00000000-0005-0000-0000-00009D050000}"/>
    <cellStyle name="Normal 35 2 2 3" xfId="803" xr:uid="{00000000-0005-0000-0000-00009E050000}"/>
    <cellStyle name="Normal 35 2 2 3 2" xfId="1307" xr:uid="{00000000-0005-0000-0000-00009F050000}"/>
    <cellStyle name="Normal 35 2 2 3 2 2" xfId="2309" xr:uid="{00000000-0005-0000-0000-0000A0050000}"/>
    <cellStyle name="Normal 35 2 2 3 3" xfId="1808" xr:uid="{00000000-0005-0000-0000-0000A1050000}"/>
    <cellStyle name="Normal 35 2 2 4" xfId="1059" xr:uid="{00000000-0005-0000-0000-0000A2050000}"/>
    <cellStyle name="Normal 35 2 2 4 2" xfId="2061" xr:uid="{00000000-0005-0000-0000-0000A3050000}"/>
    <cellStyle name="Normal 35 2 2 5" xfId="1560" xr:uid="{00000000-0005-0000-0000-0000A4050000}"/>
    <cellStyle name="Normal 35 2 3" xfId="608" xr:uid="{00000000-0005-0000-0000-0000A5050000}"/>
    <cellStyle name="Normal 35 2 3 2" xfId="856" xr:uid="{00000000-0005-0000-0000-0000A6050000}"/>
    <cellStyle name="Normal 35 2 3 2 2" xfId="1360" xr:uid="{00000000-0005-0000-0000-0000A7050000}"/>
    <cellStyle name="Normal 35 2 3 2 2 2" xfId="2362" xr:uid="{00000000-0005-0000-0000-0000A8050000}"/>
    <cellStyle name="Normal 35 2 3 2 3" xfId="1861" xr:uid="{00000000-0005-0000-0000-0000A9050000}"/>
    <cellStyle name="Normal 35 2 3 3" xfId="1112" xr:uid="{00000000-0005-0000-0000-0000AA050000}"/>
    <cellStyle name="Normal 35 2 3 3 2" xfId="2114" xr:uid="{00000000-0005-0000-0000-0000AB050000}"/>
    <cellStyle name="Normal 35 2 3 4" xfId="1613" xr:uid="{00000000-0005-0000-0000-0000AC050000}"/>
    <cellStyle name="Normal 35 2 4" xfId="732" xr:uid="{00000000-0005-0000-0000-0000AD050000}"/>
    <cellStyle name="Normal 35 2 4 2" xfId="1236" xr:uid="{00000000-0005-0000-0000-0000AE050000}"/>
    <cellStyle name="Normal 35 2 4 2 2" xfId="2238" xr:uid="{00000000-0005-0000-0000-0000AF050000}"/>
    <cellStyle name="Normal 35 2 4 3" xfId="1737" xr:uid="{00000000-0005-0000-0000-0000B0050000}"/>
    <cellStyle name="Normal 35 2 5" xfId="988" xr:uid="{00000000-0005-0000-0000-0000B1050000}"/>
    <cellStyle name="Normal 35 2 5 2" xfId="1990" xr:uid="{00000000-0005-0000-0000-0000B2050000}"/>
    <cellStyle name="Normal 35 2 6" xfId="1489" xr:uid="{00000000-0005-0000-0000-0000B3050000}"/>
    <cellStyle name="Normal 35 3" xfId="504" xr:uid="{00000000-0005-0000-0000-0000B4050000}"/>
    <cellStyle name="Normal 35 3 2" xfId="556" xr:uid="{00000000-0005-0000-0000-0000B5050000}"/>
    <cellStyle name="Normal 35 3 2 2" xfId="680" xr:uid="{00000000-0005-0000-0000-0000B6050000}"/>
    <cellStyle name="Normal 35 3 2 2 2" xfId="928" xr:uid="{00000000-0005-0000-0000-0000B7050000}"/>
    <cellStyle name="Normal 35 3 2 2 2 2" xfId="1432" xr:uid="{00000000-0005-0000-0000-0000B8050000}"/>
    <cellStyle name="Normal 35 3 2 2 2 2 2" xfId="2434" xr:uid="{00000000-0005-0000-0000-0000B9050000}"/>
    <cellStyle name="Normal 35 3 2 2 2 3" xfId="1933" xr:uid="{00000000-0005-0000-0000-0000BA050000}"/>
    <cellStyle name="Normal 35 3 2 2 3" xfId="1184" xr:uid="{00000000-0005-0000-0000-0000BB050000}"/>
    <cellStyle name="Normal 35 3 2 2 3 2" xfId="2186" xr:uid="{00000000-0005-0000-0000-0000BC050000}"/>
    <cellStyle name="Normal 35 3 2 2 4" xfId="1685" xr:uid="{00000000-0005-0000-0000-0000BD050000}"/>
    <cellStyle name="Normal 35 3 2 3" xfId="804" xr:uid="{00000000-0005-0000-0000-0000BE050000}"/>
    <cellStyle name="Normal 35 3 2 3 2" xfId="1308" xr:uid="{00000000-0005-0000-0000-0000BF050000}"/>
    <cellStyle name="Normal 35 3 2 3 2 2" xfId="2310" xr:uid="{00000000-0005-0000-0000-0000C0050000}"/>
    <cellStyle name="Normal 35 3 2 3 3" xfId="1809" xr:uid="{00000000-0005-0000-0000-0000C1050000}"/>
    <cellStyle name="Normal 35 3 2 4" xfId="1060" xr:uid="{00000000-0005-0000-0000-0000C2050000}"/>
    <cellStyle name="Normal 35 3 2 4 2" xfId="2062" xr:uid="{00000000-0005-0000-0000-0000C3050000}"/>
    <cellStyle name="Normal 35 3 2 5" xfId="1561" xr:uid="{00000000-0005-0000-0000-0000C4050000}"/>
    <cellStyle name="Normal 35 3 3" xfId="628" xr:uid="{00000000-0005-0000-0000-0000C5050000}"/>
    <cellStyle name="Normal 35 3 3 2" xfId="876" xr:uid="{00000000-0005-0000-0000-0000C6050000}"/>
    <cellStyle name="Normal 35 3 3 2 2" xfId="1380" xr:uid="{00000000-0005-0000-0000-0000C7050000}"/>
    <cellStyle name="Normal 35 3 3 2 2 2" xfId="2382" xr:uid="{00000000-0005-0000-0000-0000C8050000}"/>
    <cellStyle name="Normal 35 3 3 2 3" xfId="1881" xr:uid="{00000000-0005-0000-0000-0000C9050000}"/>
    <cellStyle name="Normal 35 3 3 3" xfId="1132" xr:uid="{00000000-0005-0000-0000-0000CA050000}"/>
    <cellStyle name="Normal 35 3 3 3 2" xfId="2134" xr:uid="{00000000-0005-0000-0000-0000CB050000}"/>
    <cellStyle name="Normal 35 3 3 4" xfId="1633" xr:uid="{00000000-0005-0000-0000-0000CC050000}"/>
    <cellStyle name="Normal 35 3 4" xfId="752" xr:uid="{00000000-0005-0000-0000-0000CD050000}"/>
    <cellStyle name="Normal 35 3 4 2" xfId="1256" xr:uid="{00000000-0005-0000-0000-0000CE050000}"/>
    <cellStyle name="Normal 35 3 4 2 2" xfId="2258" xr:uid="{00000000-0005-0000-0000-0000CF050000}"/>
    <cellStyle name="Normal 35 3 4 3" xfId="1757" xr:uid="{00000000-0005-0000-0000-0000D0050000}"/>
    <cellStyle name="Normal 35 3 5" xfId="1008" xr:uid="{00000000-0005-0000-0000-0000D1050000}"/>
    <cellStyle name="Normal 35 3 5 2" xfId="2010" xr:uid="{00000000-0005-0000-0000-0000D2050000}"/>
    <cellStyle name="Normal 35 3 6" xfId="1509" xr:uid="{00000000-0005-0000-0000-0000D3050000}"/>
    <cellStyle name="Normal 35 4" xfId="554" xr:uid="{00000000-0005-0000-0000-0000D4050000}"/>
    <cellStyle name="Normal 35 4 2" xfId="678" xr:uid="{00000000-0005-0000-0000-0000D5050000}"/>
    <cellStyle name="Normal 35 4 2 2" xfId="926" xr:uid="{00000000-0005-0000-0000-0000D6050000}"/>
    <cellStyle name="Normal 35 4 2 2 2" xfId="1430" xr:uid="{00000000-0005-0000-0000-0000D7050000}"/>
    <cellStyle name="Normal 35 4 2 2 2 2" xfId="2432" xr:uid="{00000000-0005-0000-0000-0000D8050000}"/>
    <cellStyle name="Normal 35 4 2 2 3" xfId="1931" xr:uid="{00000000-0005-0000-0000-0000D9050000}"/>
    <cellStyle name="Normal 35 4 2 3" xfId="1182" xr:uid="{00000000-0005-0000-0000-0000DA050000}"/>
    <cellStyle name="Normal 35 4 2 3 2" xfId="2184" xr:uid="{00000000-0005-0000-0000-0000DB050000}"/>
    <cellStyle name="Normal 35 4 2 4" xfId="1683" xr:uid="{00000000-0005-0000-0000-0000DC050000}"/>
    <cellStyle name="Normal 35 4 3" xfId="802" xr:uid="{00000000-0005-0000-0000-0000DD050000}"/>
    <cellStyle name="Normal 35 4 3 2" xfId="1306" xr:uid="{00000000-0005-0000-0000-0000DE050000}"/>
    <cellStyle name="Normal 35 4 3 2 2" xfId="2308" xr:uid="{00000000-0005-0000-0000-0000DF050000}"/>
    <cellStyle name="Normal 35 4 3 3" xfId="1807" xr:uid="{00000000-0005-0000-0000-0000E0050000}"/>
    <cellStyle name="Normal 35 4 4" xfId="1058" xr:uid="{00000000-0005-0000-0000-0000E1050000}"/>
    <cellStyle name="Normal 35 4 4 2" xfId="2060" xr:uid="{00000000-0005-0000-0000-0000E2050000}"/>
    <cellStyle name="Normal 35 4 5" xfId="1559" xr:uid="{00000000-0005-0000-0000-0000E3050000}"/>
    <cellStyle name="Normal 35 5" xfId="586" xr:uid="{00000000-0005-0000-0000-0000E4050000}"/>
    <cellStyle name="Normal 35 5 2" xfId="834" xr:uid="{00000000-0005-0000-0000-0000E5050000}"/>
    <cellStyle name="Normal 35 5 2 2" xfId="1338" xr:uid="{00000000-0005-0000-0000-0000E6050000}"/>
    <cellStyle name="Normal 35 5 2 2 2" xfId="2340" xr:uid="{00000000-0005-0000-0000-0000E7050000}"/>
    <cellStyle name="Normal 35 5 2 3" xfId="1839" xr:uid="{00000000-0005-0000-0000-0000E8050000}"/>
    <cellStyle name="Normal 35 5 3" xfId="1090" xr:uid="{00000000-0005-0000-0000-0000E9050000}"/>
    <cellStyle name="Normal 35 5 3 2" xfId="2092" xr:uid="{00000000-0005-0000-0000-0000EA050000}"/>
    <cellStyle name="Normal 35 5 4" xfId="1591" xr:uid="{00000000-0005-0000-0000-0000EB050000}"/>
    <cellStyle name="Normal 35 6" xfId="710" xr:uid="{00000000-0005-0000-0000-0000EC050000}"/>
    <cellStyle name="Normal 35 6 2" xfId="1214" xr:uid="{00000000-0005-0000-0000-0000ED050000}"/>
    <cellStyle name="Normal 35 6 2 2" xfId="2216" xr:uid="{00000000-0005-0000-0000-0000EE050000}"/>
    <cellStyle name="Normal 35 6 3" xfId="1715" xr:uid="{00000000-0005-0000-0000-0000EF050000}"/>
    <cellStyle name="Normal 35 7" xfId="966" xr:uid="{00000000-0005-0000-0000-0000F0050000}"/>
    <cellStyle name="Normal 35 7 2" xfId="1968" xr:uid="{00000000-0005-0000-0000-0000F1050000}"/>
    <cellStyle name="Normal 35 8" xfId="1467" xr:uid="{00000000-0005-0000-0000-0000F2050000}"/>
    <cellStyle name="Normal 4" xfId="318" xr:uid="{00000000-0005-0000-0000-0000F3050000}"/>
    <cellStyle name="Normal 4 2" xfId="453" xr:uid="{00000000-0005-0000-0000-0000F4050000}"/>
    <cellStyle name="Normal 4 3" xfId="481" xr:uid="{00000000-0005-0000-0000-0000F5050000}"/>
    <cellStyle name="Normal 4 4" xfId="960" xr:uid="{00000000-0005-0000-0000-0000F6050000}"/>
    <cellStyle name="Normal 5" xfId="319" xr:uid="{00000000-0005-0000-0000-0000F7050000}"/>
    <cellStyle name="Normal 5 2" xfId="454" xr:uid="{00000000-0005-0000-0000-0000F8050000}"/>
    <cellStyle name="Normal 5 3" xfId="482" xr:uid="{00000000-0005-0000-0000-0000F9050000}"/>
    <cellStyle name="Normal 6" xfId="320" xr:uid="{00000000-0005-0000-0000-0000FA050000}"/>
    <cellStyle name="Normal 6 10" xfId="471" xr:uid="{00000000-0005-0000-0000-0000FB050000}"/>
    <cellStyle name="Normal 6 10 2" xfId="557" xr:uid="{00000000-0005-0000-0000-0000FC050000}"/>
    <cellStyle name="Normal 6 10 2 2" xfId="681" xr:uid="{00000000-0005-0000-0000-0000FD050000}"/>
    <cellStyle name="Normal 6 10 2 2 2" xfId="929" xr:uid="{00000000-0005-0000-0000-0000FE050000}"/>
    <cellStyle name="Normal 6 10 2 2 2 2" xfId="1433" xr:uid="{00000000-0005-0000-0000-0000FF050000}"/>
    <cellStyle name="Normal 6 10 2 2 2 2 2" xfId="2435" xr:uid="{00000000-0005-0000-0000-000000060000}"/>
    <cellStyle name="Normal 6 10 2 2 2 3" xfId="1934" xr:uid="{00000000-0005-0000-0000-000001060000}"/>
    <cellStyle name="Normal 6 10 2 2 3" xfId="1185" xr:uid="{00000000-0005-0000-0000-000002060000}"/>
    <cellStyle name="Normal 6 10 2 2 3 2" xfId="2187" xr:uid="{00000000-0005-0000-0000-000003060000}"/>
    <cellStyle name="Normal 6 10 2 2 4" xfId="1686" xr:uid="{00000000-0005-0000-0000-000004060000}"/>
    <cellStyle name="Normal 6 10 2 3" xfId="805" xr:uid="{00000000-0005-0000-0000-000005060000}"/>
    <cellStyle name="Normal 6 10 2 3 2" xfId="1309" xr:uid="{00000000-0005-0000-0000-000006060000}"/>
    <cellStyle name="Normal 6 10 2 3 2 2" xfId="2311" xr:uid="{00000000-0005-0000-0000-000007060000}"/>
    <cellStyle name="Normal 6 10 2 3 3" xfId="1810" xr:uid="{00000000-0005-0000-0000-000008060000}"/>
    <cellStyle name="Normal 6 10 2 4" xfId="1061" xr:uid="{00000000-0005-0000-0000-000009060000}"/>
    <cellStyle name="Normal 6 10 2 4 2" xfId="2063" xr:uid="{00000000-0005-0000-0000-00000A060000}"/>
    <cellStyle name="Normal 6 10 2 5" xfId="1562" xr:uid="{00000000-0005-0000-0000-00000B060000}"/>
    <cellStyle name="Normal 6 10 3" xfId="603" xr:uid="{00000000-0005-0000-0000-00000C060000}"/>
    <cellStyle name="Normal 6 10 3 2" xfId="851" xr:uid="{00000000-0005-0000-0000-00000D060000}"/>
    <cellStyle name="Normal 6 10 3 2 2" xfId="1355" xr:uid="{00000000-0005-0000-0000-00000E060000}"/>
    <cellStyle name="Normal 6 10 3 2 2 2" xfId="2357" xr:uid="{00000000-0005-0000-0000-00000F060000}"/>
    <cellStyle name="Normal 6 10 3 2 3" xfId="1856" xr:uid="{00000000-0005-0000-0000-000010060000}"/>
    <cellStyle name="Normal 6 10 3 3" xfId="1107" xr:uid="{00000000-0005-0000-0000-000011060000}"/>
    <cellStyle name="Normal 6 10 3 3 2" xfId="2109" xr:uid="{00000000-0005-0000-0000-000012060000}"/>
    <cellStyle name="Normal 6 10 3 4" xfId="1608" xr:uid="{00000000-0005-0000-0000-000013060000}"/>
    <cellStyle name="Normal 6 10 4" xfId="727" xr:uid="{00000000-0005-0000-0000-000014060000}"/>
    <cellStyle name="Normal 6 10 4 2" xfId="1231" xr:uid="{00000000-0005-0000-0000-000015060000}"/>
    <cellStyle name="Normal 6 10 4 2 2" xfId="2233" xr:uid="{00000000-0005-0000-0000-000016060000}"/>
    <cellStyle name="Normal 6 10 4 3" xfId="1732" xr:uid="{00000000-0005-0000-0000-000017060000}"/>
    <cellStyle name="Normal 6 10 5" xfId="983" xr:uid="{00000000-0005-0000-0000-000018060000}"/>
    <cellStyle name="Normal 6 10 5 2" xfId="1985" xr:uid="{00000000-0005-0000-0000-000019060000}"/>
    <cellStyle name="Normal 6 10 6" xfId="1484" xr:uid="{00000000-0005-0000-0000-00001A060000}"/>
    <cellStyle name="Normal 6 11" xfId="955" xr:uid="{00000000-0005-0000-0000-00001B060000}"/>
    <cellStyle name="Normal 6 11 2" xfId="1459" xr:uid="{00000000-0005-0000-0000-00001C060000}"/>
    <cellStyle name="Normal 6 11 2 2" xfId="2461" xr:uid="{00000000-0005-0000-0000-00001D060000}"/>
    <cellStyle name="Normal 6 11 3" xfId="1960" xr:uid="{00000000-0005-0000-0000-00001E060000}"/>
    <cellStyle name="Normal 6 2" xfId="456" xr:uid="{00000000-0005-0000-0000-00001F060000}"/>
    <cellStyle name="Normal 6 2 2" xfId="487" xr:uid="{00000000-0005-0000-0000-000020060000}"/>
    <cellStyle name="Normal 6 2 2 2" xfId="559" xr:uid="{00000000-0005-0000-0000-000021060000}"/>
    <cellStyle name="Normal 6 2 2 2 2" xfId="683" xr:uid="{00000000-0005-0000-0000-000022060000}"/>
    <cellStyle name="Normal 6 2 2 2 2 2" xfId="931" xr:uid="{00000000-0005-0000-0000-000023060000}"/>
    <cellStyle name="Normal 6 2 2 2 2 2 2" xfId="1435" xr:uid="{00000000-0005-0000-0000-000024060000}"/>
    <cellStyle name="Normal 6 2 2 2 2 2 2 2" xfId="2437" xr:uid="{00000000-0005-0000-0000-000025060000}"/>
    <cellStyle name="Normal 6 2 2 2 2 2 3" xfId="1936" xr:uid="{00000000-0005-0000-0000-000026060000}"/>
    <cellStyle name="Normal 6 2 2 2 2 3" xfId="1187" xr:uid="{00000000-0005-0000-0000-000027060000}"/>
    <cellStyle name="Normal 6 2 2 2 2 3 2" xfId="2189" xr:uid="{00000000-0005-0000-0000-000028060000}"/>
    <cellStyle name="Normal 6 2 2 2 2 4" xfId="1688" xr:uid="{00000000-0005-0000-0000-000029060000}"/>
    <cellStyle name="Normal 6 2 2 2 3" xfId="807" xr:uid="{00000000-0005-0000-0000-00002A060000}"/>
    <cellStyle name="Normal 6 2 2 2 3 2" xfId="1311" xr:uid="{00000000-0005-0000-0000-00002B060000}"/>
    <cellStyle name="Normal 6 2 2 2 3 2 2" xfId="2313" xr:uid="{00000000-0005-0000-0000-00002C060000}"/>
    <cellStyle name="Normal 6 2 2 2 3 3" xfId="1812" xr:uid="{00000000-0005-0000-0000-00002D060000}"/>
    <cellStyle name="Normal 6 2 2 2 4" xfId="1063" xr:uid="{00000000-0005-0000-0000-00002E060000}"/>
    <cellStyle name="Normal 6 2 2 2 4 2" xfId="2065" xr:uid="{00000000-0005-0000-0000-00002F060000}"/>
    <cellStyle name="Normal 6 2 2 2 5" xfId="1564" xr:uid="{00000000-0005-0000-0000-000030060000}"/>
    <cellStyle name="Normal 6 2 2 3" xfId="611" xr:uid="{00000000-0005-0000-0000-000031060000}"/>
    <cellStyle name="Normal 6 2 2 3 2" xfId="859" xr:uid="{00000000-0005-0000-0000-000032060000}"/>
    <cellStyle name="Normal 6 2 2 3 2 2" xfId="1363" xr:uid="{00000000-0005-0000-0000-000033060000}"/>
    <cellStyle name="Normal 6 2 2 3 2 2 2" xfId="2365" xr:uid="{00000000-0005-0000-0000-000034060000}"/>
    <cellStyle name="Normal 6 2 2 3 2 3" xfId="1864" xr:uid="{00000000-0005-0000-0000-000035060000}"/>
    <cellStyle name="Normal 6 2 2 3 3" xfId="1115" xr:uid="{00000000-0005-0000-0000-000036060000}"/>
    <cellStyle name="Normal 6 2 2 3 3 2" xfId="2117" xr:uid="{00000000-0005-0000-0000-000037060000}"/>
    <cellStyle name="Normal 6 2 2 3 4" xfId="1616" xr:uid="{00000000-0005-0000-0000-000038060000}"/>
    <cellStyle name="Normal 6 2 2 4" xfId="735" xr:uid="{00000000-0005-0000-0000-000039060000}"/>
    <cellStyle name="Normal 6 2 2 4 2" xfId="1239" xr:uid="{00000000-0005-0000-0000-00003A060000}"/>
    <cellStyle name="Normal 6 2 2 4 2 2" xfId="2241" xr:uid="{00000000-0005-0000-0000-00003B060000}"/>
    <cellStyle name="Normal 6 2 2 4 3" xfId="1740" xr:uid="{00000000-0005-0000-0000-00003C060000}"/>
    <cellStyle name="Normal 6 2 2 5" xfId="991" xr:uid="{00000000-0005-0000-0000-00003D060000}"/>
    <cellStyle name="Normal 6 2 2 5 2" xfId="1993" xr:uid="{00000000-0005-0000-0000-00003E060000}"/>
    <cellStyle name="Normal 6 2 2 6" xfId="1492" xr:uid="{00000000-0005-0000-0000-00003F060000}"/>
    <cellStyle name="Normal 6 2 3" xfId="507" xr:uid="{00000000-0005-0000-0000-000040060000}"/>
    <cellStyle name="Normal 6 2 3 2" xfId="560" xr:uid="{00000000-0005-0000-0000-000041060000}"/>
    <cellStyle name="Normal 6 2 3 2 2" xfId="684" xr:uid="{00000000-0005-0000-0000-000042060000}"/>
    <cellStyle name="Normal 6 2 3 2 2 2" xfId="932" xr:uid="{00000000-0005-0000-0000-000043060000}"/>
    <cellStyle name="Normal 6 2 3 2 2 2 2" xfId="1436" xr:uid="{00000000-0005-0000-0000-000044060000}"/>
    <cellStyle name="Normal 6 2 3 2 2 2 2 2" xfId="2438" xr:uid="{00000000-0005-0000-0000-000045060000}"/>
    <cellStyle name="Normal 6 2 3 2 2 2 3" xfId="1937" xr:uid="{00000000-0005-0000-0000-000046060000}"/>
    <cellStyle name="Normal 6 2 3 2 2 3" xfId="1188" xr:uid="{00000000-0005-0000-0000-000047060000}"/>
    <cellStyle name="Normal 6 2 3 2 2 3 2" xfId="2190" xr:uid="{00000000-0005-0000-0000-000048060000}"/>
    <cellStyle name="Normal 6 2 3 2 2 4" xfId="1689" xr:uid="{00000000-0005-0000-0000-000049060000}"/>
    <cellStyle name="Normal 6 2 3 2 3" xfId="808" xr:uid="{00000000-0005-0000-0000-00004A060000}"/>
    <cellStyle name="Normal 6 2 3 2 3 2" xfId="1312" xr:uid="{00000000-0005-0000-0000-00004B060000}"/>
    <cellStyle name="Normal 6 2 3 2 3 2 2" xfId="2314" xr:uid="{00000000-0005-0000-0000-00004C060000}"/>
    <cellStyle name="Normal 6 2 3 2 3 3" xfId="1813" xr:uid="{00000000-0005-0000-0000-00004D060000}"/>
    <cellStyle name="Normal 6 2 3 2 4" xfId="1064" xr:uid="{00000000-0005-0000-0000-00004E060000}"/>
    <cellStyle name="Normal 6 2 3 2 4 2" xfId="2066" xr:uid="{00000000-0005-0000-0000-00004F060000}"/>
    <cellStyle name="Normal 6 2 3 2 5" xfId="1565" xr:uid="{00000000-0005-0000-0000-000050060000}"/>
    <cellStyle name="Normal 6 2 3 3" xfId="631" xr:uid="{00000000-0005-0000-0000-000051060000}"/>
    <cellStyle name="Normal 6 2 3 3 2" xfId="879" xr:uid="{00000000-0005-0000-0000-000052060000}"/>
    <cellStyle name="Normal 6 2 3 3 2 2" xfId="1383" xr:uid="{00000000-0005-0000-0000-000053060000}"/>
    <cellStyle name="Normal 6 2 3 3 2 2 2" xfId="2385" xr:uid="{00000000-0005-0000-0000-000054060000}"/>
    <cellStyle name="Normal 6 2 3 3 2 3" xfId="1884" xr:uid="{00000000-0005-0000-0000-000055060000}"/>
    <cellStyle name="Normal 6 2 3 3 3" xfId="1135" xr:uid="{00000000-0005-0000-0000-000056060000}"/>
    <cellStyle name="Normal 6 2 3 3 3 2" xfId="2137" xr:uid="{00000000-0005-0000-0000-000057060000}"/>
    <cellStyle name="Normal 6 2 3 3 4" xfId="1636" xr:uid="{00000000-0005-0000-0000-000058060000}"/>
    <cellStyle name="Normal 6 2 3 4" xfId="755" xr:uid="{00000000-0005-0000-0000-000059060000}"/>
    <cellStyle name="Normal 6 2 3 4 2" xfId="1259" xr:uid="{00000000-0005-0000-0000-00005A060000}"/>
    <cellStyle name="Normal 6 2 3 4 2 2" xfId="2261" xr:uid="{00000000-0005-0000-0000-00005B060000}"/>
    <cellStyle name="Normal 6 2 3 4 3" xfId="1760" xr:uid="{00000000-0005-0000-0000-00005C060000}"/>
    <cellStyle name="Normal 6 2 3 5" xfId="1011" xr:uid="{00000000-0005-0000-0000-00005D060000}"/>
    <cellStyle name="Normal 6 2 3 5 2" xfId="2013" xr:uid="{00000000-0005-0000-0000-00005E060000}"/>
    <cellStyle name="Normal 6 2 3 6" xfId="1512" xr:uid="{00000000-0005-0000-0000-00005F060000}"/>
    <cellStyle name="Normal 6 2 4" xfId="558" xr:uid="{00000000-0005-0000-0000-000060060000}"/>
    <cellStyle name="Normal 6 2 4 2" xfId="682" xr:uid="{00000000-0005-0000-0000-000061060000}"/>
    <cellStyle name="Normal 6 2 4 2 2" xfId="930" xr:uid="{00000000-0005-0000-0000-000062060000}"/>
    <cellStyle name="Normal 6 2 4 2 2 2" xfId="1434" xr:uid="{00000000-0005-0000-0000-000063060000}"/>
    <cellStyle name="Normal 6 2 4 2 2 2 2" xfId="2436" xr:uid="{00000000-0005-0000-0000-000064060000}"/>
    <cellStyle name="Normal 6 2 4 2 2 3" xfId="1935" xr:uid="{00000000-0005-0000-0000-000065060000}"/>
    <cellStyle name="Normal 6 2 4 2 3" xfId="1186" xr:uid="{00000000-0005-0000-0000-000066060000}"/>
    <cellStyle name="Normal 6 2 4 2 3 2" xfId="2188" xr:uid="{00000000-0005-0000-0000-000067060000}"/>
    <cellStyle name="Normal 6 2 4 2 4" xfId="1687" xr:uid="{00000000-0005-0000-0000-000068060000}"/>
    <cellStyle name="Normal 6 2 4 3" xfId="806" xr:uid="{00000000-0005-0000-0000-000069060000}"/>
    <cellStyle name="Normal 6 2 4 3 2" xfId="1310" xr:uid="{00000000-0005-0000-0000-00006A060000}"/>
    <cellStyle name="Normal 6 2 4 3 2 2" xfId="2312" xr:uid="{00000000-0005-0000-0000-00006B060000}"/>
    <cellStyle name="Normal 6 2 4 3 3" xfId="1811" xr:uid="{00000000-0005-0000-0000-00006C060000}"/>
    <cellStyle name="Normal 6 2 4 4" xfId="1062" xr:uid="{00000000-0005-0000-0000-00006D060000}"/>
    <cellStyle name="Normal 6 2 4 4 2" xfId="2064" xr:uid="{00000000-0005-0000-0000-00006E060000}"/>
    <cellStyle name="Normal 6 2 4 5" xfId="1563" xr:uid="{00000000-0005-0000-0000-00006F060000}"/>
    <cellStyle name="Normal 6 2 5" xfId="589" xr:uid="{00000000-0005-0000-0000-000070060000}"/>
    <cellStyle name="Normal 6 2 5 2" xfId="837" xr:uid="{00000000-0005-0000-0000-000071060000}"/>
    <cellStyle name="Normal 6 2 5 2 2" xfId="1341" xr:uid="{00000000-0005-0000-0000-000072060000}"/>
    <cellStyle name="Normal 6 2 5 2 2 2" xfId="2343" xr:uid="{00000000-0005-0000-0000-000073060000}"/>
    <cellStyle name="Normal 6 2 5 2 3" xfId="1842" xr:uid="{00000000-0005-0000-0000-000074060000}"/>
    <cellStyle name="Normal 6 2 5 3" xfId="1093" xr:uid="{00000000-0005-0000-0000-000075060000}"/>
    <cellStyle name="Normal 6 2 5 3 2" xfId="2095" xr:uid="{00000000-0005-0000-0000-000076060000}"/>
    <cellStyle name="Normal 6 2 5 4" xfId="1594" xr:uid="{00000000-0005-0000-0000-000077060000}"/>
    <cellStyle name="Normal 6 2 6" xfId="713" xr:uid="{00000000-0005-0000-0000-000078060000}"/>
    <cellStyle name="Normal 6 2 6 2" xfId="1217" xr:uid="{00000000-0005-0000-0000-000079060000}"/>
    <cellStyle name="Normal 6 2 6 2 2" xfId="2219" xr:uid="{00000000-0005-0000-0000-00007A060000}"/>
    <cellStyle name="Normal 6 2 6 3" xfId="1718" xr:uid="{00000000-0005-0000-0000-00007B060000}"/>
    <cellStyle name="Normal 6 2 7" xfId="969" xr:uid="{00000000-0005-0000-0000-00007C060000}"/>
    <cellStyle name="Normal 6 2 7 2" xfId="1971" xr:uid="{00000000-0005-0000-0000-00007D060000}"/>
    <cellStyle name="Normal 6 2 8" xfId="1470" xr:uid="{00000000-0005-0000-0000-00007E060000}"/>
    <cellStyle name="Normal 6 3" xfId="459" xr:uid="{00000000-0005-0000-0000-00007F060000}"/>
    <cellStyle name="Normal 6 3 2" xfId="489" xr:uid="{00000000-0005-0000-0000-000080060000}"/>
    <cellStyle name="Normal 6 3 2 2" xfId="562" xr:uid="{00000000-0005-0000-0000-000081060000}"/>
    <cellStyle name="Normal 6 3 2 2 2" xfId="686" xr:uid="{00000000-0005-0000-0000-000082060000}"/>
    <cellStyle name="Normal 6 3 2 2 2 2" xfId="934" xr:uid="{00000000-0005-0000-0000-000083060000}"/>
    <cellStyle name="Normal 6 3 2 2 2 2 2" xfId="1438" xr:uid="{00000000-0005-0000-0000-000084060000}"/>
    <cellStyle name="Normal 6 3 2 2 2 2 2 2" xfId="2440" xr:uid="{00000000-0005-0000-0000-000085060000}"/>
    <cellStyle name="Normal 6 3 2 2 2 2 3" xfId="1939" xr:uid="{00000000-0005-0000-0000-000086060000}"/>
    <cellStyle name="Normal 6 3 2 2 2 3" xfId="1190" xr:uid="{00000000-0005-0000-0000-000087060000}"/>
    <cellStyle name="Normal 6 3 2 2 2 3 2" xfId="2192" xr:uid="{00000000-0005-0000-0000-000088060000}"/>
    <cellStyle name="Normal 6 3 2 2 2 4" xfId="1691" xr:uid="{00000000-0005-0000-0000-000089060000}"/>
    <cellStyle name="Normal 6 3 2 2 3" xfId="810" xr:uid="{00000000-0005-0000-0000-00008A060000}"/>
    <cellStyle name="Normal 6 3 2 2 3 2" xfId="1314" xr:uid="{00000000-0005-0000-0000-00008B060000}"/>
    <cellStyle name="Normal 6 3 2 2 3 2 2" xfId="2316" xr:uid="{00000000-0005-0000-0000-00008C060000}"/>
    <cellStyle name="Normal 6 3 2 2 3 3" xfId="1815" xr:uid="{00000000-0005-0000-0000-00008D060000}"/>
    <cellStyle name="Normal 6 3 2 2 4" xfId="1066" xr:uid="{00000000-0005-0000-0000-00008E060000}"/>
    <cellStyle name="Normal 6 3 2 2 4 2" xfId="2068" xr:uid="{00000000-0005-0000-0000-00008F060000}"/>
    <cellStyle name="Normal 6 3 2 2 5" xfId="1567" xr:uid="{00000000-0005-0000-0000-000090060000}"/>
    <cellStyle name="Normal 6 3 2 3" xfId="613" xr:uid="{00000000-0005-0000-0000-000091060000}"/>
    <cellStyle name="Normal 6 3 2 3 2" xfId="861" xr:uid="{00000000-0005-0000-0000-000092060000}"/>
    <cellStyle name="Normal 6 3 2 3 2 2" xfId="1365" xr:uid="{00000000-0005-0000-0000-000093060000}"/>
    <cellStyle name="Normal 6 3 2 3 2 2 2" xfId="2367" xr:uid="{00000000-0005-0000-0000-000094060000}"/>
    <cellStyle name="Normal 6 3 2 3 2 3" xfId="1866" xr:uid="{00000000-0005-0000-0000-000095060000}"/>
    <cellStyle name="Normal 6 3 2 3 3" xfId="1117" xr:uid="{00000000-0005-0000-0000-000096060000}"/>
    <cellStyle name="Normal 6 3 2 3 3 2" xfId="2119" xr:uid="{00000000-0005-0000-0000-000097060000}"/>
    <cellStyle name="Normal 6 3 2 3 4" xfId="1618" xr:uid="{00000000-0005-0000-0000-000098060000}"/>
    <cellStyle name="Normal 6 3 2 4" xfId="737" xr:uid="{00000000-0005-0000-0000-000099060000}"/>
    <cellStyle name="Normal 6 3 2 4 2" xfId="1241" xr:uid="{00000000-0005-0000-0000-00009A060000}"/>
    <cellStyle name="Normal 6 3 2 4 2 2" xfId="2243" xr:uid="{00000000-0005-0000-0000-00009B060000}"/>
    <cellStyle name="Normal 6 3 2 4 3" xfId="1742" xr:uid="{00000000-0005-0000-0000-00009C060000}"/>
    <cellStyle name="Normal 6 3 2 5" xfId="993" xr:uid="{00000000-0005-0000-0000-00009D060000}"/>
    <cellStyle name="Normal 6 3 2 5 2" xfId="1995" xr:uid="{00000000-0005-0000-0000-00009E060000}"/>
    <cellStyle name="Normal 6 3 2 6" xfId="1494" xr:uid="{00000000-0005-0000-0000-00009F060000}"/>
    <cellStyle name="Normal 6 3 3" xfId="509" xr:uid="{00000000-0005-0000-0000-0000A0060000}"/>
    <cellStyle name="Normal 6 3 3 2" xfId="563" xr:uid="{00000000-0005-0000-0000-0000A1060000}"/>
    <cellStyle name="Normal 6 3 3 2 2" xfId="687" xr:uid="{00000000-0005-0000-0000-0000A2060000}"/>
    <cellStyle name="Normal 6 3 3 2 2 2" xfId="935" xr:uid="{00000000-0005-0000-0000-0000A3060000}"/>
    <cellStyle name="Normal 6 3 3 2 2 2 2" xfId="1439" xr:uid="{00000000-0005-0000-0000-0000A4060000}"/>
    <cellStyle name="Normal 6 3 3 2 2 2 2 2" xfId="2441" xr:uid="{00000000-0005-0000-0000-0000A5060000}"/>
    <cellStyle name="Normal 6 3 3 2 2 2 3" xfId="1940" xr:uid="{00000000-0005-0000-0000-0000A6060000}"/>
    <cellStyle name="Normal 6 3 3 2 2 3" xfId="1191" xr:uid="{00000000-0005-0000-0000-0000A7060000}"/>
    <cellStyle name="Normal 6 3 3 2 2 3 2" xfId="2193" xr:uid="{00000000-0005-0000-0000-0000A8060000}"/>
    <cellStyle name="Normal 6 3 3 2 2 4" xfId="1692" xr:uid="{00000000-0005-0000-0000-0000A9060000}"/>
    <cellStyle name="Normal 6 3 3 2 3" xfId="811" xr:uid="{00000000-0005-0000-0000-0000AA060000}"/>
    <cellStyle name="Normal 6 3 3 2 3 2" xfId="1315" xr:uid="{00000000-0005-0000-0000-0000AB060000}"/>
    <cellStyle name="Normal 6 3 3 2 3 2 2" xfId="2317" xr:uid="{00000000-0005-0000-0000-0000AC060000}"/>
    <cellStyle name="Normal 6 3 3 2 3 3" xfId="1816" xr:uid="{00000000-0005-0000-0000-0000AD060000}"/>
    <cellStyle name="Normal 6 3 3 2 4" xfId="1067" xr:uid="{00000000-0005-0000-0000-0000AE060000}"/>
    <cellStyle name="Normal 6 3 3 2 4 2" xfId="2069" xr:uid="{00000000-0005-0000-0000-0000AF060000}"/>
    <cellStyle name="Normal 6 3 3 2 5" xfId="1568" xr:uid="{00000000-0005-0000-0000-0000B0060000}"/>
    <cellStyle name="Normal 6 3 3 3" xfId="633" xr:uid="{00000000-0005-0000-0000-0000B1060000}"/>
    <cellStyle name="Normal 6 3 3 3 2" xfId="881" xr:uid="{00000000-0005-0000-0000-0000B2060000}"/>
    <cellStyle name="Normal 6 3 3 3 2 2" xfId="1385" xr:uid="{00000000-0005-0000-0000-0000B3060000}"/>
    <cellStyle name="Normal 6 3 3 3 2 2 2" xfId="2387" xr:uid="{00000000-0005-0000-0000-0000B4060000}"/>
    <cellStyle name="Normal 6 3 3 3 2 3" xfId="1886" xr:uid="{00000000-0005-0000-0000-0000B5060000}"/>
    <cellStyle name="Normal 6 3 3 3 3" xfId="1137" xr:uid="{00000000-0005-0000-0000-0000B6060000}"/>
    <cellStyle name="Normal 6 3 3 3 3 2" xfId="2139" xr:uid="{00000000-0005-0000-0000-0000B7060000}"/>
    <cellStyle name="Normal 6 3 3 3 4" xfId="1638" xr:uid="{00000000-0005-0000-0000-0000B8060000}"/>
    <cellStyle name="Normal 6 3 3 4" xfId="757" xr:uid="{00000000-0005-0000-0000-0000B9060000}"/>
    <cellStyle name="Normal 6 3 3 4 2" xfId="1261" xr:uid="{00000000-0005-0000-0000-0000BA060000}"/>
    <cellStyle name="Normal 6 3 3 4 2 2" xfId="2263" xr:uid="{00000000-0005-0000-0000-0000BB060000}"/>
    <cellStyle name="Normal 6 3 3 4 3" xfId="1762" xr:uid="{00000000-0005-0000-0000-0000BC060000}"/>
    <cellStyle name="Normal 6 3 3 5" xfId="1013" xr:uid="{00000000-0005-0000-0000-0000BD060000}"/>
    <cellStyle name="Normal 6 3 3 5 2" xfId="2015" xr:uid="{00000000-0005-0000-0000-0000BE060000}"/>
    <cellStyle name="Normal 6 3 3 6" xfId="1514" xr:uid="{00000000-0005-0000-0000-0000BF060000}"/>
    <cellStyle name="Normal 6 3 4" xfId="561" xr:uid="{00000000-0005-0000-0000-0000C0060000}"/>
    <cellStyle name="Normal 6 3 4 2" xfId="685" xr:uid="{00000000-0005-0000-0000-0000C1060000}"/>
    <cellStyle name="Normal 6 3 4 2 2" xfId="933" xr:uid="{00000000-0005-0000-0000-0000C2060000}"/>
    <cellStyle name="Normal 6 3 4 2 2 2" xfId="1437" xr:uid="{00000000-0005-0000-0000-0000C3060000}"/>
    <cellStyle name="Normal 6 3 4 2 2 2 2" xfId="2439" xr:uid="{00000000-0005-0000-0000-0000C4060000}"/>
    <cellStyle name="Normal 6 3 4 2 2 3" xfId="1938" xr:uid="{00000000-0005-0000-0000-0000C5060000}"/>
    <cellStyle name="Normal 6 3 4 2 3" xfId="1189" xr:uid="{00000000-0005-0000-0000-0000C6060000}"/>
    <cellStyle name="Normal 6 3 4 2 3 2" xfId="2191" xr:uid="{00000000-0005-0000-0000-0000C7060000}"/>
    <cellStyle name="Normal 6 3 4 2 4" xfId="1690" xr:uid="{00000000-0005-0000-0000-0000C8060000}"/>
    <cellStyle name="Normal 6 3 4 3" xfId="809" xr:uid="{00000000-0005-0000-0000-0000C9060000}"/>
    <cellStyle name="Normal 6 3 4 3 2" xfId="1313" xr:uid="{00000000-0005-0000-0000-0000CA060000}"/>
    <cellStyle name="Normal 6 3 4 3 2 2" xfId="2315" xr:uid="{00000000-0005-0000-0000-0000CB060000}"/>
    <cellStyle name="Normal 6 3 4 3 3" xfId="1814" xr:uid="{00000000-0005-0000-0000-0000CC060000}"/>
    <cellStyle name="Normal 6 3 4 4" xfId="1065" xr:uid="{00000000-0005-0000-0000-0000CD060000}"/>
    <cellStyle name="Normal 6 3 4 4 2" xfId="2067" xr:uid="{00000000-0005-0000-0000-0000CE060000}"/>
    <cellStyle name="Normal 6 3 4 5" xfId="1566" xr:uid="{00000000-0005-0000-0000-0000CF060000}"/>
    <cellStyle name="Normal 6 3 5" xfId="591" xr:uid="{00000000-0005-0000-0000-0000D0060000}"/>
    <cellStyle name="Normal 6 3 5 2" xfId="839" xr:uid="{00000000-0005-0000-0000-0000D1060000}"/>
    <cellStyle name="Normal 6 3 5 2 2" xfId="1343" xr:uid="{00000000-0005-0000-0000-0000D2060000}"/>
    <cellStyle name="Normal 6 3 5 2 2 2" xfId="2345" xr:uid="{00000000-0005-0000-0000-0000D3060000}"/>
    <cellStyle name="Normal 6 3 5 2 3" xfId="1844" xr:uid="{00000000-0005-0000-0000-0000D4060000}"/>
    <cellStyle name="Normal 6 3 5 3" xfId="1095" xr:uid="{00000000-0005-0000-0000-0000D5060000}"/>
    <cellStyle name="Normal 6 3 5 3 2" xfId="2097" xr:uid="{00000000-0005-0000-0000-0000D6060000}"/>
    <cellStyle name="Normal 6 3 5 4" xfId="1596" xr:uid="{00000000-0005-0000-0000-0000D7060000}"/>
    <cellStyle name="Normal 6 3 6" xfId="715" xr:uid="{00000000-0005-0000-0000-0000D8060000}"/>
    <cellStyle name="Normal 6 3 6 2" xfId="1219" xr:uid="{00000000-0005-0000-0000-0000D9060000}"/>
    <cellStyle name="Normal 6 3 6 2 2" xfId="2221" xr:uid="{00000000-0005-0000-0000-0000DA060000}"/>
    <cellStyle name="Normal 6 3 6 3" xfId="1720" xr:uid="{00000000-0005-0000-0000-0000DB060000}"/>
    <cellStyle name="Normal 6 3 7" xfId="971" xr:uid="{00000000-0005-0000-0000-0000DC060000}"/>
    <cellStyle name="Normal 6 3 7 2" xfId="1973" xr:uid="{00000000-0005-0000-0000-0000DD060000}"/>
    <cellStyle name="Normal 6 3 8" xfId="1472" xr:uid="{00000000-0005-0000-0000-0000DE060000}"/>
    <cellStyle name="Normal 6 4" xfId="461" xr:uid="{00000000-0005-0000-0000-0000DF060000}"/>
    <cellStyle name="Normal 6 4 2" xfId="491" xr:uid="{00000000-0005-0000-0000-0000E0060000}"/>
    <cellStyle name="Normal 6 4 2 2" xfId="565" xr:uid="{00000000-0005-0000-0000-0000E1060000}"/>
    <cellStyle name="Normal 6 4 2 2 2" xfId="689" xr:uid="{00000000-0005-0000-0000-0000E2060000}"/>
    <cellStyle name="Normal 6 4 2 2 2 2" xfId="937" xr:uid="{00000000-0005-0000-0000-0000E3060000}"/>
    <cellStyle name="Normal 6 4 2 2 2 2 2" xfId="1441" xr:uid="{00000000-0005-0000-0000-0000E4060000}"/>
    <cellStyle name="Normal 6 4 2 2 2 2 2 2" xfId="2443" xr:uid="{00000000-0005-0000-0000-0000E5060000}"/>
    <cellStyle name="Normal 6 4 2 2 2 2 3" xfId="1942" xr:uid="{00000000-0005-0000-0000-0000E6060000}"/>
    <cellStyle name="Normal 6 4 2 2 2 3" xfId="1193" xr:uid="{00000000-0005-0000-0000-0000E7060000}"/>
    <cellStyle name="Normal 6 4 2 2 2 3 2" xfId="2195" xr:uid="{00000000-0005-0000-0000-0000E8060000}"/>
    <cellStyle name="Normal 6 4 2 2 2 4" xfId="1694" xr:uid="{00000000-0005-0000-0000-0000E9060000}"/>
    <cellStyle name="Normal 6 4 2 2 3" xfId="813" xr:uid="{00000000-0005-0000-0000-0000EA060000}"/>
    <cellStyle name="Normal 6 4 2 2 3 2" xfId="1317" xr:uid="{00000000-0005-0000-0000-0000EB060000}"/>
    <cellStyle name="Normal 6 4 2 2 3 2 2" xfId="2319" xr:uid="{00000000-0005-0000-0000-0000EC060000}"/>
    <cellStyle name="Normal 6 4 2 2 3 3" xfId="1818" xr:uid="{00000000-0005-0000-0000-0000ED060000}"/>
    <cellStyle name="Normal 6 4 2 2 4" xfId="1069" xr:uid="{00000000-0005-0000-0000-0000EE060000}"/>
    <cellStyle name="Normal 6 4 2 2 4 2" xfId="2071" xr:uid="{00000000-0005-0000-0000-0000EF060000}"/>
    <cellStyle name="Normal 6 4 2 2 5" xfId="1570" xr:uid="{00000000-0005-0000-0000-0000F0060000}"/>
    <cellStyle name="Normal 6 4 2 3" xfId="615" xr:uid="{00000000-0005-0000-0000-0000F1060000}"/>
    <cellStyle name="Normal 6 4 2 3 2" xfId="863" xr:uid="{00000000-0005-0000-0000-0000F2060000}"/>
    <cellStyle name="Normal 6 4 2 3 2 2" xfId="1367" xr:uid="{00000000-0005-0000-0000-0000F3060000}"/>
    <cellStyle name="Normal 6 4 2 3 2 2 2" xfId="2369" xr:uid="{00000000-0005-0000-0000-0000F4060000}"/>
    <cellStyle name="Normal 6 4 2 3 2 3" xfId="1868" xr:uid="{00000000-0005-0000-0000-0000F5060000}"/>
    <cellStyle name="Normal 6 4 2 3 3" xfId="1119" xr:uid="{00000000-0005-0000-0000-0000F6060000}"/>
    <cellStyle name="Normal 6 4 2 3 3 2" xfId="2121" xr:uid="{00000000-0005-0000-0000-0000F7060000}"/>
    <cellStyle name="Normal 6 4 2 3 4" xfId="1620" xr:uid="{00000000-0005-0000-0000-0000F8060000}"/>
    <cellStyle name="Normal 6 4 2 4" xfId="739" xr:uid="{00000000-0005-0000-0000-0000F9060000}"/>
    <cellStyle name="Normal 6 4 2 4 2" xfId="1243" xr:uid="{00000000-0005-0000-0000-0000FA060000}"/>
    <cellStyle name="Normal 6 4 2 4 2 2" xfId="2245" xr:uid="{00000000-0005-0000-0000-0000FB060000}"/>
    <cellStyle name="Normal 6 4 2 4 3" xfId="1744" xr:uid="{00000000-0005-0000-0000-0000FC060000}"/>
    <cellStyle name="Normal 6 4 2 5" xfId="995" xr:uid="{00000000-0005-0000-0000-0000FD060000}"/>
    <cellStyle name="Normal 6 4 2 5 2" xfId="1997" xr:uid="{00000000-0005-0000-0000-0000FE060000}"/>
    <cellStyle name="Normal 6 4 2 6" xfId="1496" xr:uid="{00000000-0005-0000-0000-0000FF060000}"/>
    <cellStyle name="Normal 6 4 3" xfId="511" xr:uid="{00000000-0005-0000-0000-000000070000}"/>
    <cellStyle name="Normal 6 4 3 2" xfId="566" xr:uid="{00000000-0005-0000-0000-000001070000}"/>
    <cellStyle name="Normal 6 4 3 2 2" xfId="690" xr:uid="{00000000-0005-0000-0000-000002070000}"/>
    <cellStyle name="Normal 6 4 3 2 2 2" xfId="938" xr:uid="{00000000-0005-0000-0000-000003070000}"/>
    <cellStyle name="Normal 6 4 3 2 2 2 2" xfId="1442" xr:uid="{00000000-0005-0000-0000-000004070000}"/>
    <cellStyle name="Normal 6 4 3 2 2 2 2 2" xfId="2444" xr:uid="{00000000-0005-0000-0000-000005070000}"/>
    <cellStyle name="Normal 6 4 3 2 2 2 3" xfId="1943" xr:uid="{00000000-0005-0000-0000-000006070000}"/>
    <cellStyle name="Normal 6 4 3 2 2 3" xfId="1194" xr:uid="{00000000-0005-0000-0000-000007070000}"/>
    <cellStyle name="Normal 6 4 3 2 2 3 2" xfId="2196" xr:uid="{00000000-0005-0000-0000-000008070000}"/>
    <cellStyle name="Normal 6 4 3 2 2 4" xfId="1695" xr:uid="{00000000-0005-0000-0000-000009070000}"/>
    <cellStyle name="Normal 6 4 3 2 3" xfId="814" xr:uid="{00000000-0005-0000-0000-00000A070000}"/>
    <cellStyle name="Normal 6 4 3 2 3 2" xfId="1318" xr:uid="{00000000-0005-0000-0000-00000B070000}"/>
    <cellStyle name="Normal 6 4 3 2 3 2 2" xfId="2320" xr:uid="{00000000-0005-0000-0000-00000C070000}"/>
    <cellStyle name="Normal 6 4 3 2 3 3" xfId="1819" xr:uid="{00000000-0005-0000-0000-00000D070000}"/>
    <cellStyle name="Normal 6 4 3 2 4" xfId="1070" xr:uid="{00000000-0005-0000-0000-00000E070000}"/>
    <cellStyle name="Normal 6 4 3 2 4 2" xfId="2072" xr:uid="{00000000-0005-0000-0000-00000F070000}"/>
    <cellStyle name="Normal 6 4 3 2 5" xfId="1571" xr:uid="{00000000-0005-0000-0000-000010070000}"/>
    <cellStyle name="Normal 6 4 3 3" xfId="635" xr:uid="{00000000-0005-0000-0000-000011070000}"/>
    <cellStyle name="Normal 6 4 3 3 2" xfId="883" xr:uid="{00000000-0005-0000-0000-000012070000}"/>
    <cellStyle name="Normal 6 4 3 3 2 2" xfId="1387" xr:uid="{00000000-0005-0000-0000-000013070000}"/>
    <cellStyle name="Normal 6 4 3 3 2 2 2" xfId="2389" xr:uid="{00000000-0005-0000-0000-000014070000}"/>
    <cellStyle name="Normal 6 4 3 3 2 3" xfId="1888" xr:uid="{00000000-0005-0000-0000-000015070000}"/>
    <cellStyle name="Normal 6 4 3 3 3" xfId="1139" xr:uid="{00000000-0005-0000-0000-000016070000}"/>
    <cellStyle name="Normal 6 4 3 3 3 2" xfId="2141" xr:uid="{00000000-0005-0000-0000-000017070000}"/>
    <cellStyle name="Normal 6 4 3 3 4" xfId="1640" xr:uid="{00000000-0005-0000-0000-000018070000}"/>
    <cellStyle name="Normal 6 4 3 4" xfId="759" xr:uid="{00000000-0005-0000-0000-000019070000}"/>
    <cellStyle name="Normal 6 4 3 4 2" xfId="1263" xr:uid="{00000000-0005-0000-0000-00001A070000}"/>
    <cellStyle name="Normal 6 4 3 4 2 2" xfId="2265" xr:uid="{00000000-0005-0000-0000-00001B070000}"/>
    <cellStyle name="Normal 6 4 3 4 3" xfId="1764" xr:uid="{00000000-0005-0000-0000-00001C070000}"/>
    <cellStyle name="Normal 6 4 3 5" xfId="1015" xr:uid="{00000000-0005-0000-0000-00001D070000}"/>
    <cellStyle name="Normal 6 4 3 5 2" xfId="2017" xr:uid="{00000000-0005-0000-0000-00001E070000}"/>
    <cellStyle name="Normal 6 4 3 6" xfId="1516" xr:uid="{00000000-0005-0000-0000-00001F070000}"/>
    <cellStyle name="Normal 6 4 4" xfId="564" xr:uid="{00000000-0005-0000-0000-000020070000}"/>
    <cellStyle name="Normal 6 4 4 2" xfId="688" xr:uid="{00000000-0005-0000-0000-000021070000}"/>
    <cellStyle name="Normal 6 4 4 2 2" xfId="936" xr:uid="{00000000-0005-0000-0000-000022070000}"/>
    <cellStyle name="Normal 6 4 4 2 2 2" xfId="1440" xr:uid="{00000000-0005-0000-0000-000023070000}"/>
    <cellStyle name="Normal 6 4 4 2 2 2 2" xfId="2442" xr:uid="{00000000-0005-0000-0000-000024070000}"/>
    <cellStyle name="Normal 6 4 4 2 2 3" xfId="1941" xr:uid="{00000000-0005-0000-0000-000025070000}"/>
    <cellStyle name="Normal 6 4 4 2 3" xfId="1192" xr:uid="{00000000-0005-0000-0000-000026070000}"/>
    <cellStyle name="Normal 6 4 4 2 3 2" xfId="2194" xr:uid="{00000000-0005-0000-0000-000027070000}"/>
    <cellStyle name="Normal 6 4 4 2 4" xfId="1693" xr:uid="{00000000-0005-0000-0000-000028070000}"/>
    <cellStyle name="Normal 6 4 4 3" xfId="812" xr:uid="{00000000-0005-0000-0000-000029070000}"/>
    <cellStyle name="Normal 6 4 4 3 2" xfId="1316" xr:uid="{00000000-0005-0000-0000-00002A070000}"/>
    <cellStyle name="Normal 6 4 4 3 2 2" xfId="2318" xr:uid="{00000000-0005-0000-0000-00002B070000}"/>
    <cellStyle name="Normal 6 4 4 3 3" xfId="1817" xr:uid="{00000000-0005-0000-0000-00002C070000}"/>
    <cellStyle name="Normal 6 4 4 4" xfId="1068" xr:uid="{00000000-0005-0000-0000-00002D070000}"/>
    <cellStyle name="Normal 6 4 4 4 2" xfId="2070" xr:uid="{00000000-0005-0000-0000-00002E070000}"/>
    <cellStyle name="Normal 6 4 4 5" xfId="1569" xr:uid="{00000000-0005-0000-0000-00002F070000}"/>
    <cellStyle name="Normal 6 4 5" xfId="593" xr:uid="{00000000-0005-0000-0000-000030070000}"/>
    <cellStyle name="Normal 6 4 5 2" xfId="841" xr:uid="{00000000-0005-0000-0000-000031070000}"/>
    <cellStyle name="Normal 6 4 5 2 2" xfId="1345" xr:uid="{00000000-0005-0000-0000-000032070000}"/>
    <cellStyle name="Normal 6 4 5 2 2 2" xfId="2347" xr:uid="{00000000-0005-0000-0000-000033070000}"/>
    <cellStyle name="Normal 6 4 5 2 3" xfId="1846" xr:uid="{00000000-0005-0000-0000-000034070000}"/>
    <cellStyle name="Normal 6 4 5 3" xfId="1097" xr:uid="{00000000-0005-0000-0000-000035070000}"/>
    <cellStyle name="Normal 6 4 5 3 2" xfId="2099" xr:uid="{00000000-0005-0000-0000-000036070000}"/>
    <cellStyle name="Normal 6 4 5 4" xfId="1598" xr:uid="{00000000-0005-0000-0000-000037070000}"/>
    <cellStyle name="Normal 6 4 6" xfId="717" xr:uid="{00000000-0005-0000-0000-000038070000}"/>
    <cellStyle name="Normal 6 4 6 2" xfId="1221" xr:uid="{00000000-0005-0000-0000-000039070000}"/>
    <cellStyle name="Normal 6 4 6 2 2" xfId="2223" xr:uid="{00000000-0005-0000-0000-00003A070000}"/>
    <cellStyle name="Normal 6 4 6 3" xfId="1722" xr:uid="{00000000-0005-0000-0000-00003B070000}"/>
    <cellStyle name="Normal 6 4 7" xfId="973" xr:uid="{00000000-0005-0000-0000-00003C070000}"/>
    <cellStyle name="Normal 6 4 7 2" xfId="1975" xr:uid="{00000000-0005-0000-0000-00003D070000}"/>
    <cellStyle name="Normal 6 4 8" xfId="1474" xr:uid="{00000000-0005-0000-0000-00003E070000}"/>
    <cellStyle name="Normal 6 5" xfId="463" xr:uid="{00000000-0005-0000-0000-00003F070000}"/>
    <cellStyle name="Normal 6 5 2" xfId="493" xr:uid="{00000000-0005-0000-0000-000040070000}"/>
    <cellStyle name="Normal 6 5 2 2" xfId="568" xr:uid="{00000000-0005-0000-0000-000041070000}"/>
    <cellStyle name="Normal 6 5 2 2 2" xfId="692" xr:uid="{00000000-0005-0000-0000-000042070000}"/>
    <cellStyle name="Normal 6 5 2 2 2 2" xfId="940" xr:uid="{00000000-0005-0000-0000-000043070000}"/>
    <cellStyle name="Normal 6 5 2 2 2 2 2" xfId="1444" xr:uid="{00000000-0005-0000-0000-000044070000}"/>
    <cellStyle name="Normal 6 5 2 2 2 2 2 2" xfId="2446" xr:uid="{00000000-0005-0000-0000-000045070000}"/>
    <cellStyle name="Normal 6 5 2 2 2 2 3" xfId="1945" xr:uid="{00000000-0005-0000-0000-000046070000}"/>
    <cellStyle name="Normal 6 5 2 2 2 3" xfId="1196" xr:uid="{00000000-0005-0000-0000-000047070000}"/>
    <cellStyle name="Normal 6 5 2 2 2 3 2" xfId="2198" xr:uid="{00000000-0005-0000-0000-000048070000}"/>
    <cellStyle name="Normal 6 5 2 2 2 4" xfId="1697" xr:uid="{00000000-0005-0000-0000-000049070000}"/>
    <cellStyle name="Normal 6 5 2 2 3" xfId="816" xr:uid="{00000000-0005-0000-0000-00004A070000}"/>
    <cellStyle name="Normal 6 5 2 2 3 2" xfId="1320" xr:uid="{00000000-0005-0000-0000-00004B070000}"/>
    <cellStyle name="Normal 6 5 2 2 3 2 2" xfId="2322" xr:uid="{00000000-0005-0000-0000-00004C070000}"/>
    <cellStyle name="Normal 6 5 2 2 3 3" xfId="1821" xr:uid="{00000000-0005-0000-0000-00004D070000}"/>
    <cellStyle name="Normal 6 5 2 2 4" xfId="1072" xr:uid="{00000000-0005-0000-0000-00004E070000}"/>
    <cellStyle name="Normal 6 5 2 2 4 2" xfId="2074" xr:uid="{00000000-0005-0000-0000-00004F070000}"/>
    <cellStyle name="Normal 6 5 2 2 5" xfId="1573" xr:uid="{00000000-0005-0000-0000-000050070000}"/>
    <cellStyle name="Normal 6 5 2 3" xfId="617" xr:uid="{00000000-0005-0000-0000-000051070000}"/>
    <cellStyle name="Normal 6 5 2 3 2" xfId="865" xr:uid="{00000000-0005-0000-0000-000052070000}"/>
    <cellStyle name="Normal 6 5 2 3 2 2" xfId="1369" xr:uid="{00000000-0005-0000-0000-000053070000}"/>
    <cellStyle name="Normal 6 5 2 3 2 2 2" xfId="2371" xr:uid="{00000000-0005-0000-0000-000054070000}"/>
    <cellStyle name="Normal 6 5 2 3 2 3" xfId="1870" xr:uid="{00000000-0005-0000-0000-000055070000}"/>
    <cellStyle name="Normal 6 5 2 3 3" xfId="1121" xr:uid="{00000000-0005-0000-0000-000056070000}"/>
    <cellStyle name="Normal 6 5 2 3 3 2" xfId="2123" xr:uid="{00000000-0005-0000-0000-000057070000}"/>
    <cellStyle name="Normal 6 5 2 3 4" xfId="1622" xr:uid="{00000000-0005-0000-0000-000058070000}"/>
    <cellStyle name="Normal 6 5 2 4" xfId="741" xr:uid="{00000000-0005-0000-0000-000059070000}"/>
    <cellStyle name="Normal 6 5 2 4 2" xfId="1245" xr:uid="{00000000-0005-0000-0000-00005A070000}"/>
    <cellStyle name="Normal 6 5 2 4 2 2" xfId="2247" xr:uid="{00000000-0005-0000-0000-00005B070000}"/>
    <cellStyle name="Normal 6 5 2 4 3" xfId="1746" xr:uid="{00000000-0005-0000-0000-00005C070000}"/>
    <cellStyle name="Normal 6 5 2 5" xfId="997" xr:uid="{00000000-0005-0000-0000-00005D070000}"/>
    <cellStyle name="Normal 6 5 2 5 2" xfId="1999" xr:uid="{00000000-0005-0000-0000-00005E070000}"/>
    <cellStyle name="Normal 6 5 2 6" xfId="1498" xr:uid="{00000000-0005-0000-0000-00005F070000}"/>
    <cellStyle name="Normal 6 5 3" xfId="513" xr:uid="{00000000-0005-0000-0000-000060070000}"/>
    <cellStyle name="Normal 6 5 3 2" xfId="569" xr:uid="{00000000-0005-0000-0000-000061070000}"/>
    <cellStyle name="Normal 6 5 3 2 2" xfId="693" xr:uid="{00000000-0005-0000-0000-000062070000}"/>
    <cellStyle name="Normal 6 5 3 2 2 2" xfId="941" xr:uid="{00000000-0005-0000-0000-000063070000}"/>
    <cellStyle name="Normal 6 5 3 2 2 2 2" xfId="1445" xr:uid="{00000000-0005-0000-0000-000064070000}"/>
    <cellStyle name="Normal 6 5 3 2 2 2 2 2" xfId="2447" xr:uid="{00000000-0005-0000-0000-000065070000}"/>
    <cellStyle name="Normal 6 5 3 2 2 2 3" xfId="1946" xr:uid="{00000000-0005-0000-0000-000066070000}"/>
    <cellStyle name="Normal 6 5 3 2 2 3" xfId="1197" xr:uid="{00000000-0005-0000-0000-000067070000}"/>
    <cellStyle name="Normal 6 5 3 2 2 3 2" xfId="2199" xr:uid="{00000000-0005-0000-0000-000068070000}"/>
    <cellStyle name="Normal 6 5 3 2 2 4" xfId="1698" xr:uid="{00000000-0005-0000-0000-000069070000}"/>
    <cellStyle name="Normal 6 5 3 2 3" xfId="817" xr:uid="{00000000-0005-0000-0000-00006A070000}"/>
    <cellStyle name="Normal 6 5 3 2 3 2" xfId="1321" xr:uid="{00000000-0005-0000-0000-00006B070000}"/>
    <cellStyle name="Normal 6 5 3 2 3 2 2" xfId="2323" xr:uid="{00000000-0005-0000-0000-00006C070000}"/>
    <cellStyle name="Normal 6 5 3 2 3 3" xfId="1822" xr:uid="{00000000-0005-0000-0000-00006D070000}"/>
    <cellStyle name="Normal 6 5 3 2 4" xfId="1073" xr:uid="{00000000-0005-0000-0000-00006E070000}"/>
    <cellStyle name="Normal 6 5 3 2 4 2" xfId="2075" xr:uid="{00000000-0005-0000-0000-00006F070000}"/>
    <cellStyle name="Normal 6 5 3 2 5" xfId="1574" xr:uid="{00000000-0005-0000-0000-000070070000}"/>
    <cellStyle name="Normal 6 5 3 3" xfId="637" xr:uid="{00000000-0005-0000-0000-000071070000}"/>
    <cellStyle name="Normal 6 5 3 3 2" xfId="885" xr:uid="{00000000-0005-0000-0000-000072070000}"/>
    <cellStyle name="Normal 6 5 3 3 2 2" xfId="1389" xr:uid="{00000000-0005-0000-0000-000073070000}"/>
    <cellStyle name="Normal 6 5 3 3 2 2 2" xfId="2391" xr:uid="{00000000-0005-0000-0000-000074070000}"/>
    <cellStyle name="Normal 6 5 3 3 2 3" xfId="1890" xr:uid="{00000000-0005-0000-0000-000075070000}"/>
    <cellStyle name="Normal 6 5 3 3 3" xfId="1141" xr:uid="{00000000-0005-0000-0000-000076070000}"/>
    <cellStyle name="Normal 6 5 3 3 3 2" xfId="2143" xr:uid="{00000000-0005-0000-0000-000077070000}"/>
    <cellStyle name="Normal 6 5 3 3 4" xfId="1642" xr:uid="{00000000-0005-0000-0000-000078070000}"/>
    <cellStyle name="Normal 6 5 3 4" xfId="761" xr:uid="{00000000-0005-0000-0000-000079070000}"/>
    <cellStyle name="Normal 6 5 3 4 2" xfId="1265" xr:uid="{00000000-0005-0000-0000-00007A070000}"/>
    <cellStyle name="Normal 6 5 3 4 2 2" xfId="2267" xr:uid="{00000000-0005-0000-0000-00007B070000}"/>
    <cellStyle name="Normal 6 5 3 4 3" xfId="1766" xr:uid="{00000000-0005-0000-0000-00007C070000}"/>
    <cellStyle name="Normal 6 5 3 5" xfId="1017" xr:uid="{00000000-0005-0000-0000-00007D070000}"/>
    <cellStyle name="Normal 6 5 3 5 2" xfId="2019" xr:uid="{00000000-0005-0000-0000-00007E070000}"/>
    <cellStyle name="Normal 6 5 3 6" xfId="1518" xr:uid="{00000000-0005-0000-0000-00007F070000}"/>
    <cellStyle name="Normal 6 5 4" xfId="567" xr:uid="{00000000-0005-0000-0000-000080070000}"/>
    <cellStyle name="Normal 6 5 4 2" xfId="691" xr:uid="{00000000-0005-0000-0000-000081070000}"/>
    <cellStyle name="Normal 6 5 4 2 2" xfId="939" xr:uid="{00000000-0005-0000-0000-000082070000}"/>
    <cellStyle name="Normal 6 5 4 2 2 2" xfId="1443" xr:uid="{00000000-0005-0000-0000-000083070000}"/>
    <cellStyle name="Normal 6 5 4 2 2 2 2" xfId="2445" xr:uid="{00000000-0005-0000-0000-000084070000}"/>
    <cellStyle name="Normal 6 5 4 2 2 3" xfId="1944" xr:uid="{00000000-0005-0000-0000-000085070000}"/>
    <cellStyle name="Normal 6 5 4 2 3" xfId="1195" xr:uid="{00000000-0005-0000-0000-000086070000}"/>
    <cellStyle name="Normal 6 5 4 2 3 2" xfId="2197" xr:uid="{00000000-0005-0000-0000-000087070000}"/>
    <cellStyle name="Normal 6 5 4 2 4" xfId="1696" xr:uid="{00000000-0005-0000-0000-000088070000}"/>
    <cellStyle name="Normal 6 5 4 3" xfId="815" xr:uid="{00000000-0005-0000-0000-000089070000}"/>
    <cellStyle name="Normal 6 5 4 3 2" xfId="1319" xr:uid="{00000000-0005-0000-0000-00008A070000}"/>
    <cellStyle name="Normal 6 5 4 3 2 2" xfId="2321" xr:uid="{00000000-0005-0000-0000-00008B070000}"/>
    <cellStyle name="Normal 6 5 4 3 3" xfId="1820" xr:uid="{00000000-0005-0000-0000-00008C070000}"/>
    <cellStyle name="Normal 6 5 4 4" xfId="1071" xr:uid="{00000000-0005-0000-0000-00008D070000}"/>
    <cellStyle name="Normal 6 5 4 4 2" xfId="2073" xr:uid="{00000000-0005-0000-0000-00008E070000}"/>
    <cellStyle name="Normal 6 5 4 5" xfId="1572" xr:uid="{00000000-0005-0000-0000-00008F070000}"/>
    <cellStyle name="Normal 6 5 5" xfId="595" xr:uid="{00000000-0005-0000-0000-000090070000}"/>
    <cellStyle name="Normal 6 5 5 2" xfId="843" xr:uid="{00000000-0005-0000-0000-000091070000}"/>
    <cellStyle name="Normal 6 5 5 2 2" xfId="1347" xr:uid="{00000000-0005-0000-0000-000092070000}"/>
    <cellStyle name="Normal 6 5 5 2 2 2" xfId="2349" xr:uid="{00000000-0005-0000-0000-000093070000}"/>
    <cellStyle name="Normal 6 5 5 2 3" xfId="1848" xr:uid="{00000000-0005-0000-0000-000094070000}"/>
    <cellStyle name="Normal 6 5 5 3" xfId="1099" xr:uid="{00000000-0005-0000-0000-000095070000}"/>
    <cellStyle name="Normal 6 5 5 3 2" xfId="2101" xr:uid="{00000000-0005-0000-0000-000096070000}"/>
    <cellStyle name="Normal 6 5 5 4" xfId="1600" xr:uid="{00000000-0005-0000-0000-000097070000}"/>
    <cellStyle name="Normal 6 5 6" xfId="719" xr:uid="{00000000-0005-0000-0000-000098070000}"/>
    <cellStyle name="Normal 6 5 6 2" xfId="1223" xr:uid="{00000000-0005-0000-0000-000099070000}"/>
    <cellStyle name="Normal 6 5 6 2 2" xfId="2225" xr:uid="{00000000-0005-0000-0000-00009A070000}"/>
    <cellStyle name="Normal 6 5 6 3" xfId="1724" xr:uid="{00000000-0005-0000-0000-00009B070000}"/>
    <cellStyle name="Normal 6 5 7" xfId="975" xr:uid="{00000000-0005-0000-0000-00009C070000}"/>
    <cellStyle name="Normal 6 5 7 2" xfId="1977" xr:uid="{00000000-0005-0000-0000-00009D070000}"/>
    <cellStyle name="Normal 6 5 8" xfId="1476" xr:uid="{00000000-0005-0000-0000-00009E070000}"/>
    <cellStyle name="Normal 6 6" xfId="465" xr:uid="{00000000-0005-0000-0000-00009F070000}"/>
    <cellStyle name="Normal 6 6 2" xfId="495" xr:uid="{00000000-0005-0000-0000-0000A0070000}"/>
    <cellStyle name="Normal 6 6 2 2" xfId="571" xr:uid="{00000000-0005-0000-0000-0000A1070000}"/>
    <cellStyle name="Normal 6 6 2 2 2" xfId="695" xr:uid="{00000000-0005-0000-0000-0000A2070000}"/>
    <cellStyle name="Normal 6 6 2 2 2 2" xfId="943" xr:uid="{00000000-0005-0000-0000-0000A3070000}"/>
    <cellStyle name="Normal 6 6 2 2 2 2 2" xfId="1447" xr:uid="{00000000-0005-0000-0000-0000A4070000}"/>
    <cellStyle name="Normal 6 6 2 2 2 2 2 2" xfId="2449" xr:uid="{00000000-0005-0000-0000-0000A5070000}"/>
    <cellStyle name="Normal 6 6 2 2 2 2 3" xfId="1948" xr:uid="{00000000-0005-0000-0000-0000A6070000}"/>
    <cellStyle name="Normal 6 6 2 2 2 3" xfId="1199" xr:uid="{00000000-0005-0000-0000-0000A7070000}"/>
    <cellStyle name="Normal 6 6 2 2 2 3 2" xfId="2201" xr:uid="{00000000-0005-0000-0000-0000A8070000}"/>
    <cellStyle name="Normal 6 6 2 2 2 4" xfId="1700" xr:uid="{00000000-0005-0000-0000-0000A9070000}"/>
    <cellStyle name="Normal 6 6 2 2 3" xfId="819" xr:uid="{00000000-0005-0000-0000-0000AA070000}"/>
    <cellStyle name="Normal 6 6 2 2 3 2" xfId="1323" xr:uid="{00000000-0005-0000-0000-0000AB070000}"/>
    <cellStyle name="Normal 6 6 2 2 3 2 2" xfId="2325" xr:uid="{00000000-0005-0000-0000-0000AC070000}"/>
    <cellStyle name="Normal 6 6 2 2 3 3" xfId="1824" xr:uid="{00000000-0005-0000-0000-0000AD070000}"/>
    <cellStyle name="Normal 6 6 2 2 4" xfId="1075" xr:uid="{00000000-0005-0000-0000-0000AE070000}"/>
    <cellStyle name="Normal 6 6 2 2 4 2" xfId="2077" xr:uid="{00000000-0005-0000-0000-0000AF070000}"/>
    <cellStyle name="Normal 6 6 2 2 5" xfId="1576" xr:uid="{00000000-0005-0000-0000-0000B0070000}"/>
    <cellStyle name="Normal 6 6 2 3" xfId="619" xr:uid="{00000000-0005-0000-0000-0000B1070000}"/>
    <cellStyle name="Normal 6 6 2 3 2" xfId="867" xr:uid="{00000000-0005-0000-0000-0000B2070000}"/>
    <cellStyle name="Normal 6 6 2 3 2 2" xfId="1371" xr:uid="{00000000-0005-0000-0000-0000B3070000}"/>
    <cellStyle name="Normal 6 6 2 3 2 2 2" xfId="2373" xr:uid="{00000000-0005-0000-0000-0000B4070000}"/>
    <cellStyle name="Normal 6 6 2 3 2 3" xfId="1872" xr:uid="{00000000-0005-0000-0000-0000B5070000}"/>
    <cellStyle name="Normal 6 6 2 3 3" xfId="1123" xr:uid="{00000000-0005-0000-0000-0000B6070000}"/>
    <cellStyle name="Normal 6 6 2 3 3 2" xfId="2125" xr:uid="{00000000-0005-0000-0000-0000B7070000}"/>
    <cellStyle name="Normal 6 6 2 3 4" xfId="1624" xr:uid="{00000000-0005-0000-0000-0000B8070000}"/>
    <cellStyle name="Normal 6 6 2 4" xfId="743" xr:uid="{00000000-0005-0000-0000-0000B9070000}"/>
    <cellStyle name="Normal 6 6 2 4 2" xfId="1247" xr:uid="{00000000-0005-0000-0000-0000BA070000}"/>
    <cellStyle name="Normal 6 6 2 4 2 2" xfId="2249" xr:uid="{00000000-0005-0000-0000-0000BB070000}"/>
    <cellStyle name="Normal 6 6 2 4 3" xfId="1748" xr:uid="{00000000-0005-0000-0000-0000BC070000}"/>
    <cellStyle name="Normal 6 6 2 5" xfId="999" xr:uid="{00000000-0005-0000-0000-0000BD070000}"/>
    <cellStyle name="Normal 6 6 2 5 2" xfId="2001" xr:uid="{00000000-0005-0000-0000-0000BE070000}"/>
    <cellStyle name="Normal 6 6 2 6" xfId="1500" xr:uid="{00000000-0005-0000-0000-0000BF070000}"/>
    <cellStyle name="Normal 6 6 3" xfId="515" xr:uid="{00000000-0005-0000-0000-0000C0070000}"/>
    <cellStyle name="Normal 6 6 3 2" xfId="572" xr:uid="{00000000-0005-0000-0000-0000C1070000}"/>
    <cellStyle name="Normal 6 6 3 2 2" xfId="696" xr:uid="{00000000-0005-0000-0000-0000C2070000}"/>
    <cellStyle name="Normal 6 6 3 2 2 2" xfId="944" xr:uid="{00000000-0005-0000-0000-0000C3070000}"/>
    <cellStyle name="Normal 6 6 3 2 2 2 2" xfId="1448" xr:uid="{00000000-0005-0000-0000-0000C4070000}"/>
    <cellStyle name="Normal 6 6 3 2 2 2 2 2" xfId="2450" xr:uid="{00000000-0005-0000-0000-0000C5070000}"/>
    <cellStyle name="Normal 6 6 3 2 2 2 3" xfId="1949" xr:uid="{00000000-0005-0000-0000-0000C6070000}"/>
    <cellStyle name="Normal 6 6 3 2 2 3" xfId="1200" xr:uid="{00000000-0005-0000-0000-0000C7070000}"/>
    <cellStyle name="Normal 6 6 3 2 2 3 2" xfId="2202" xr:uid="{00000000-0005-0000-0000-0000C8070000}"/>
    <cellStyle name="Normal 6 6 3 2 2 4" xfId="1701" xr:uid="{00000000-0005-0000-0000-0000C9070000}"/>
    <cellStyle name="Normal 6 6 3 2 3" xfId="820" xr:uid="{00000000-0005-0000-0000-0000CA070000}"/>
    <cellStyle name="Normal 6 6 3 2 3 2" xfId="1324" xr:uid="{00000000-0005-0000-0000-0000CB070000}"/>
    <cellStyle name="Normal 6 6 3 2 3 2 2" xfId="2326" xr:uid="{00000000-0005-0000-0000-0000CC070000}"/>
    <cellStyle name="Normal 6 6 3 2 3 3" xfId="1825" xr:uid="{00000000-0005-0000-0000-0000CD070000}"/>
    <cellStyle name="Normal 6 6 3 2 4" xfId="1076" xr:uid="{00000000-0005-0000-0000-0000CE070000}"/>
    <cellStyle name="Normal 6 6 3 2 4 2" xfId="2078" xr:uid="{00000000-0005-0000-0000-0000CF070000}"/>
    <cellStyle name="Normal 6 6 3 2 5" xfId="1577" xr:uid="{00000000-0005-0000-0000-0000D0070000}"/>
    <cellStyle name="Normal 6 6 3 3" xfId="639" xr:uid="{00000000-0005-0000-0000-0000D1070000}"/>
    <cellStyle name="Normal 6 6 3 3 2" xfId="887" xr:uid="{00000000-0005-0000-0000-0000D2070000}"/>
    <cellStyle name="Normal 6 6 3 3 2 2" xfId="1391" xr:uid="{00000000-0005-0000-0000-0000D3070000}"/>
    <cellStyle name="Normal 6 6 3 3 2 2 2" xfId="2393" xr:uid="{00000000-0005-0000-0000-0000D4070000}"/>
    <cellStyle name="Normal 6 6 3 3 2 3" xfId="1892" xr:uid="{00000000-0005-0000-0000-0000D5070000}"/>
    <cellStyle name="Normal 6 6 3 3 3" xfId="1143" xr:uid="{00000000-0005-0000-0000-0000D6070000}"/>
    <cellStyle name="Normal 6 6 3 3 3 2" xfId="2145" xr:uid="{00000000-0005-0000-0000-0000D7070000}"/>
    <cellStyle name="Normal 6 6 3 3 4" xfId="1644" xr:uid="{00000000-0005-0000-0000-0000D8070000}"/>
    <cellStyle name="Normal 6 6 3 4" xfId="763" xr:uid="{00000000-0005-0000-0000-0000D9070000}"/>
    <cellStyle name="Normal 6 6 3 4 2" xfId="1267" xr:uid="{00000000-0005-0000-0000-0000DA070000}"/>
    <cellStyle name="Normal 6 6 3 4 2 2" xfId="2269" xr:uid="{00000000-0005-0000-0000-0000DB070000}"/>
    <cellStyle name="Normal 6 6 3 4 3" xfId="1768" xr:uid="{00000000-0005-0000-0000-0000DC070000}"/>
    <cellStyle name="Normal 6 6 3 5" xfId="1019" xr:uid="{00000000-0005-0000-0000-0000DD070000}"/>
    <cellStyle name="Normal 6 6 3 5 2" xfId="2021" xr:uid="{00000000-0005-0000-0000-0000DE070000}"/>
    <cellStyle name="Normal 6 6 3 6" xfId="1520" xr:uid="{00000000-0005-0000-0000-0000DF070000}"/>
    <cellStyle name="Normal 6 6 4" xfId="570" xr:uid="{00000000-0005-0000-0000-0000E0070000}"/>
    <cellStyle name="Normal 6 6 4 2" xfId="694" xr:uid="{00000000-0005-0000-0000-0000E1070000}"/>
    <cellStyle name="Normal 6 6 4 2 2" xfId="942" xr:uid="{00000000-0005-0000-0000-0000E2070000}"/>
    <cellStyle name="Normal 6 6 4 2 2 2" xfId="1446" xr:uid="{00000000-0005-0000-0000-0000E3070000}"/>
    <cellStyle name="Normal 6 6 4 2 2 2 2" xfId="2448" xr:uid="{00000000-0005-0000-0000-0000E4070000}"/>
    <cellStyle name="Normal 6 6 4 2 2 3" xfId="1947" xr:uid="{00000000-0005-0000-0000-0000E5070000}"/>
    <cellStyle name="Normal 6 6 4 2 3" xfId="1198" xr:uid="{00000000-0005-0000-0000-0000E6070000}"/>
    <cellStyle name="Normal 6 6 4 2 3 2" xfId="2200" xr:uid="{00000000-0005-0000-0000-0000E7070000}"/>
    <cellStyle name="Normal 6 6 4 2 4" xfId="1699" xr:uid="{00000000-0005-0000-0000-0000E8070000}"/>
    <cellStyle name="Normal 6 6 4 3" xfId="818" xr:uid="{00000000-0005-0000-0000-0000E9070000}"/>
    <cellStyle name="Normal 6 6 4 3 2" xfId="1322" xr:uid="{00000000-0005-0000-0000-0000EA070000}"/>
    <cellStyle name="Normal 6 6 4 3 2 2" xfId="2324" xr:uid="{00000000-0005-0000-0000-0000EB070000}"/>
    <cellStyle name="Normal 6 6 4 3 3" xfId="1823" xr:uid="{00000000-0005-0000-0000-0000EC070000}"/>
    <cellStyle name="Normal 6 6 4 4" xfId="1074" xr:uid="{00000000-0005-0000-0000-0000ED070000}"/>
    <cellStyle name="Normal 6 6 4 4 2" xfId="2076" xr:uid="{00000000-0005-0000-0000-0000EE070000}"/>
    <cellStyle name="Normal 6 6 4 5" xfId="1575" xr:uid="{00000000-0005-0000-0000-0000EF070000}"/>
    <cellStyle name="Normal 6 6 5" xfId="597" xr:uid="{00000000-0005-0000-0000-0000F0070000}"/>
    <cellStyle name="Normal 6 6 5 2" xfId="845" xr:uid="{00000000-0005-0000-0000-0000F1070000}"/>
    <cellStyle name="Normal 6 6 5 2 2" xfId="1349" xr:uid="{00000000-0005-0000-0000-0000F2070000}"/>
    <cellStyle name="Normal 6 6 5 2 2 2" xfId="2351" xr:uid="{00000000-0005-0000-0000-0000F3070000}"/>
    <cellStyle name="Normal 6 6 5 2 3" xfId="1850" xr:uid="{00000000-0005-0000-0000-0000F4070000}"/>
    <cellStyle name="Normal 6 6 5 3" xfId="1101" xr:uid="{00000000-0005-0000-0000-0000F5070000}"/>
    <cellStyle name="Normal 6 6 5 3 2" xfId="2103" xr:uid="{00000000-0005-0000-0000-0000F6070000}"/>
    <cellStyle name="Normal 6 6 5 4" xfId="1602" xr:uid="{00000000-0005-0000-0000-0000F7070000}"/>
    <cellStyle name="Normal 6 6 6" xfId="721" xr:uid="{00000000-0005-0000-0000-0000F8070000}"/>
    <cellStyle name="Normal 6 6 6 2" xfId="1225" xr:uid="{00000000-0005-0000-0000-0000F9070000}"/>
    <cellStyle name="Normal 6 6 6 2 2" xfId="2227" xr:uid="{00000000-0005-0000-0000-0000FA070000}"/>
    <cellStyle name="Normal 6 6 6 3" xfId="1726" xr:uid="{00000000-0005-0000-0000-0000FB070000}"/>
    <cellStyle name="Normal 6 6 7" xfId="977" xr:uid="{00000000-0005-0000-0000-0000FC070000}"/>
    <cellStyle name="Normal 6 6 7 2" xfId="1979" xr:uid="{00000000-0005-0000-0000-0000FD070000}"/>
    <cellStyle name="Normal 6 6 8" xfId="1478" xr:uid="{00000000-0005-0000-0000-0000FE070000}"/>
    <cellStyle name="Normal 6 7" xfId="467" xr:uid="{00000000-0005-0000-0000-0000FF070000}"/>
    <cellStyle name="Normal 6 7 2" xfId="497" xr:uid="{00000000-0005-0000-0000-000000080000}"/>
    <cellStyle name="Normal 6 7 2 2" xfId="574" xr:uid="{00000000-0005-0000-0000-000001080000}"/>
    <cellStyle name="Normal 6 7 2 2 2" xfId="698" xr:uid="{00000000-0005-0000-0000-000002080000}"/>
    <cellStyle name="Normal 6 7 2 2 2 2" xfId="946" xr:uid="{00000000-0005-0000-0000-000003080000}"/>
    <cellStyle name="Normal 6 7 2 2 2 2 2" xfId="1450" xr:uid="{00000000-0005-0000-0000-000004080000}"/>
    <cellStyle name="Normal 6 7 2 2 2 2 2 2" xfId="2452" xr:uid="{00000000-0005-0000-0000-000005080000}"/>
    <cellStyle name="Normal 6 7 2 2 2 2 3" xfId="1951" xr:uid="{00000000-0005-0000-0000-000006080000}"/>
    <cellStyle name="Normal 6 7 2 2 2 3" xfId="1202" xr:uid="{00000000-0005-0000-0000-000007080000}"/>
    <cellStyle name="Normal 6 7 2 2 2 3 2" xfId="2204" xr:uid="{00000000-0005-0000-0000-000008080000}"/>
    <cellStyle name="Normal 6 7 2 2 2 4" xfId="1703" xr:uid="{00000000-0005-0000-0000-000009080000}"/>
    <cellStyle name="Normal 6 7 2 2 3" xfId="822" xr:uid="{00000000-0005-0000-0000-00000A080000}"/>
    <cellStyle name="Normal 6 7 2 2 3 2" xfId="1326" xr:uid="{00000000-0005-0000-0000-00000B080000}"/>
    <cellStyle name="Normal 6 7 2 2 3 2 2" xfId="2328" xr:uid="{00000000-0005-0000-0000-00000C080000}"/>
    <cellStyle name="Normal 6 7 2 2 3 3" xfId="1827" xr:uid="{00000000-0005-0000-0000-00000D080000}"/>
    <cellStyle name="Normal 6 7 2 2 4" xfId="1078" xr:uid="{00000000-0005-0000-0000-00000E080000}"/>
    <cellStyle name="Normal 6 7 2 2 4 2" xfId="2080" xr:uid="{00000000-0005-0000-0000-00000F080000}"/>
    <cellStyle name="Normal 6 7 2 2 5" xfId="1579" xr:uid="{00000000-0005-0000-0000-000010080000}"/>
    <cellStyle name="Normal 6 7 2 3" xfId="621" xr:uid="{00000000-0005-0000-0000-000011080000}"/>
    <cellStyle name="Normal 6 7 2 3 2" xfId="869" xr:uid="{00000000-0005-0000-0000-000012080000}"/>
    <cellStyle name="Normal 6 7 2 3 2 2" xfId="1373" xr:uid="{00000000-0005-0000-0000-000013080000}"/>
    <cellStyle name="Normal 6 7 2 3 2 2 2" xfId="2375" xr:uid="{00000000-0005-0000-0000-000014080000}"/>
    <cellStyle name="Normal 6 7 2 3 2 3" xfId="1874" xr:uid="{00000000-0005-0000-0000-000015080000}"/>
    <cellStyle name="Normal 6 7 2 3 3" xfId="1125" xr:uid="{00000000-0005-0000-0000-000016080000}"/>
    <cellStyle name="Normal 6 7 2 3 3 2" xfId="2127" xr:uid="{00000000-0005-0000-0000-000017080000}"/>
    <cellStyle name="Normal 6 7 2 3 4" xfId="1626" xr:uid="{00000000-0005-0000-0000-000018080000}"/>
    <cellStyle name="Normal 6 7 2 4" xfId="745" xr:uid="{00000000-0005-0000-0000-000019080000}"/>
    <cellStyle name="Normal 6 7 2 4 2" xfId="1249" xr:uid="{00000000-0005-0000-0000-00001A080000}"/>
    <cellStyle name="Normal 6 7 2 4 2 2" xfId="2251" xr:uid="{00000000-0005-0000-0000-00001B080000}"/>
    <cellStyle name="Normal 6 7 2 4 3" xfId="1750" xr:uid="{00000000-0005-0000-0000-00001C080000}"/>
    <cellStyle name="Normal 6 7 2 5" xfId="1001" xr:uid="{00000000-0005-0000-0000-00001D080000}"/>
    <cellStyle name="Normal 6 7 2 5 2" xfId="2003" xr:uid="{00000000-0005-0000-0000-00001E080000}"/>
    <cellStyle name="Normal 6 7 2 6" xfId="1502" xr:uid="{00000000-0005-0000-0000-00001F080000}"/>
    <cellStyle name="Normal 6 7 3" xfId="517" xr:uid="{00000000-0005-0000-0000-000020080000}"/>
    <cellStyle name="Normal 6 7 3 2" xfId="575" xr:uid="{00000000-0005-0000-0000-000021080000}"/>
    <cellStyle name="Normal 6 7 3 2 2" xfId="699" xr:uid="{00000000-0005-0000-0000-000022080000}"/>
    <cellStyle name="Normal 6 7 3 2 2 2" xfId="947" xr:uid="{00000000-0005-0000-0000-000023080000}"/>
    <cellStyle name="Normal 6 7 3 2 2 2 2" xfId="1451" xr:uid="{00000000-0005-0000-0000-000024080000}"/>
    <cellStyle name="Normal 6 7 3 2 2 2 2 2" xfId="2453" xr:uid="{00000000-0005-0000-0000-000025080000}"/>
    <cellStyle name="Normal 6 7 3 2 2 2 3" xfId="1952" xr:uid="{00000000-0005-0000-0000-000026080000}"/>
    <cellStyle name="Normal 6 7 3 2 2 3" xfId="1203" xr:uid="{00000000-0005-0000-0000-000027080000}"/>
    <cellStyle name="Normal 6 7 3 2 2 3 2" xfId="2205" xr:uid="{00000000-0005-0000-0000-000028080000}"/>
    <cellStyle name="Normal 6 7 3 2 2 4" xfId="1704" xr:uid="{00000000-0005-0000-0000-000029080000}"/>
    <cellStyle name="Normal 6 7 3 2 3" xfId="823" xr:uid="{00000000-0005-0000-0000-00002A080000}"/>
    <cellStyle name="Normal 6 7 3 2 3 2" xfId="1327" xr:uid="{00000000-0005-0000-0000-00002B080000}"/>
    <cellStyle name="Normal 6 7 3 2 3 2 2" xfId="2329" xr:uid="{00000000-0005-0000-0000-00002C080000}"/>
    <cellStyle name="Normal 6 7 3 2 3 3" xfId="1828" xr:uid="{00000000-0005-0000-0000-00002D080000}"/>
    <cellStyle name="Normal 6 7 3 2 4" xfId="1079" xr:uid="{00000000-0005-0000-0000-00002E080000}"/>
    <cellStyle name="Normal 6 7 3 2 4 2" xfId="2081" xr:uid="{00000000-0005-0000-0000-00002F080000}"/>
    <cellStyle name="Normal 6 7 3 2 5" xfId="1580" xr:uid="{00000000-0005-0000-0000-000030080000}"/>
    <cellStyle name="Normal 6 7 3 3" xfId="641" xr:uid="{00000000-0005-0000-0000-000031080000}"/>
    <cellStyle name="Normal 6 7 3 3 2" xfId="889" xr:uid="{00000000-0005-0000-0000-000032080000}"/>
    <cellStyle name="Normal 6 7 3 3 2 2" xfId="1393" xr:uid="{00000000-0005-0000-0000-000033080000}"/>
    <cellStyle name="Normal 6 7 3 3 2 2 2" xfId="2395" xr:uid="{00000000-0005-0000-0000-000034080000}"/>
    <cellStyle name="Normal 6 7 3 3 2 3" xfId="1894" xr:uid="{00000000-0005-0000-0000-000035080000}"/>
    <cellStyle name="Normal 6 7 3 3 3" xfId="1145" xr:uid="{00000000-0005-0000-0000-000036080000}"/>
    <cellStyle name="Normal 6 7 3 3 3 2" xfId="2147" xr:uid="{00000000-0005-0000-0000-000037080000}"/>
    <cellStyle name="Normal 6 7 3 3 4" xfId="1646" xr:uid="{00000000-0005-0000-0000-000038080000}"/>
    <cellStyle name="Normal 6 7 3 4" xfId="765" xr:uid="{00000000-0005-0000-0000-000039080000}"/>
    <cellStyle name="Normal 6 7 3 4 2" xfId="1269" xr:uid="{00000000-0005-0000-0000-00003A080000}"/>
    <cellStyle name="Normal 6 7 3 4 2 2" xfId="2271" xr:uid="{00000000-0005-0000-0000-00003B080000}"/>
    <cellStyle name="Normal 6 7 3 4 3" xfId="1770" xr:uid="{00000000-0005-0000-0000-00003C080000}"/>
    <cellStyle name="Normal 6 7 3 5" xfId="1021" xr:uid="{00000000-0005-0000-0000-00003D080000}"/>
    <cellStyle name="Normal 6 7 3 5 2" xfId="2023" xr:uid="{00000000-0005-0000-0000-00003E080000}"/>
    <cellStyle name="Normal 6 7 3 6" xfId="1522" xr:uid="{00000000-0005-0000-0000-00003F080000}"/>
    <cellStyle name="Normal 6 7 4" xfId="573" xr:uid="{00000000-0005-0000-0000-000040080000}"/>
    <cellStyle name="Normal 6 7 4 2" xfId="697" xr:uid="{00000000-0005-0000-0000-000041080000}"/>
    <cellStyle name="Normal 6 7 4 2 2" xfId="945" xr:uid="{00000000-0005-0000-0000-000042080000}"/>
    <cellStyle name="Normal 6 7 4 2 2 2" xfId="1449" xr:uid="{00000000-0005-0000-0000-000043080000}"/>
    <cellStyle name="Normal 6 7 4 2 2 2 2" xfId="2451" xr:uid="{00000000-0005-0000-0000-000044080000}"/>
    <cellStyle name="Normal 6 7 4 2 2 3" xfId="1950" xr:uid="{00000000-0005-0000-0000-000045080000}"/>
    <cellStyle name="Normal 6 7 4 2 3" xfId="1201" xr:uid="{00000000-0005-0000-0000-000046080000}"/>
    <cellStyle name="Normal 6 7 4 2 3 2" xfId="2203" xr:uid="{00000000-0005-0000-0000-000047080000}"/>
    <cellStyle name="Normal 6 7 4 2 4" xfId="1702" xr:uid="{00000000-0005-0000-0000-000048080000}"/>
    <cellStyle name="Normal 6 7 4 3" xfId="821" xr:uid="{00000000-0005-0000-0000-000049080000}"/>
    <cellStyle name="Normal 6 7 4 3 2" xfId="1325" xr:uid="{00000000-0005-0000-0000-00004A080000}"/>
    <cellStyle name="Normal 6 7 4 3 2 2" xfId="2327" xr:uid="{00000000-0005-0000-0000-00004B080000}"/>
    <cellStyle name="Normal 6 7 4 3 3" xfId="1826" xr:uid="{00000000-0005-0000-0000-00004C080000}"/>
    <cellStyle name="Normal 6 7 4 4" xfId="1077" xr:uid="{00000000-0005-0000-0000-00004D080000}"/>
    <cellStyle name="Normal 6 7 4 4 2" xfId="2079" xr:uid="{00000000-0005-0000-0000-00004E080000}"/>
    <cellStyle name="Normal 6 7 4 5" xfId="1578" xr:uid="{00000000-0005-0000-0000-00004F080000}"/>
    <cellStyle name="Normal 6 7 5" xfId="599" xr:uid="{00000000-0005-0000-0000-000050080000}"/>
    <cellStyle name="Normal 6 7 5 2" xfId="847" xr:uid="{00000000-0005-0000-0000-000051080000}"/>
    <cellStyle name="Normal 6 7 5 2 2" xfId="1351" xr:uid="{00000000-0005-0000-0000-000052080000}"/>
    <cellStyle name="Normal 6 7 5 2 2 2" xfId="2353" xr:uid="{00000000-0005-0000-0000-000053080000}"/>
    <cellStyle name="Normal 6 7 5 2 3" xfId="1852" xr:uid="{00000000-0005-0000-0000-000054080000}"/>
    <cellStyle name="Normal 6 7 5 3" xfId="1103" xr:uid="{00000000-0005-0000-0000-000055080000}"/>
    <cellStyle name="Normal 6 7 5 3 2" xfId="2105" xr:uid="{00000000-0005-0000-0000-000056080000}"/>
    <cellStyle name="Normal 6 7 5 4" xfId="1604" xr:uid="{00000000-0005-0000-0000-000057080000}"/>
    <cellStyle name="Normal 6 7 6" xfId="723" xr:uid="{00000000-0005-0000-0000-000058080000}"/>
    <cellStyle name="Normal 6 7 6 2" xfId="1227" xr:uid="{00000000-0005-0000-0000-000059080000}"/>
    <cellStyle name="Normal 6 7 6 2 2" xfId="2229" xr:uid="{00000000-0005-0000-0000-00005A080000}"/>
    <cellStyle name="Normal 6 7 6 3" xfId="1728" xr:uid="{00000000-0005-0000-0000-00005B080000}"/>
    <cellStyle name="Normal 6 7 7" xfId="979" xr:uid="{00000000-0005-0000-0000-00005C080000}"/>
    <cellStyle name="Normal 6 7 7 2" xfId="1981" xr:uid="{00000000-0005-0000-0000-00005D080000}"/>
    <cellStyle name="Normal 6 7 8" xfId="1480" xr:uid="{00000000-0005-0000-0000-00005E080000}"/>
    <cellStyle name="Normal 6 8" xfId="469" xr:uid="{00000000-0005-0000-0000-00005F080000}"/>
    <cellStyle name="Normal 6 8 2" xfId="499" xr:uid="{00000000-0005-0000-0000-000060080000}"/>
    <cellStyle name="Normal 6 8 2 2" xfId="577" xr:uid="{00000000-0005-0000-0000-000061080000}"/>
    <cellStyle name="Normal 6 8 2 2 2" xfId="701" xr:uid="{00000000-0005-0000-0000-000062080000}"/>
    <cellStyle name="Normal 6 8 2 2 2 2" xfId="949" xr:uid="{00000000-0005-0000-0000-000063080000}"/>
    <cellStyle name="Normal 6 8 2 2 2 2 2" xfId="1453" xr:uid="{00000000-0005-0000-0000-000064080000}"/>
    <cellStyle name="Normal 6 8 2 2 2 2 2 2" xfId="2455" xr:uid="{00000000-0005-0000-0000-000065080000}"/>
    <cellStyle name="Normal 6 8 2 2 2 2 3" xfId="1954" xr:uid="{00000000-0005-0000-0000-000066080000}"/>
    <cellStyle name="Normal 6 8 2 2 2 3" xfId="1205" xr:uid="{00000000-0005-0000-0000-000067080000}"/>
    <cellStyle name="Normal 6 8 2 2 2 3 2" xfId="2207" xr:uid="{00000000-0005-0000-0000-000068080000}"/>
    <cellStyle name="Normal 6 8 2 2 2 4" xfId="1706" xr:uid="{00000000-0005-0000-0000-000069080000}"/>
    <cellStyle name="Normal 6 8 2 2 3" xfId="825" xr:uid="{00000000-0005-0000-0000-00006A080000}"/>
    <cellStyle name="Normal 6 8 2 2 3 2" xfId="1329" xr:uid="{00000000-0005-0000-0000-00006B080000}"/>
    <cellStyle name="Normal 6 8 2 2 3 2 2" xfId="2331" xr:uid="{00000000-0005-0000-0000-00006C080000}"/>
    <cellStyle name="Normal 6 8 2 2 3 3" xfId="1830" xr:uid="{00000000-0005-0000-0000-00006D080000}"/>
    <cellStyle name="Normal 6 8 2 2 4" xfId="1081" xr:uid="{00000000-0005-0000-0000-00006E080000}"/>
    <cellStyle name="Normal 6 8 2 2 4 2" xfId="2083" xr:uid="{00000000-0005-0000-0000-00006F080000}"/>
    <cellStyle name="Normal 6 8 2 2 5" xfId="1582" xr:uid="{00000000-0005-0000-0000-000070080000}"/>
    <cellStyle name="Normal 6 8 2 3" xfId="623" xr:uid="{00000000-0005-0000-0000-000071080000}"/>
    <cellStyle name="Normal 6 8 2 3 2" xfId="871" xr:uid="{00000000-0005-0000-0000-000072080000}"/>
    <cellStyle name="Normal 6 8 2 3 2 2" xfId="1375" xr:uid="{00000000-0005-0000-0000-000073080000}"/>
    <cellStyle name="Normal 6 8 2 3 2 2 2" xfId="2377" xr:uid="{00000000-0005-0000-0000-000074080000}"/>
    <cellStyle name="Normal 6 8 2 3 2 3" xfId="1876" xr:uid="{00000000-0005-0000-0000-000075080000}"/>
    <cellStyle name="Normal 6 8 2 3 3" xfId="1127" xr:uid="{00000000-0005-0000-0000-000076080000}"/>
    <cellStyle name="Normal 6 8 2 3 3 2" xfId="2129" xr:uid="{00000000-0005-0000-0000-000077080000}"/>
    <cellStyle name="Normal 6 8 2 3 4" xfId="1628" xr:uid="{00000000-0005-0000-0000-000078080000}"/>
    <cellStyle name="Normal 6 8 2 4" xfId="747" xr:uid="{00000000-0005-0000-0000-000079080000}"/>
    <cellStyle name="Normal 6 8 2 4 2" xfId="1251" xr:uid="{00000000-0005-0000-0000-00007A080000}"/>
    <cellStyle name="Normal 6 8 2 4 2 2" xfId="2253" xr:uid="{00000000-0005-0000-0000-00007B080000}"/>
    <cellStyle name="Normal 6 8 2 4 3" xfId="1752" xr:uid="{00000000-0005-0000-0000-00007C080000}"/>
    <cellStyle name="Normal 6 8 2 5" xfId="1003" xr:uid="{00000000-0005-0000-0000-00007D080000}"/>
    <cellStyle name="Normal 6 8 2 5 2" xfId="2005" xr:uid="{00000000-0005-0000-0000-00007E080000}"/>
    <cellStyle name="Normal 6 8 2 6" xfId="1504" xr:uid="{00000000-0005-0000-0000-00007F080000}"/>
    <cellStyle name="Normal 6 8 3" xfId="519" xr:uid="{00000000-0005-0000-0000-000080080000}"/>
    <cellStyle name="Normal 6 8 3 2" xfId="578" xr:uid="{00000000-0005-0000-0000-000081080000}"/>
    <cellStyle name="Normal 6 8 3 2 2" xfId="702" xr:uid="{00000000-0005-0000-0000-000082080000}"/>
    <cellStyle name="Normal 6 8 3 2 2 2" xfId="950" xr:uid="{00000000-0005-0000-0000-000083080000}"/>
    <cellStyle name="Normal 6 8 3 2 2 2 2" xfId="1454" xr:uid="{00000000-0005-0000-0000-000084080000}"/>
    <cellStyle name="Normal 6 8 3 2 2 2 2 2" xfId="2456" xr:uid="{00000000-0005-0000-0000-000085080000}"/>
    <cellStyle name="Normal 6 8 3 2 2 2 3" xfId="1955" xr:uid="{00000000-0005-0000-0000-000086080000}"/>
    <cellStyle name="Normal 6 8 3 2 2 3" xfId="1206" xr:uid="{00000000-0005-0000-0000-000087080000}"/>
    <cellStyle name="Normal 6 8 3 2 2 3 2" xfId="2208" xr:uid="{00000000-0005-0000-0000-000088080000}"/>
    <cellStyle name="Normal 6 8 3 2 2 4" xfId="1707" xr:uid="{00000000-0005-0000-0000-000089080000}"/>
    <cellStyle name="Normal 6 8 3 2 3" xfId="826" xr:uid="{00000000-0005-0000-0000-00008A080000}"/>
    <cellStyle name="Normal 6 8 3 2 3 2" xfId="1330" xr:uid="{00000000-0005-0000-0000-00008B080000}"/>
    <cellStyle name="Normal 6 8 3 2 3 2 2" xfId="2332" xr:uid="{00000000-0005-0000-0000-00008C080000}"/>
    <cellStyle name="Normal 6 8 3 2 3 3" xfId="1831" xr:uid="{00000000-0005-0000-0000-00008D080000}"/>
    <cellStyle name="Normal 6 8 3 2 4" xfId="1082" xr:uid="{00000000-0005-0000-0000-00008E080000}"/>
    <cellStyle name="Normal 6 8 3 2 4 2" xfId="2084" xr:uid="{00000000-0005-0000-0000-00008F080000}"/>
    <cellStyle name="Normal 6 8 3 2 5" xfId="1583" xr:uid="{00000000-0005-0000-0000-000090080000}"/>
    <cellStyle name="Normal 6 8 3 3" xfId="643" xr:uid="{00000000-0005-0000-0000-000091080000}"/>
    <cellStyle name="Normal 6 8 3 3 2" xfId="891" xr:uid="{00000000-0005-0000-0000-000092080000}"/>
    <cellStyle name="Normal 6 8 3 3 2 2" xfId="1395" xr:uid="{00000000-0005-0000-0000-000093080000}"/>
    <cellStyle name="Normal 6 8 3 3 2 2 2" xfId="2397" xr:uid="{00000000-0005-0000-0000-000094080000}"/>
    <cellStyle name="Normal 6 8 3 3 2 3" xfId="1896" xr:uid="{00000000-0005-0000-0000-000095080000}"/>
    <cellStyle name="Normal 6 8 3 3 3" xfId="1147" xr:uid="{00000000-0005-0000-0000-000096080000}"/>
    <cellStyle name="Normal 6 8 3 3 3 2" xfId="2149" xr:uid="{00000000-0005-0000-0000-000097080000}"/>
    <cellStyle name="Normal 6 8 3 3 4" xfId="1648" xr:uid="{00000000-0005-0000-0000-000098080000}"/>
    <cellStyle name="Normal 6 8 3 4" xfId="767" xr:uid="{00000000-0005-0000-0000-000099080000}"/>
    <cellStyle name="Normal 6 8 3 4 2" xfId="1271" xr:uid="{00000000-0005-0000-0000-00009A080000}"/>
    <cellStyle name="Normal 6 8 3 4 2 2" xfId="2273" xr:uid="{00000000-0005-0000-0000-00009B080000}"/>
    <cellStyle name="Normal 6 8 3 4 3" xfId="1772" xr:uid="{00000000-0005-0000-0000-00009C080000}"/>
    <cellStyle name="Normal 6 8 3 5" xfId="1023" xr:uid="{00000000-0005-0000-0000-00009D080000}"/>
    <cellStyle name="Normal 6 8 3 5 2" xfId="2025" xr:uid="{00000000-0005-0000-0000-00009E080000}"/>
    <cellStyle name="Normal 6 8 3 6" xfId="1524" xr:uid="{00000000-0005-0000-0000-00009F080000}"/>
    <cellStyle name="Normal 6 8 4" xfId="576" xr:uid="{00000000-0005-0000-0000-0000A0080000}"/>
    <cellStyle name="Normal 6 8 4 2" xfId="700" xr:uid="{00000000-0005-0000-0000-0000A1080000}"/>
    <cellStyle name="Normal 6 8 4 2 2" xfId="948" xr:uid="{00000000-0005-0000-0000-0000A2080000}"/>
    <cellStyle name="Normal 6 8 4 2 2 2" xfId="1452" xr:uid="{00000000-0005-0000-0000-0000A3080000}"/>
    <cellStyle name="Normal 6 8 4 2 2 2 2" xfId="2454" xr:uid="{00000000-0005-0000-0000-0000A4080000}"/>
    <cellStyle name="Normal 6 8 4 2 2 3" xfId="1953" xr:uid="{00000000-0005-0000-0000-0000A5080000}"/>
    <cellStyle name="Normal 6 8 4 2 3" xfId="1204" xr:uid="{00000000-0005-0000-0000-0000A6080000}"/>
    <cellStyle name="Normal 6 8 4 2 3 2" xfId="2206" xr:uid="{00000000-0005-0000-0000-0000A7080000}"/>
    <cellStyle name="Normal 6 8 4 2 4" xfId="1705" xr:uid="{00000000-0005-0000-0000-0000A8080000}"/>
    <cellStyle name="Normal 6 8 4 3" xfId="824" xr:uid="{00000000-0005-0000-0000-0000A9080000}"/>
    <cellStyle name="Normal 6 8 4 3 2" xfId="1328" xr:uid="{00000000-0005-0000-0000-0000AA080000}"/>
    <cellStyle name="Normal 6 8 4 3 2 2" xfId="2330" xr:uid="{00000000-0005-0000-0000-0000AB080000}"/>
    <cellStyle name="Normal 6 8 4 3 3" xfId="1829" xr:uid="{00000000-0005-0000-0000-0000AC080000}"/>
    <cellStyle name="Normal 6 8 4 4" xfId="1080" xr:uid="{00000000-0005-0000-0000-0000AD080000}"/>
    <cellStyle name="Normal 6 8 4 4 2" xfId="2082" xr:uid="{00000000-0005-0000-0000-0000AE080000}"/>
    <cellStyle name="Normal 6 8 4 5" xfId="1581" xr:uid="{00000000-0005-0000-0000-0000AF080000}"/>
    <cellStyle name="Normal 6 8 5" xfId="601" xr:uid="{00000000-0005-0000-0000-0000B0080000}"/>
    <cellStyle name="Normal 6 8 5 2" xfId="849" xr:uid="{00000000-0005-0000-0000-0000B1080000}"/>
    <cellStyle name="Normal 6 8 5 2 2" xfId="1353" xr:uid="{00000000-0005-0000-0000-0000B2080000}"/>
    <cellStyle name="Normal 6 8 5 2 2 2" xfId="2355" xr:uid="{00000000-0005-0000-0000-0000B3080000}"/>
    <cellStyle name="Normal 6 8 5 2 3" xfId="1854" xr:uid="{00000000-0005-0000-0000-0000B4080000}"/>
    <cellStyle name="Normal 6 8 5 3" xfId="1105" xr:uid="{00000000-0005-0000-0000-0000B5080000}"/>
    <cellStyle name="Normal 6 8 5 3 2" xfId="2107" xr:uid="{00000000-0005-0000-0000-0000B6080000}"/>
    <cellStyle name="Normal 6 8 5 4" xfId="1606" xr:uid="{00000000-0005-0000-0000-0000B7080000}"/>
    <cellStyle name="Normal 6 8 6" xfId="725" xr:uid="{00000000-0005-0000-0000-0000B8080000}"/>
    <cellStyle name="Normal 6 8 6 2" xfId="1229" xr:uid="{00000000-0005-0000-0000-0000B9080000}"/>
    <cellStyle name="Normal 6 8 6 2 2" xfId="2231" xr:uid="{00000000-0005-0000-0000-0000BA080000}"/>
    <cellStyle name="Normal 6 8 6 3" xfId="1730" xr:uid="{00000000-0005-0000-0000-0000BB080000}"/>
    <cellStyle name="Normal 6 8 7" xfId="981" xr:uid="{00000000-0005-0000-0000-0000BC080000}"/>
    <cellStyle name="Normal 6 8 7 2" xfId="1983" xr:uid="{00000000-0005-0000-0000-0000BD080000}"/>
    <cellStyle name="Normal 6 8 8" xfId="1482" xr:uid="{00000000-0005-0000-0000-0000BE080000}"/>
    <cellStyle name="Normal 6 9" xfId="483" xr:uid="{00000000-0005-0000-0000-0000BF080000}"/>
    <cellStyle name="Normal 7" xfId="321" xr:uid="{00000000-0005-0000-0000-0000C0080000}"/>
    <cellStyle name="Normal 8" xfId="322" xr:uid="{00000000-0005-0000-0000-0000C1080000}"/>
    <cellStyle name="Normal 9" xfId="323" xr:uid="{00000000-0005-0000-0000-0000C2080000}"/>
    <cellStyle name="Note 10" xfId="324" xr:uid="{00000000-0005-0000-0000-0000C3080000}"/>
    <cellStyle name="Note 11" xfId="325" xr:uid="{00000000-0005-0000-0000-0000C4080000}"/>
    <cellStyle name="Note 2" xfId="326" xr:uid="{00000000-0005-0000-0000-0000C5080000}"/>
    <cellStyle name="Note 2 2" xfId="327" xr:uid="{00000000-0005-0000-0000-0000C6080000}"/>
    <cellStyle name="Note 2_Allocators" xfId="328" xr:uid="{00000000-0005-0000-0000-0000C7080000}"/>
    <cellStyle name="Note 3" xfId="329" xr:uid="{00000000-0005-0000-0000-0000C8080000}"/>
    <cellStyle name="Note 3 2" xfId="330" xr:uid="{00000000-0005-0000-0000-0000C9080000}"/>
    <cellStyle name="Note 3 3" xfId="331" xr:uid="{00000000-0005-0000-0000-0000CA080000}"/>
    <cellStyle name="Note 3_Allocators" xfId="332" xr:uid="{00000000-0005-0000-0000-0000CB080000}"/>
    <cellStyle name="Note 4" xfId="333" xr:uid="{00000000-0005-0000-0000-0000CC080000}"/>
    <cellStyle name="Note 4 2" xfId="334" xr:uid="{00000000-0005-0000-0000-0000CD080000}"/>
    <cellStyle name="Note 4_Allocators" xfId="335" xr:uid="{00000000-0005-0000-0000-0000CE080000}"/>
    <cellStyle name="Note 5" xfId="336" xr:uid="{00000000-0005-0000-0000-0000CF080000}"/>
    <cellStyle name="Note 6" xfId="337" xr:uid="{00000000-0005-0000-0000-0000D0080000}"/>
    <cellStyle name="Note 6 2" xfId="338" xr:uid="{00000000-0005-0000-0000-0000D1080000}"/>
    <cellStyle name="Note 6_Allocators" xfId="339" xr:uid="{00000000-0005-0000-0000-0000D2080000}"/>
    <cellStyle name="Note 7" xfId="340" xr:uid="{00000000-0005-0000-0000-0000D3080000}"/>
    <cellStyle name="Note 7 2" xfId="341" xr:uid="{00000000-0005-0000-0000-0000D4080000}"/>
    <cellStyle name="Note 8" xfId="342" xr:uid="{00000000-0005-0000-0000-0000D5080000}"/>
    <cellStyle name="Note 9" xfId="343" xr:uid="{00000000-0005-0000-0000-0000D6080000}"/>
    <cellStyle name="nPlosion" xfId="344" xr:uid="{00000000-0005-0000-0000-0000D7080000}"/>
    <cellStyle name="nvision" xfId="345" xr:uid="{00000000-0005-0000-0000-0000D8080000}"/>
    <cellStyle name="Output 2" xfId="346" xr:uid="{00000000-0005-0000-0000-0000D9080000}"/>
    <cellStyle name="Output 3" xfId="347" xr:uid="{00000000-0005-0000-0000-0000DA080000}"/>
    <cellStyle name="Output 4" xfId="348" xr:uid="{00000000-0005-0000-0000-0000DB080000}"/>
    <cellStyle name="Output 5" xfId="349" xr:uid="{00000000-0005-0000-0000-0000DC080000}"/>
    <cellStyle name="Output 6" xfId="350" xr:uid="{00000000-0005-0000-0000-0000DD080000}"/>
    <cellStyle name="Percent" xfId="2" builtinId="5"/>
    <cellStyle name="Percent 10" xfId="351" xr:uid="{00000000-0005-0000-0000-0000DF080000}"/>
    <cellStyle name="Percent 11" xfId="352" xr:uid="{00000000-0005-0000-0000-0000E0080000}"/>
    <cellStyle name="Percent 12" xfId="353" xr:uid="{00000000-0005-0000-0000-0000E1080000}"/>
    <cellStyle name="Percent 13" xfId="354" xr:uid="{00000000-0005-0000-0000-0000E2080000}"/>
    <cellStyle name="Percent 13 2" xfId="484" xr:uid="{00000000-0005-0000-0000-0000E3080000}"/>
    <cellStyle name="Percent 13 2 2" xfId="580" xr:uid="{00000000-0005-0000-0000-0000E4080000}"/>
    <cellStyle name="Percent 13 2 2 2" xfId="704" xr:uid="{00000000-0005-0000-0000-0000E5080000}"/>
    <cellStyle name="Percent 13 2 2 2 2" xfId="952" xr:uid="{00000000-0005-0000-0000-0000E6080000}"/>
    <cellStyle name="Percent 13 2 2 2 2 2" xfId="1456" xr:uid="{00000000-0005-0000-0000-0000E7080000}"/>
    <cellStyle name="Percent 13 2 2 2 2 2 2" xfId="2458" xr:uid="{00000000-0005-0000-0000-0000E8080000}"/>
    <cellStyle name="Percent 13 2 2 2 2 3" xfId="1957" xr:uid="{00000000-0005-0000-0000-0000E9080000}"/>
    <cellStyle name="Percent 13 2 2 2 3" xfId="1208" xr:uid="{00000000-0005-0000-0000-0000EA080000}"/>
    <cellStyle name="Percent 13 2 2 2 3 2" xfId="2210" xr:uid="{00000000-0005-0000-0000-0000EB080000}"/>
    <cellStyle name="Percent 13 2 2 2 4" xfId="1709" xr:uid="{00000000-0005-0000-0000-0000EC080000}"/>
    <cellStyle name="Percent 13 2 2 3" xfId="828" xr:uid="{00000000-0005-0000-0000-0000ED080000}"/>
    <cellStyle name="Percent 13 2 2 3 2" xfId="1332" xr:uid="{00000000-0005-0000-0000-0000EE080000}"/>
    <cellStyle name="Percent 13 2 2 3 2 2" xfId="2334" xr:uid="{00000000-0005-0000-0000-0000EF080000}"/>
    <cellStyle name="Percent 13 2 2 3 3" xfId="1833" xr:uid="{00000000-0005-0000-0000-0000F0080000}"/>
    <cellStyle name="Percent 13 2 2 4" xfId="1084" xr:uid="{00000000-0005-0000-0000-0000F1080000}"/>
    <cellStyle name="Percent 13 2 2 4 2" xfId="2086" xr:uid="{00000000-0005-0000-0000-0000F2080000}"/>
    <cellStyle name="Percent 13 2 2 5" xfId="1585" xr:uid="{00000000-0005-0000-0000-0000F3080000}"/>
    <cellStyle name="Percent 13 2 3" xfId="609" xr:uid="{00000000-0005-0000-0000-0000F4080000}"/>
    <cellStyle name="Percent 13 2 3 2" xfId="857" xr:uid="{00000000-0005-0000-0000-0000F5080000}"/>
    <cellStyle name="Percent 13 2 3 2 2" xfId="1361" xr:uid="{00000000-0005-0000-0000-0000F6080000}"/>
    <cellStyle name="Percent 13 2 3 2 2 2" xfId="2363" xr:uid="{00000000-0005-0000-0000-0000F7080000}"/>
    <cellStyle name="Percent 13 2 3 2 3" xfId="1862" xr:uid="{00000000-0005-0000-0000-0000F8080000}"/>
    <cellStyle name="Percent 13 2 3 3" xfId="1113" xr:uid="{00000000-0005-0000-0000-0000F9080000}"/>
    <cellStyle name="Percent 13 2 3 3 2" xfId="2115" xr:uid="{00000000-0005-0000-0000-0000FA080000}"/>
    <cellStyle name="Percent 13 2 3 4" xfId="1614" xr:uid="{00000000-0005-0000-0000-0000FB080000}"/>
    <cellStyle name="Percent 13 2 4" xfId="733" xr:uid="{00000000-0005-0000-0000-0000FC080000}"/>
    <cellStyle name="Percent 13 2 4 2" xfId="1237" xr:uid="{00000000-0005-0000-0000-0000FD080000}"/>
    <cellStyle name="Percent 13 2 4 2 2" xfId="2239" xr:uid="{00000000-0005-0000-0000-0000FE080000}"/>
    <cellStyle name="Percent 13 2 4 3" xfId="1738" xr:uid="{00000000-0005-0000-0000-0000FF080000}"/>
    <cellStyle name="Percent 13 2 5" xfId="989" xr:uid="{00000000-0005-0000-0000-000000090000}"/>
    <cellStyle name="Percent 13 2 5 2" xfId="1991" xr:uid="{00000000-0005-0000-0000-000001090000}"/>
    <cellStyle name="Percent 13 2 6" xfId="1490" xr:uid="{00000000-0005-0000-0000-000002090000}"/>
    <cellStyle name="Percent 13 3" xfId="505" xr:uid="{00000000-0005-0000-0000-000003090000}"/>
    <cellStyle name="Percent 13 3 2" xfId="581" xr:uid="{00000000-0005-0000-0000-000004090000}"/>
    <cellStyle name="Percent 13 3 2 2" xfId="705" xr:uid="{00000000-0005-0000-0000-000005090000}"/>
    <cellStyle name="Percent 13 3 2 2 2" xfId="953" xr:uid="{00000000-0005-0000-0000-000006090000}"/>
    <cellStyle name="Percent 13 3 2 2 2 2" xfId="1457" xr:uid="{00000000-0005-0000-0000-000007090000}"/>
    <cellStyle name="Percent 13 3 2 2 2 2 2" xfId="2459" xr:uid="{00000000-0005-0000-0000-000008090000}"/>
    <cellStyle name="Percent 13 3 2 2 2 3" xfId="1958" xr:uid="{00000000-0005-0000-0000-000009090000}"/>
    <cellStyle name="Percent 13 3 2 2 3" xfId="1209" xr:uid="{00000000-0005-0000-0000-00000A090000}"/>
    <cellStyle name="Percent 13 3 2 2 3 2" xfId="2211" xr:uid="{00000000-0005-0000-0000-00000B090000}"/>
    <cellStyle name="Percent 13 3 2 2 4" xfId="1710" xr:uid="{00000000-0005-0000-0000-00000C090000}"/>
    <cellStyle name="Percent 13 3 2 3" xfId="829" xr:uid="{00000000-0005-0000-0000-00000D090000}"/>
    <cellStyle name="Percent 13 3 2 3 2" xfId="1333" xr:uid="{00000000-0005-0000-0000-00000E090000}"/>
    <cellStyle name="Percent 13 3 2 3 2 2" xfId="2335" xr:uid="{00000000-0005-0000-0000-00000F090000}"/>
    <cellStyle name="Percent 13 3 2 3 3" xfId="1834" xr:uid="{00000000-0005-0000-0000-000010090000}"/>
    <cellStyle name="Percent 13 3 2 4" xfId="1085" xr:uid="{00000000-0005-0000-0000-000011090000}"/>
    <cellStyle name="Percent 13 3 2 4 2" xfId="2087" xr:uid="{00000000-0005-0000-0000-000012090000}"/>
    <cellStyle name="Percent 13 3 2 5" xfId="1586" xr:uid="{00000000-0005-0000-0000-000013090000}"/>
    <cellStyle name="Percent 13 3 3" xfId="629" xr:uid="{00000000-0005-0000-0000-000014090000}"/>
    <cellStyle name="Percent 13 3 3 2" xfId="877" xr:uid="{00000000-0005-0000-0000-000015090000}"/>
    <cellStyle name="Percent 13 3 3 2 2" xfId="1381" xr:uid="{00000000-0005-0000-0000-000016090000}"/>
    <cellStyle name="Percent 13 3 3 2 2 2" xfId="2383" xr:uid="{00000000-0005-0000-0000-000017090000}"/>
    <cellStyle name="Percent 13 3 3 2 3" xfId="1882" xr:uid="{00000000-0005-0000-0000-000018090000}"/>
    <cellStyle name="Percent 13 3 3 3" xfId="1133" xr:uid="{00000000-0005-0000-0000-000019090000}"/>
    <cellStyle name="Percent 13 3 3 3 2" xfId="2135" xr:uid="{00000000-0005-0000-0000-00001A090000}"/>
    <cellStyle name="Percent 13 3 3 4" xfId="1634" xr:uid="{00000000-0005-0000-0000-00001B090000}"/>
    <cellStyle name="Percent 13 3 4" xfId="753" xr:uid="{00000000-0005-0000-0000-00001C090000}"/>
    <cellStyle name="Percent 13 3 4 2" xfId="1257" xr:uid="{00000000-0005-0000-0000-00001D090000}"/>
    <cellStyle name="Percent 13 3 4 2 2" xfId="2259" xr:uid="{00000000-0005-0000-0000-00001E090000}"/>
    <cellStyle name="Percent 13 3 4 3" xfId="1758" xr:uid="{00000000-0005-0000-0000-00001F090000}"/>
    <cellStyle name="Percent 13 3 5" xfId="1009" xr:uid="{00000000-0005-0000-0000-000020090000}"/>
    <cellStyle name="Percent 13 3 5 2" xfId="2011" xr:uid="{00000000-0005-0000-0000-000021090000}"/>
    <cellStyle name="Percent 13 3 6" xfId="1510" xr:uid="{00000000-0005-0000-0000-000022090000}"/>
    <cellStyle name="Percent 13 4" xfId="579" xr:uid="{00000000-0005-0000-0000-000023090000}"/>
    <cellStyle name="Percent 13 4 2" xfId="703" xr:uid="{00000000-0005-0000-0000-000024090000}"/>
    <cellStyle name="Percent 13 4 2 2" xfId="951" xr:uid="{00000000-0005-0000-0000-000025090000}"/>
    <cellStyle name="Percent 13 4 2 2 2" xfId="1455" xr:uid="{00000000-0005-0000-0000-000026090000}"/>
    <cellStyle name="Percent 13 4 2 2 2 2" xfId="2457" xr:uid="{00000000-0005-0000-0000-000027090000}"/>
    <cellStyle name="Percent 13 4 2 2 3" xfId="1956" xr:uid="{00000000-0005-0000-0000-000028090000}"/>
    <cellStyle name="Percent 13 4 2 3" xfId="1207" xr:uid="{00000000-0005-0000-0000-000029090000}"/>
    <cellStyle name="Percent 13 4 2 3 2" xfId="2209" xr:uid="{00000000-0005-0000-0000-00002A090000}"/>
    <cellStyle name="Percent 13 4 2 4" xfId="1708" xr:uid="{00000000-0005-0000-0000-00002B090000}"/>
    <cellStyle name="Percent 13 4 3" xfId="827" xr:uid="{00000000-0005-0000-0000-00002C090000}"/>
    <cellStyle name="Percent 13 4 3 2" xfId="1331" xr:uid="{00000000-0005-0000-0000-00002D090000}"/>
    <cellStyle name="Percent 13 4 3 2 2" xfId="2333" xr:uid="{00000000-0005-0000-0000-00002E090000}"/>
    <cellStyle name="Percent 13 4 3 3" xfId="1832" xr:uid="{00000000-0005-0000-0000-00002F090000}"/>
    <cellStyle name="Percent 13 4 4" xfId="1083" xr:uid="{00000000-0005-0000-0000-000030090000}"/>
    <cellStyle name="Percent 13 4 4 2" xfId="2085" xr:uid="{00000000-0005-0000-0000-000031090000}"/>
    <cellStyle name="Percent 13 4 5" xfId="1584" xr:uid="{00000000-0005-0000-0000-000032090000}"/>
    <cellStyle name="Percent 13 5" xfId="587" xr:uid="{00000000-0005-0000-0000-000033090000}"/>
    <cellStyle name="Percent 13 5 2" xfId="835" xr:uid="{00000000-0005-0000-0000-000034090000}"/>
    <cellStyle name="Percent 13 5 2 2" xfId="1339" xr:uid="{00000000-0005-0000-0000-000035090000}"/>
    <cellStyle name="Percent 13 5 2 2 2" xfId="2341" xr:uid="{00000000-0005-0000-0000-000036090000}"/>
    <cellStyle name="Percent 13 5 2 3" xfId="1840" xr:uid="{00000000-0005-0000-0000-000037090000}"/>
    <cellStyle name="Percent 13 5 3" xfId="1091" xr:uid="{00000000-0005-0000-0000-000038090000}"/>
    <cellStyle name="Percent 13 5 3 2" xfId="2093" xr:uid="{00000000-0005-0000-0000-000039090000}"/>
    <cellStyle name="Percent 13 5 4" xfId="1592" xr:uid="{00000000-0005-0000-0000-00003A090000}"/>
    <cellStyle name="Percent 13 6" xfId="711" xr:uid="{00000000-0005-0000-0000-00003B090000}"/>
    <cellStyle name="Percent 13 6 2" xfId="1215" xr:uid="{00000000-0005-0000-0000-00003C090000}"/>
    <cellStyle name="Percent 13 6 2 2" xfId="2217" xr:uid="{00000000-0005-0000-0000-00003D090000}"/>
    <cellStyle name="Percent 13 6 3" xfId="1716" xr:uid="{00000000-0005-0000-0000-00003E090000}"/>
    <cellStyle name="Percent 13 7" xfId="967" xr:uid="{00000000-0005-0000-0000-00003F090000}"/>
    <cellStyle name="Percent 13 7 2" xfId="1969" xr:uid="{00000000-0005-0000-0000-000040090000}"/>
    <cellStyle name="Percent 13 8" xfId="1468" xr:uid="{00000000-0005-0000-0000-000041090000}"/>
    <cellStyle name="Percent 2" xfId="355" xr:uid="{00000000-0005-0000-0000-000042090000}"/>
    <cellStyle name="Percent 2 2" xfId="356" xr:uid="{00000000-0005-0000-0000-000043090000}"/>
    <cellStyle name="Percent 3" xfId="357" xr:uid="{00000000-0005-0000-0000-000044090000}"/>
    <cellStyle name="Percent 3 2" xfId="358" xr:uid="{00000000-0005-0000-0000-000045090000}"/>
    <cellStyle name="Percent 3 3" xfId="359" xr:uid="{00000000-0005-0000-0000-000046090000}"/>
    <cellStyle name="Percent 3 4" xfId="455" xr:uid="{00000000-0005-0000-0000-000047090000}"/>
    <cellStyle name="Percent 3 5" xfId="485" xr:uid="{00000000-0005-0000-0000-000048090000}"/>
    <cellStyle name="Percent 4" xfId="360" xr:uid="{00000000-0005-0000-0000-000049090000}"/>
    <cellStyle name="Percent 4 2" xfId="361" xr:uid="{00000000-0005-0000-0000-00004A090000}"/>
    <cellStyle name="Percent 4 3" xfId="362" xr:uid="{00000000-0005-0000-0000-00004B090000}"/>
    <cellStyle name="Percent 4 4" xfId="363" xr:uid="{00000000-0005-0000-0000-00004C090000}"/>
    <cellStyle name="Percent 5" xfId="364" xr:uid="{00000000-0005-0000-0000-00004D090000}"/>
    <cellStyle name="Percent 5 2" xfId="365" xr:uid="{00000000-0005-0000-0000-00004E090000}"/>
    <cellStyle name="Percent 6" xfId="366" xr:uid="{00000000-0005-0000-0000-00004F090000}"/>
    <cellStyle name="Percent 6 2" xfId="367" xr:uid="{00000000-0005-0000-0000-000050090000}"/>
    <cellStyle name="Percent 7" xfId="368" xr:uid="{00000000-0005-0000-0000-000051090000}"/>
    <cellStyle name="Percent 8" xfId="369" xr:uid="{00000000-0005-0000-0000-000052090000}"/>
    <cellStyle name="Percent 9" xfId="370" xr:uid="{00000000-0005-0000-0000-000053090000}"/>
    <cellStyle name="PSChar" xfId="371" xr:uid="{00000000-0005-0000-0000-000054090000}"/>
    <cellStyle name="PSChar 2" xfId="372" xr:uid="{00000000-0005-0000-0000-000055090000}"/>
    <cellStyle name="PSChar 2 2" xfId="373" xr:uid="{00000000-0005-0000-0000-000056090000}"/>
    <cellStyle name="PSChar 2 3" xfId="374" xr:uid="{00000000-0005-0000-0000-000057090000}"/>
    <cellStyle name="PSChar 3" xfId="375" xr:uid="{00000000-0005-0000-0000-000058090000}"/>
    <cellStyle name="PSChar 3 2" xfId="376" xr:uid="{00000000-0005-0000-0000-000059090000}"/>
    <cellStyle name="PSChar 4" xfId="377" xr:uid="{00000000-0005-0000-0000-00005A090000}"/>
    <cellStyle name="PSChar 5" xfId="378" xr:uid="{00000000-0005-0000-0000-00005B090000}"/>
    <cellStyle name="PSChar 6" xfId="379" xr:uid="{00000000-0005-0000-0000-00005C090000}"/>
    <cellStyle name="PSDate" xfId="380" xr:uid="{00000000-0005-0000-0000-00005D090000}"/>
    <cellStyle name="PSDate 2" xfId="381" xr:uid="{00000000-0005-0000-0000-00005E090000}"/>
    <cellStyle name="PSDate 2 2" xfId="382" xr:uid="{00000000-0005-0000-0000-00005F090000}"/>
    <cellStyle name="PSDate 2 3" xfId="383" xr:uid="{00000000-0005-0000-0000-000060090000}"/>
    <cellStyle name="PSDate 3" xfId="384" xr:uid="{00000000-0005-0000-0000-000061090000}"/>
    <cellStyle name="PSDate 3 2" xfId="385" xr:uid="{00000000-0005-0000-0000-000062090000}"/>
    <cellStyle name="PSDate 4" xfId="386" xr:uid="{00000000-0005-0000-0000-000063090000}"/>
    <cellStyle name="PSDate 5" xfId="387" xr:uid="{00000000-0005-0000-0000-000064090000}"/>
    <cellStyle name="PSDate 6" xfId="388" xr:uid="{00000000-0005-0000-0000-000065090000}"/>
    <cellStyle name="PSDec" xfId="389" xr:uid="{00000000-0005-0000-0000-000066090000}"/>
    <cellStyle name="PSDec 2" xfId="390" xr:uid="{00000000-0005-0000-0000-000067090000}"/>
    <cellStyle name="PSDec 2 2" xfId="391" xr:uid="{00000000-0005-0000-0000-000068090000}"/>
    <cellStyle name="PSDec 2 3" xfId="392" xr:uid="{00000000-0005-0000-0000-000069090000}"/>
    <cellStyle name="PSDec 3" xfId="393" xr:uid="{00000000-0005-0000-0000-00006A090000}"/>
    <cellStyle name="PSDec 3 2" xfId="394" xr:uid="{00000000-0005-0000-0000-00006B090000}"/>
    <cellStyle name="PSDec 4" xfId="395" xr:uid="{00000000-0005-0000-0000-00006C090000}"/>
    <cellStyle name="PSDec 5" xfId="396" xr:uid="{00000000-0005-0000-0000-00006D090000}"/>
    <cellStyle name="PSDec 6" xfId="397" xr:uid="{00000000-0005-0000-0000-00006E090000}"/>
    <cellStyle name="PSHeading" xfId="398" xr:uid="{00000000-0005-0000-0000-00006F090000}"/>
    <cellStyle name="PSHeading 10" xfId="399" xr:uid="{00000000-0005-0000-0000-000070090000}"/>
    <cellStyle name="PSHeading 11" xfId="400" xr:uid="{00000000-0005-0000-0000-000071090000}"/>
    <cellStyle name="PSHeading 2" xfId="401" xr:uid="{00000000-0005-0000-0000-000072090000}"/>
    <cellStyle name="PSHeading 2 2" xfId="402" xr:uid="{00000000-0005-0000-0000-000073090000}"/>
    <cellStyle name="PSHeading 2 3" xfId="403" xr:uid="{00000000-0005-0000-0000-000074090000}"/>
    <cellStyle name="PSHeading 2_108 Summary" xfId="404" xr:uid="{00000000-0005-0000-0000-000075090000}"/>
    <cellStyle name="PSHeading 3" xfId="405" xr:uid="{00000000-0005-0000-0000-000076090000}"/>
    <cellStyle name="PSHeading 3 2" xfId="406" xr:uid="{00000000-0005-0000-0000-000077090000}"/>
    <cellStyle name="PSHeading 3_108 Summary" xfId="407" xr:uid="{00000000-0005-0000-0000-000078090000}"/>
    <cellStyle name="PSHeading 4" xfId="408" xr:uid="{00000000-0005-0000-0000-000079090000}"/>
    <cellStyle name="PSHeading 5" xfId="409" xr:uid="{00000000-0005-0000-0000-00007A090000}"/>
    <cellStyle name="PSHeading 6" xfId="410" xr:uid="{00000000-0005-0000-0000-00007B090000}"/>
    <cellStyle name="PSHeading 7" xfId="411" xr:uid="{00000000-0005-0000-0000-00007C090000}"/>
    <cellStyle name="PSHeading 8" xfId="412" xr:uid="{00000000-0005-0000-0000-00007D090000}"/>
    <cellStyle name="PSHeading 9" xfId="413" xr:uid="{00000000-0005-0000-0000-00007E090000}"/>
    <cellStyle name="PSHeading_101 check" xfId="414" xr:uid="{00000000-0005-0000-0000-00007F090000}"/>
    <cellStyle name="PSInt" xfId="415" xr:uid="{00000000-0005-0000-0000-000080090000}"/>
    <cellStyle name="PSInt 2" xfId="416" xr:uid="{00000000-0005-0000-0000-000081090000}"/>
    <cellStyle name="PSInt 2 2" xfId="417" xr:uid="{00000000-0005-0000-0000-000082090000}"/>
    <cellStyle name="PSInt 2 3" xfId="418" xr:uid="{00000000-0005-0000-0000-000083090000}"/>
    <cellStyle name="PSInt 3" xfId="419" xr:uid="{00000000-0005-0000-0000-000084090000}"/>
    <cellStyle name="PSInt 3 2" xfId="420" xr:uid="{00000000-0005-0000-0000-000085090000}"/>
    <cellStyle name="PSInt 4" xfId="421" xr:uid="{00000000-0005-0000-0000-000086090000}"/>
    <cellStyle name="PSInt 5" xfId="422" xr:uid="{00000000-0005-0000-0000-000087090000}"/>
    <cellStyle name="PSInt 6" xfId="423" xr:uid="{00000000-0005-0000-0000-000088090000}"/>
    <cellStyle name="PSSpacer" xfId="424" xr:uid="{00000000-0005-0000-0000-000089090000}"/>
    <cellStyle name="PSSpacer 2" xfId="425" xr:uid="{00000000-0005-0000-0000-00008A090000}"/>
    <cellStyle name="PSSpacer 2 2" xfId="426" xr:uid="{00000000-0005-0000-0000-00008B090000}"/>
    <cellStyle name="PSSpacer 2 3" xfId="427" xr:uid="{00000000-0005-0000-0000-00008C090000}"/>
    <cellStyle name="PSSpacer 3" xfId="428" xr:uid="{00000000-0005-0000-0000-00008D090000}"/>
    <cellStyle name="PSSpacer 3 2" xfId="429" xr:uid="{00000000-0005-0000-0000-00008E090000}"/>
    <cellStyle name="PSSpacer 4" xfId="430" xr:uid="{00000000-0005-0000-0000-00008F090000}"/>
    <cellStyle name="PSSpacer 5" xfId="431" xr:uid="{00000000-0005-0000-0000-000090090000}"/>
    <cellStyle name="PSSpacer 6" xfId="432" xr:uid="{00000000-0005-0000-0000-000091090000}"/>
    <cellStyle name="Table (Normal)" xfId="2467" xr:uid="{EC8247E5-B76E-461A-A425-66F105AE5073}"/>
    <cellStyle name="Title 2" xfId="433" xr:uid="{00000000-0005-0000-0000-000092090000}"/>
    <cellStyle name="Title 3" xfId="434" xr:uid="{00000000-0005-0000-0000-000093090000}"/>
    <cellStyle name="Title 4" xfId="435" xr:uid="{00000000-0005-0000-0000-000094090000}"/>
    <cellStyle name="Title 5" xfId="436" xr:uid="{00000000-0005-0000-0000-000095090000}"/>
    <cellStyle name="Total 2" xfId="437" xr:uid="{00000000-0005-0000-0000-000096090000}"/>
    <cellStyle name="Total 3" xfId="438" xr:uid="{00000000-0005-0000-0000-000097090000}"/>
    <cellStyle name="Total 4" xfId="439" xr:uid="{00000000-0005-0000-0000-000098090000}"/>
    <cellStyle name="Total 5" xfId="440" xr:uid="{00000000-0005-0000-0000-000099090000}"/>
    <cellStyle name="Total 6" xfId="441" xr:uid="{00000000-0005-0000-0000-00009A090000}"/>
    <cellStyle name="Total 7" xfId="442" xr:uid="{00000000-0005-0000-0000-00009B090000}"/>
    <cellStyle name="Total 8" xfId="443" xr:uid="{00000000-0005-0000-0000-00009C090000}"/>
    <cellStyle name="Warning Text 2" xfId="444" xr:uid="{00000000-0005-0000-0000-00009D090000}"/>
    <cellStyle name="Warning Text 3" xfId="445" xr:uid="{00000000-0005-0000-0000-00009E090000}"/>
    <cellStyle name="Warning Text 4" xfId="446" xr:uid="{00000000-0005-0000-0000-00009F090000}"/>
    <cellStyle name="Warning Text 5" xfId="447" xr:uid="{00000000-0005-0000-0000-0000A0090000}"/>
    <cellStyle name="Warning Text 6" xfId="448" xr:uid="{00000000-0005-0000-0000-0000A1090000}"/>
  </cellStyles>
  <dxfs count="0"/>
  <tableStyles count="0" defaultTableStyle="TableStyleMedium2" defaultPivotStyle="PivotStyleLight16"/>
  <colors>
    <mruColors>
      <color rgb="FFFFFFCC"/>
      <color rgb="FFFFFF99"/>
      <color rgb="FF66FFFF"/>
      <color rgb="FFFF66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28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view="pageBreakPreview" zoomScaleNormal="120" zoomScaleSheetLayoutView="100" workbookViewId="0">
      <selection activeCell="B39" sqref="B39"/>
    </sheetView>
  </sheetViews>
  <sheetFormatPr defaultColWidth="9.1796875" defaultRowHeight="12.5"/>
  <cols>
    <col min="1" max="1" width="5.7265625" style="89" customWidth="1"/>
    <col min="2" max="2" width="57.453125" style="89" customWidth="1"/>
    <col min="3" max="3" width="28.7265625" style="89" customWidth="1"/>
    <col min="4" max="4" width="19.7265625" style="89" customWidth="1"/>
    <col min="5" max="5" width="0.7265625" style="89" customWidth="1"/>
    <col min="6" max="6" width="27.81640625" style="89" customWidth="1"/>
    <col min="7" max="7" width="9.1796875" style="89"/>
    <col min="8" max="8" width="12.7265625" style="89" hidden="1" customWidth="1"/>
    <col min="9" max="9" width="6.54296875" style="89" hidden="1" customWidth="1"/>
    <col min="10" max="11" width="0" style="89" hidden="1" customWidth="1"/>
    <col min="12" max="12" width="15.54296875" style="89" bestFit="1" customWidth="1"/>
    <col min="13" max="13" width="9.1796875" style="89"/>
    <col min="14" max="14" width="14.453125" style="89" customWidth="1"/>
    <col min="15" max="16384" width="9.1796875" style="89"/>
  </cols>
  <sheetData>
    <row r="1" spans="1:13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3">
      <c r="B2" s="515" t="s">
        <v>388</v>
      </c>
      <c r="C2" s="515"/>
      <c r="D2" s="515"/>
      <c r="E2" s="515"/>
      <c r="F2" s="516"/>
      <c r="G2" s="40"/>
      <c r="H2" s="40"/>
      <c r="I2" s="40"/>
      <c r="J2" s="40"/>
      <c r="K2" s="40"/>
      <c r="L2" s="40"/>
      <c r="M2" s="40"/>
    </row>
    <row r="3" spans="1:13" ht="13">
      <c r="B3" s="515" t="s">
        <v>1114</v>
      </c>
      <c r="C3" s="515"/>
      <c r="D3" s="515"/>
      <c r="E3" s="515"/>
      <c r="F3" s="515"/>
      <c r="G3" s="40"/>
      <c r="H3" s="40"/>
      <c r="I3" s="40"/>
      <c r="J3" s="40"/>
      <c r="K3" s="40"/>
      <c r="L3" s="40"/>
      <c r="M3" s="40"/>
    </row>
    <row r="4" spans="1:13" ht="13.15" customHeight="1">
      <c r="B4" s="515" t="s">
        <v>1018</v>
      </c>
      <c r="C4" s="517"/>
      <c r="D4" s="517"/>
      <c r="E4" s="517"/>
      <c r="F4" s="517"/>
      <c r="G4" s="40"/>
      <c r="H4" s="40"/>
      <c r="I4" s="40"/>
      <c r="J4" s="40"/>
      <c r="K4" s="40"/>
      <c r="L4" s="40"/>
      <c r="M4" s="40"/>
    </row>
    <row r="5" spans="1:13" ht="13">
      <c r="B5" s="399"/>
      <c r="C5" s="399"/>
      <c r="D5" s="399"/>
      <c r="E5" s="399"/>
      <c r="F5" s="399"/>
    </row>
    <row r="7" spans="1:13" ht="26">
      <c r="A7" s="303" t="s">
        <v>853</v>
      </c>
      <c r="C7" s="215" t="s">
        <v>854</v>
      </c>
      <c r="D7" s="215" t="s">
        <v>625</v>
      </c>
      <c r="E7" s="215"/>
      <c r="F7" s="304" t="s">
        <v>855</v>
      </c>
    </row>
    <row r="8" spans="1:13" ht="13">
      <c r="A8" s="305" t="s">
        <v>868</v>
      </c>
      <c r="B8" s="3" t="s">
        <v>869</v>
      </c>
      <c r="C8" s="83" t="s">
        <v>872</v>
      </c>
      <c r="D8" s="306">
        <f>'Sch 4'!C7</f>
        <v>650666343.95999992</v>
      </c>
      <c r="E8" s="307"/>
      <c r="F8" s="83"/>
      <c r="M8" s="371"/>
    </row>
    <row r="9" spans="1:13" ht="13">
      <c r="A9" s="305" t="s">
        <v>870</v>
      </c>
      <c r="B9" s="3" t="s">
        <v>1087</v>
      </c>
      <c r="C9" s="83"/>
      <c r="D9" s="411">
        <f>2823551.17</f>
        <v>2823551.17</v>
      </c>
      <c r="E9" s="307"/>
      <c r="F9" s="83"/>
      <c r="M9" s="371"/>
    </row>
    <row r="10" spans="1:13" ht="13">
      <c r="A10" s="305" t="s">
        <v>12</v>
      </c>
      <c r="B10" s="3" t="s">
        <v>871</v>
      </c>
      <c r="C10" s="83"/>
      <c r="D10" s="306">
        <f>D8+D9</f>
        <v>653489895.12999988</v>
      </c>
      <c r="E10" s="307"/>
      <c r="F10" s="83"/>
      <c r="G10" s="83" t="s">
        <v>441</v>
      </c>
      <c r="M10" s="371"/>
    </row>
    <row r="11" spans="1:13" ht="13">
      <c r="A11" s="308"/>
      <c r="D11" s="307"/>
      <c r="E11" s="307"/>
      <c r="M11" s="371"/>
    </row>
    <row r="12" spans="1:13" ht="13">
      <c r="A12" s="305" t="s">
        <v>13</v>
      </c>
      <c r="B12" s="3" t="s">
        <v>856</v>
      </c>
      <c r="C12" s="83" t="s">
        <v>857</v>
      </c>
      <c r="D12" s="307">
        <f ca="1">'Sch 1'!I47</f>
        <v>75269689</v>
      </c>
      <c r="E12" s="307"/>
      <c r="F12" s="309">
        <f ca="1">ROUND(D12/D10,4)</f>
        <v>0.1152</v>
      </c>
      <c r="L12" s="310"/>
      <c r="M12" s="371"/>
    </row>
    <row r="13" spans="1:13" ht="13">
      <c r="A13" s="308"/>
      <c r="D13" s="307"/>
      <c r="E13" s="307"/>
      <c r="F13" s="310"/>
      <c r="H13" s="311"/>
      <c r="I13" s="312"/>
      <c r="M13" s="371"/>
    </row>
    <row r="14" spans="1:13" ht="13">
      <c r="A14" s="308">
        <f>A12-1</f>
        <v>-3</v>
      </c>
      <c r="B14" s="3" t="s">
        <v>1086</v>
      </c>
      <c r="C14" s="83"/>
      <c r="D14" s="412">
        <v>20288559</v>
      </c>
      <c r="E14" s="307"/>
      <c r="F14" s="309">
        <f>ROUND((D14)/D10,4)</f>
        <v>3.1E-2</v>
      </c>
      <c r="H14" s="311"/>
      <c r="I14" s="312"/>
      <c r="M14" s="371"/>
    </row>
    <row r="15" spans="1:13" ht="13">
      <c r="A15" s="308"/>
      <c r="B15" s="3"/>
      <c r="C15" s="3"/>
      <c r="D15" s="196"/>
      <c r="E15" s="196"/>
      <c r="F15" s="309"/>
      <c r="H15" s="311"/>
      <c r="I15" s="312"/>
      <c r="M15" s="371"/>
    </row>
    <row r="16" spans="1:13" ht="13.5" thickBot="1">
      <c r="A16" s="308">
        <f>A14-1</f>
        <v>-4</v>
      </c>
      <c r="B16" s="3" t="s">
        <v>1017</v>
      </c>
      <c r="D16" s="315">
        <f ca="1">D12+D14</f>
        <v>95558248</v>
      </c>
      <c r="E16" s="306"/>
      <c r="F16" s="309">
        <f ca="1">ROUND((D12+D14)/D10,4)</f>
        <v>0.1462</v>
      </c>
      <c r="H16" s="82"/>
      <c r="I16" s="312"/>
      <c r="M16" s="371"/>
    </row>
    <row r="17" spans="1:9" ht="13.5" thickTop="1">
      <c r="A17" s="308"/>
      <c r="D17" s="313"/>
      <c r="E17" s="313"/>
      <c r="F17" s="310"/>
      <c r="H17" s="314"/>
      <c r="I17" s="312"/>
    </row>
    <row r="18" spans="1:9">
      <c r="D18" s="326"/>
      <c r="E18" s="317"/>
      <c r="F18" s="310"/>
      <c r="H18" s="314"/>
      <c r="I18" s="312"/>
    </row>
    <row r="19" spans="1:9">
      <c r="D19" s="326"/>
      <c r="E19" s="317"/>
      <c r="F19" s="310"/>
      <c r="H19" s="82"/>
      <c r="I19" s="312"/>
    </row>
    <row r="20" spans="1:9">
      <c r="D20" s="311"/>
      <c r="E20" s="317"/>
      <c r="F20" s="310"/>
    </row>
    <row r="21" spans="1:9">
      <c r="D21" s="311"/>
      <c r="E21" s="311"/>
      <c r="F21" s="310"/>
    </row>
    <row r="22" spans="1:9">
      <c r="E22" s="311"/>
      <c r="F22" s="310"/>
    </row>
    <row r="23" spans="1:9">
      <c r="D23" s="311"/>
      <c r="E23" s="311"/>
    </row>
    <row r="24" spans="1:9">
      <c r="D24" s="311"/>
      <c r="E24" s="311"/>
    </row>
    <row r="25" spans="1:9">
      <c r="D25" s="369"/>
      <c r="E25" s="318"/>
    </row>
    <row r="26" spans="1:9">
      <c r="D26" s="1"/>
      <c r="E26" s="1"/>
    </row>
    <row r="27" spans="1:9">
      <c r="D27" s="1"/>
      <c r="E27" s="1"/>
    </row>
    <row r="28" spans="1:9" ht="13.15" customHeight="1">
      <c r="B28" s="83" t="s">
        <v>48</v>
      </c>
      <c r="D28" s="319"/>
      <c r="E28" s="319"/>
    </row>
    <row r="29" spans="1:9" ht="13.15" customHeight="1">
      <c r="D29" s="263"/>
      <c r="E29" s="263"/>
    </row>
    <row r="30" spans="1:9" ht="13.15" customHeight="1">
      <c r="D30" s="111"/>
      <c r="E30" s="111"/>
    </row>
    <row r="31" spans="1:9" ht="13.15" customHeight="1">
      <c r="D31" s="263"/>
      <c r="E31" s="263"/>
    </row>
    <row r="32" spans="1:9" ht="13.15" customHeight="1">
      <c r="D32" s="263"/>
      <c r="E32" s="263"/>
    </row>
    <row r="33" spans="4:6" ht="13.15" customHeight="1">
      <c r="D33" s="263"/>
      <c r="E33" s="263"/>
    </row>
    <row r="34" spans="4:6">
      <c r="D34" s="111"/>
      <c r="E34" s="111"/>
    </row>
    <row r="40" spans="4:6">
      <c r="F40" s="89" t="s">
        <v>441</v>
      </c>
    </row>
  </sheetData>
  <mergeCells count="3">
    <mergeCell ref="B2:F2"/>
    <mergeCell ref="B3:F3"/>
    <mergeCell ref="B4:F4"/>
  </mergeCells>
  <pageMargins left="0.7" right="0.7" top="0.75" bottom="0.75" header="0.3" footer="0.3"/>
  <pageSetup scale="65" orientation="portrait" r:id="rId1"/>
  <headerFooter>
    <oddHeader>&amp;RKPSC Case No. 2025-00257
SECTION V-Application
Exhibit 1
&amp;Pof&amp;N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943"/>
  <sheetViews>
    <sheetView showGridLines="0" view="pageBreakPreview" topLeftCell="A177" zoomScaleNormal="100" zoomScaleSheetLayoutView="100" workbookViewId="0">
      <pane xSplit="3" topLeftCell="D1" activePane="topRight" state="frozen"/>
      <selection activeCell="C26" sqref="C26"/>
      <selection pane="topRight" activeCell="C202" sqref="C202"/>
    </sheetView>
  </sheetViews>
  <sheetFormatPr defaultColWidth="9.1796875" defaultRowHeight="14.15" customHeight="1"/>
  <cols>
    <col min="1" max="1" width="4.7265625" style="404" bestFit="1" customWidth="1"/>
    <col min="2" max="2" width="74.7265625" style="83" customWidth="1"/>
    <col min="3" max="3" width="28.7265625" style="83" customWidth="1"/>
    <col min="4" max="4" width="19" style="83" customWidth="1"/>
    <col min="5" max="5" width="17.1796875" style="83" customWidth="1"/>
    <col min="6" max="6" width="15" style="83" customWidth="1"/>
    <col min="7" max="7" width="18" style="83" customWidth="1"/>
    <col min="8" max="8" width="10.7265625" style="83" customWidth="1"/>
    <col min="9" max="9" width="22.1796875" style="14" customWidth="1"/>
    <col min="10" max="10" width="26" style="83" customWidth="1"/>
    <col min="11" max="11" width="38.7265625" style="83" customWidth="1"/>
    <col min="12" max="12" width="74" style="469" customWidth="1"/>
    <col min="13" max="13" width="22.26953125" style="83" customWidth="1"/>
    <col min="14" max="16384" width="9.1796875" style="83"/>
  </cols>
  <sheetData>
    <row r="1" spans="1:12" ht="14.15" customHeight="1">
      <c r="D1" s="22"/>
    </row>
    <row r="2" spans="1:12" ht="14.15" customHeight="1">
      <c r="C2" s="404" t="s">
        <v>314</v>
      </c>
      <c r="E2" s="403"/>
      <c r="F2" s="403"/>
      <c r="H2" s="22"/>
      <c r="K2" s="38"/>
    </row>
    <row r="3" spans="1:12" ht="14.15" customHeight="1">
      <c r="A3" s="404" t="s">
        <v>2</v>
      </c>
      <c r="B3" s="404"/>
      <c r="C3" s="404" t="s">
        <v>3</v>
      </c>
      <c r="D3" s="404" t="s">
        <v>362</v>
      </c>
      <c r="E3" s="403" t="s">
        <v>361</v>
      </c>
      <c r="F3" s="403" t="s">
        <v>4</v>
      </c>
      <c r="G3" s="112" t="s">
        <v>1</v>
      </c>
      <c r="H3" s="112"/>
      <c r="I3" s="112"/>
      <c r="J3" s="113" t="s">
        <v>5</v>
      </c>
      <c r="K3" s="113"/>
      <c r="L3" s="470"/>
    </row>
    <row r="4" spans="1:12" ht="26.25" customHeight="1">
      <c r="A4" s="114" t="s">
        <v>6</v>
      </c>
      <c r="B4" s="114" t="s">
        <v>7</v>
      </c>
      <c r="C4" s="115" t="s">
        <v>0</v>
      </c>
      <c r="D4" s="115" t="s">
        <v>8</v>
      </c>
      <c r="E4" s="115" t="s">
        <v>360</v>
      </c>
      <c r="F4" s="115" t="s">
        <v>9</v>
      </c>
      <c r="G4" s="115" t="s">
        <v>383</v>
      </c>
      <c r="H4" s="116"/>
      <c r="I4" s="115" t="s">
        <v>10</v>
      </c>
      <c r="J4" s="117" t="s">
        <v>11</v>
      </c>
      <c r="K4" s="117"/>
      <c r="L4" s="471" t="s">
        <v>896</v>
      </c>
    </row>
    <row r="5" spans="1:12" ht="14.15" customHeight="1">
      <c r="B5" s="118" t="s">
        <v>12</v>
      </c>
      <c r="C5" s="118" t="s">
        <v>13</v>
      </c>
      <c r="D5" s="118" t="s">
        <v>851</v>
      </c>
      <c r="E5" s="119" t="s">
        <v>852</v>
      </c>
      <c r="F5" s="119" t="s">
        <v>658</v>
      </c>
      <c r="G5" s="119" t="s">
        <v>659</v>
      </c>
      <c r="H5" s="120"/>
      <c r="I5" s="119"/>
      <c r="L5" s="408"/>
    </row>
    <row r="6" spans="1:12" ht="13.5" customHeight="1">
      <c r="C6" s="38"/>
      <c r="E6" s="121"/>
      <c r="F6" s="22"/>
      <c r="G6" s="22"/>
      <c r="H6" s="65"/>
      <c r="I6" s="22"/>
      <c r="L6" s="408"/>
    </row>
    <row r="7" spans="1:12" ht="14.15" customHeight="1">
      <c r="A7" s="404">
        <v>1</v>
      </c>
      <c r="B7" s="83" t="s">
        <v>316</v>
      </c>
      <c r="C7" s="10">
        <f t="shared" ref="C7:D9" si="0">C267</f>
        <v>650666343.95999992</v>
      </c>
      <c r="D7" s="10">
        <f t="shared" si="0"/>
        <v>0</v>
      </c>
      <c r="E7" s="10">
        <f t="shared" ref="E7:F9" si="1">E267</f>
        <v>650666343.95999992</v>
      </c>
      <c r="F7" s="10">
        <f t="shared" si="1"/>
        <v>-53897239.240777612</v>
      </c>
      <c r="G7" s="10">
        <f>E7+F7</f>
        <v>596769104.71922231</v>
      </c>
      <c r="H7" s="43"/>
      <c r="I7" s="122"/>
      <c r="L7" s="408"/>
    </row>
    <row r="8" spans="1:12" ht="14.15" customHeight="1">
      <c r="A8" s="404">
        <f>A7+1</f>
        <v>2</v>
      </c>
      <c r="B8" s="123" t="s">
        <v>14</v>
      </c>
      <c r="C8" s="10">
        <f t="shared" si="0"/>
        <v>5664875.54</v>
      </c>
      <c r="D8" s="10">
        <f t="shared" si="0"/>
        <v>5664875.54</v>
      </c>
      <c r="E8" s="10">
        <f t="shared" si="1"/>
        <v>0</v>
      </c>
      <c r="F8" s="10">
        <f t="shared" si="1"/>
        <v>0</v>
      </c>
      <c r="G8" s="10">
        <f>E8+F8</f>
        <v>0</v>
      </c>
      <c r="H8" s="43"/>
      <c r="I8" s="122"/>
      <c r="L8" s="408"/>
    </row>
    <row r="9" spans="1:12" ht="14.15" customHeight="1">
      <c r="A9" s="404">
        <f>A8+1</f>
        <v>3</v>
      </c>
      <c r="B9" s="83" t="s">
        <v>15</v>
      </c>
      <c r="C9" s="10">
        <f t="shared" si="0"/>
        <v>-6574896</v>
      </c>
      <c r="D9" s="10">
        <f t="shared" si="0"/>
        <v>-6574896</v>
      </c>
      <c r="E9" s="10">
        <f t="shared" si="1"/>
        <v>0</v>
      </c>
      <c r="F9" s="10">
        <f t="shared" si="1"/>
        <v>0</v>
      </c>
      <c r="G9" s="10">
        <f>E9+F9</f>
        <v>0</v>
      </c>
      <c r="H9" s="43"/>
      <c r="I9" s="122"/>
      <c r="L9" s="408"/>
    </row>
    <row r="10" spans="1:12" ht="14.15" customHeight="1">
      <c r="A10" s="404">
        <f>+A9+1</f>
        <v>4</v>
      </c>
      <c r="B10" s="83" t="s">
        <v>16</v>
      </c>
      <c r="C10" s="10">
        <f>C304</f>
        <v>55081909.05999998</v>
      </c>
      <c r="D10" s="10">
        <f>D304</f>
        <v>6049273.4599999711</v>
      </c>
      <c r="E10" s="10">
        <f>E304</f>
        <v>49032635.710000008</v>
      </c>
      <c r="F10" s="10">
        <f>F304</f>
        <v>-2939757.4900000286</v>
      </c>
      <c r="G10" s="10">
        <f>E10+F10</f>
        <v>46092878.219999976</v>
      </c>
      <c r="H10" s="43"/>
      <c r="I10" s="122"/>
      <c r="L10" s="408"/>
    </row>
    <row r="11" spans="1:12" ht="14.15" customHeight="1">
      <c r="A11" s="404">
        <f t="shared" ref="A11:A74" si="2">+A10+1</f>
        <v>5</v>
      </c>
      <c r="B11" s="56" t="s">
        <v>17</v>
      </c>
      <c r="C11" s="64">
        <f>C275</f>
        <v>22603522.400000002</v>
      </c>
      <c r="D11" s="64">
        <f>D275</f>
        <v>316449.31359999999</v>
      </c>
      <c r="E11" s="64">
        <f>E275</f>
        <v>22287073.086400002</v>
      </c>
      <c r="F11" s="64">
        <f>F275</f>
        <v>316449.31359999999</v>
      </c>
      <c r="G11" s="64">
        <f>E11+F11</f>
        <v>22603522.400000002</v>
      </c>
      <c r="H11" s="43"/>
      <c r="I11" s="122"/>
      <c r="L11" s="408"/>
    </row>
    <row r="12" spans="1:12" s="18" customFormat="1" ht="14.15" customHeight="1">
      <c r="A12" s="404">
        <f t="shared" si="2"/>
        <v>6</v>
      </c>
      <c r="B12" s="2" t="s">
        <v>457</v>
      </c>
      <c r="C12" s="16">
        <f>SUM(C7:C11)</f>
        <v>727441754.9599998</v>
      </c>
      <c r="D12" s="16">
        <f>SUM(D7:D11)</f>
        <v>5455702.3135999711</v>
      </c>
      <c r="E12" s="16">
        <f>SUM(E7:E11)</f>
        <v>721986052.75639999</v>
      </c>
      <c r="F12" s="16">
        <f>SUM(F7:F11)</f>
        <v>-56520547.417177647</v>
      </c>
      <c r="G12" s="16">
        <f>SUM(G7:G11)</f>
        <v>665465505.33922231</v>
      </c>
      <c r="H12" s="16"/>
      <c r="I12" s="16"/>
    </row>
    <row r="13" spans="1:12" s="18" customFormat="1" ht="14.15" customHeight="1">
      <c r="A13" s="404">
        <f t="shared" si="2"/>
        <v>7</v>
      </c>
      <c r="B13" s="6"/>
      <c r="C13" s="16"/>
      <c r="D13" s="16"/>
      <c r="E13" s="124"/>
      <c r="F13" s="43"/>
      <c r="G13" s="125"/>
      <c r="H13" s="16"/>
      <c r="I13" s="125"/>
    </row>
    <row r="14" spans="1:12" ht="14.15" customHeight="1">
      <c r="A14" s="404">
        <f t="shared" si="2"/>
        <v>8</v>
      </c>
      <c r="B14" s="3" t="s">
        <v>19</v>
      </c>
      <c r="C14" s="10"/>
      <c r="D14" s="10"/>
      <c r="E14" s="48"/>
      <c r="F14" s="43"/>
      <c r="G14" s="122"/>
      <c r="H14" s="43"/>
      <c r="I14" s="122"/>
      <c r="L14" s="408"/>
    </row>
    <row r="15" spans="1:12" ht="14.15" customHeight="1">
      <c r="A15" s="404">
        <f t="shared" si="2"/>
        <v>9</v>
      </c>
      <c r="B15" s="83" t="s">
        <v>20</v>
      </c>
      <c r="C15" s="10">
        <f>C345</f>
        <v>303748627.52999997</v>
      </c>
      <c r="D15" s="10">
        <f>D345</f>
        <v>4318076.5300000077</v>
      </c>
      <c r="E15" s="10">
        <f>E345</f>
        <v>299430551</v>
      </c>
      <c r="F15" s="10">
        <f>F345</f>
        <v>-41409833.259649344</v>
      </c>
      <c r="G15" s="10">
        <f t="shared" ref="G15:G22" si="3">E15+F15</f>
        <v>258020717.74035066</v>
      </c>
      <c r="H15" s="43"/>
      <c r="I15" s="122"/>
      <c r="L15" s="408"/>
    </row>
    <row r="16" spans="1:12" ht="14.15" customHeight="1">
      <c r="A16" s="404">
        <f t="shared" si="2"/>
        <v>10</v>
      </c>
      <c r="B16" s="83" t="s">
        <v>21</v>
      </c>
      <c r="C16" s="10">
        <f>C372</f>
        <v>96971566.600000024</v>
      </c>
      <c r="D16" s="10">
        <f>D372</f>
        <v>-542314.39999997732</v>
      </c>
      <c r="E16" s="10">
        <f>E372</f>
        <v>97513881</v>
      </c>
      <c r="F16" s="10">
        <f>F372</f>
        <v>1762451.7700000231</v>
      </c>
      <c r="G16" s="10">
        <f t="shared" si="3"/>
        <v>99276332.770000026</v>
      </c>
      <c r="H16" s="43"/>
      <c r="I16" s="122"/>
      <c r="L16" s="408"/>
    </row>
    <row r="17" spans="1:12" ht="14.15" customHeight="1">
      <c r="A17" s="404">
        <f t="shared" si="2"/>
        <v>11</v>
      </c>
      <c r="B17" s="83" t="s">
        <v>22</v>
      </c>
      <c r="C17" s="10">
        <f>C400</f>
        <v>42022818.206999995</v>
      </c>
      <c r="D17" s="10">
        <f>D400</f>
        <v>42023.206999998336</v>
      </c>
      <c r="E17" s="10">
        <f>E400</f>
        <v>41980795</v>
      </c>
      <c r="F17" s="10">
        <f>F400</f>
        <v>-6810104.4930000026</v>
      </c>
      <c r="G17" s="10">
        <f t="shared" si="3"/>
        <v>35170690.506999999</v>
      </c>
      <c r="H17" s="43"/>
      <c r="I17" s="122"/>
      <c r="L17" s="408"/>
    </row>
    <row r="18" spans="1:12" ht="14.15" customHeight="1">
      <c r="A18" s="404">
        <f t="shared" si="2"/>
        <v>12</v>
      </c>
      <c r="B18" s="83" t="s">
        <v>23</v>
      </c>
      <c r="C18" s="10">
        <f>C409</f>
        <v>5010286.08</v>
      </c>
      <c r="D18" s="10">
        <f>D409</f>
        <v>61.080000000136351</v>
      </c>
      <c r="E18" s="10">
        <f>E409</f>
        <v>5010225</v>
      </c>
      <c r="F18" s="10">
        <f>F409</f>
        <v>109613.42000000011</v>
      </c>
      <c r="G18" s="10">
        <f t="shared" si="3"/>
        <v>5119838.42</v>
      </c>
      <c r="H18" s="43"/>
      <c r="I18" s="122"/>
      <c r="J18" s="38"/>
      <c r="K18" s="38"/>
      <c r="L18" s="408"/>
    </row>
    <row r="19" spans="1:12" ht="14.15" customHeight="1">
      <c r="A19" s="404">
        <f t="shared" si="2"/>
        <v>13</v>
      </c>
      <c r="B19" s="83" t="s">
        <v>24</v>
      </c>
      <c r="C19" s="10">
        <f>C423</f>
        <v>9329.2200000000012</v>
      </c>
      <c r="D19" s="10">
        <f>D423</f>
        <v>0.11421320356203069</v>
      </c>
      <c r="E19" s="10">
        <f>E423</f>
        <v>9329.1057867964391</v>
      </c>
      <c r="F19" s="10">
        <f>F423</f>
        <v>0</v>
      </c>
      <c r="G19" s="10">
        <f t="shared" si="3"/>
        <v>9329.1057867964391</v>
      </c>
      <c r="H19" s="43"/>
      <c r="I19" s="122"/>
      <c r="J19" s="38"/>
      <c r="K19" s="38"/>
      <c r="L19" s="408"/>
    </row>
    <row r="20" spans="1:12" ht="14.15" customHeight="1">
      <c r="A20" s="404">
        <f t="shared" si="2"/>
        <v>14</v>
      </c>
      <c r="B20" s="83" t="s">
        <v>25</v>
      </c>
      <c r="C20" s="10">
        <f>C416</f>
        <v>1776406.0100000002</v>
      </c>
      <c r="D20" s="10">
        <f>D416</f>
        <v>4.0100000000384171</v>
      </c>
      <c r="E20" s="10">
        <f>E416</f>
        <v>1776402</v>
      </c>
      <c r="F20" s="10">
        <f>F416</f>
        <v>-1495547.2999999998</v>
      </c>
      <c r="G20" s="10">
        <f t="shared" si="3"/>
        <v>280854.70000000019</v>
      </c>
      <c r="H20" s="43"/>
      <c r="I20" s="122"/>
      <c r="J20" s="38"/>
      <c r="K20" s="38"/>
      <c r="L20" s="408"/>
    </row>
    <row r="21" spans="1:12" ht="14.15" customHeight="1">
      <c r="A21" s="404">
        <f t="shared" si="2"/>
        <v>15</v>
      </c>
      <c r="B21" s="83" t="s">
        <v>26</v>
      </c>
      <c r="C21" s="10">
        <f>C444</f>
        <v>27641391.560000002</v>
      </c>
      <c r="D21" s="10">
        <f>D444</f>
        <v>357565.14239999978</v>
      </c>
      <c r="E21" s="10">
        <f>E444</f>
        <v>27283826.417599998</v>
      </c>
      <c r="F21" s="10">
        <f>F444</f>
        <v>4293253.153633601</v>
      </c>
      <c r="G21" s="10">
        <f t="shared" si="3"/>
        <v>31577079.5712336</v>
      </c>
      <c r="H21" s="43"/>
      <c r="I21" s="122"/>
      <c r="J21" s="38"/>
      <c r="K21" s="38"/>
      <c r="L21" s="408"/>
    </row>
    <row r="22" spans="1:12" ht="14.15" customHeight="1">
      <c r="A22" s="404">
        <f t="shared" si="2"/>
        <v>16</v>
      </c>
      <c r="B22" s="56" t="s">
        <v>27</v>
      </c>
      <c r="C22" s="64">
        <v>0</v>
      </c>
      <c r="D22" s="64">
        <v>0</v>
      </c>
      <c r="E22" s="64">
        <v>0</v>
      </c>
      <c r="F22" s="64">
        <v>0</v>
      </c>
      <c r="G22" s="64">
        <f t="shared" si="3"/>
        <v>0</v>
      </c>
      <c r="H22" s="43"/>
      <c r="I22" s="122"/>
      <c r="J22" s="38"/>
      <c r="K22" s="38"/>
      <c r="L22" s="408"/>
    </row>
    <row r="23" spans="1:12" s="18" customFormat="1" ht="14.15" customHeight="1">
      <c r="A23" s="404">
        <f t="shared" si="2"/>
        <v>17</v>
      </c>
      <c r="B23" s="2" t="s">
        <v>458</v>
      </c>
      <c r="C23" s="16">
        <f>SUM(C15:C22)</f>
        <v>477180425.20700002</v>
      </c>
      <c r="D23" s="16">
        <f>SUM(D15:D22)</f>
        <v>4175415.6836132328</v>
      </c>
      <c r="E23" s="16">
        <f>SUM(E15:E22)</f>
        <v>473005009.52338678</v>
      </c>
      <c r="F23" s="16">
        <f>SUM(F15:F22)</f>
        <v>-43550166.709015712</v>
      </c>
      <c r="G23" s="16">
        <f>SUM(G15:G22)</f>
        <v>429454842.81437111</v>
      </c>
      <c r="H23" s="16"/>
      <c r="I23" s="16"/>
      <c r="J23" s="38"/>
      <c r="K23" s="38"/>
    </row>
    <row r="24" spans="1:12" s="18" customFormat="1" ht="14.15" customHeight="1">
      <c r="A24" s="404">
        <f t="shared" si="2"/>
        <v>18</v>
      </c>
      <c r="B24" s="6"/>
      <c r="C24" s="16"/>
      <c r="D24" s="16"/>
      <c r="E24" s="16"/>
      <c r="F24" s="43"/>
      <c r="G24" s="125"/>
      <c r="H24" s="16"/>
      <c r="I24" s="125"/>
      <c r="J24" s="38"/>
      <c r="K24" s="38"/>
    </row>
    <row r="25" spans="1:12" ht="14.15" customHeight="1">
      <c r="A25" s="404">
        <f t="shared" si="2"/>
        <v>19</v>
      </c>
      <c r="B25" s="83" t="s">
        <v>29</v>
      </c>
      <c r="C25" s="10">
        <f>C479</f>
        <v>125983659.73999999</v>
      </c>
      <c r="D25" s="10">
        <f>D479</f>
        <v>1381277.7399999979</v>
      </c>
      <c r="E25" s="10">
        <f>E479</f>
        <v>124602382</v>
      </c>
      <c r="F25" s="10">
        <f>F479</f>
        <v>-8351712.5660330011</v>
      </c>
      <c r="G25" s="10">
        <f>E25+F25</f>
        <v>116250669.43396699</v>
      </c>
      <c r="H25" s="43"/>
      <c r="I25" s="122"/>
      <c r="J25" s="38"/>
      <c r="K25" s="38"/>
      <c r="L25" s="408"/>
    </row>
    <row r="26" spans="1:12" ht="14.15" customHeight="1">
      <c r="A26" s="404">
        <f t="shared" si="2"/>
        <v>20</v>
      </c>
      <c r="B26" s="83" t="s">
        <v>30</v>
      </c>
      <c r="C26" s="10">
        <f>C498</f>
        <v>21435609.890000001</v>
      </c>
      <c r="D26" s="10">
        <f>D498</f>
        <v>376559.890000001</v>
      </c>
      <c r="E26" s="10">
        <f>E498</f>
        <v>21059050</v>
      </c>
      <c r="F26" s="10">
        <f>F498</f>
        <v>5888215.6612645462</v>
      </c>
      <c r="G26" s="10">
        <f>E26+F26</f>
        <v>26947265.661264546</v>
      </c>
      <c r="H26" s="43"/>
      <c r="I26" s="122"/>
      <c r="J26" s="38"/>
      <c r="K26" s="38"/>
      <c r="L26" s="408"/>
    </row>
    <row r="27" spans="1:12" ht="14.15" customHeight="1">
      <c r="A27" s="404">
        <f t="shared" si="2"/>
        <v>21</v>
      </c>
      <c r="B27" s="83" t="s">
        <v>31</v>
      </c>
      <c r="C27" s="10">
        <f>C521</f>
        <v>-2143873.2999999998</v>
      </c>
      <c r="D27" s="10">
        <f>D521</f>
        <v>-886776.29999999981</v>
      </c>
      <c r="E27" s="10">
        <f>E521</f>
        <v>-1257097</v>
      </c>
      <c r="F27" s="10">
        <f>F521</f>
        <v>-140918.22003622132</v>
      </c>
      <c r="G27" s="10">
        <f>E27+F27</f>
        <v>-1398015.2200362212</v>
      </c>
      <c r="H27" s="43"/>
      <c r="I27" s="122"/>
      <c r="J27" s="38"/>
      <c r="K27" s="38"/>
      <c r="L27" s="408"/>
    </row>
    <row r="28" spans="1:12" ht="14.15" customHeight="1">
      <c r="A28" s="404">
        <f t="shared" si="2"/>
        <v>22</v>
      </c>
      <c r="B28" s="83" t="s">
        <v>32</v>
      </c>
      <c r="C28" s="10">
        <f>C506</f>
        <v>1839861.6099999999</v>
      </c>
      <c r="D28" s="10">
        <f>D506</f>
        <v>-0.39000000013038516</v>
      </c>
      <c r="E28" s="10">
        <f>E506</f>
        <v>1839862</v>
      </c>
      <c r="F28" s="10">
        <f>F506</f>
        <v>-243878.88847500016</v>
      </c>
      <c r="G28" s="10">
        <f>E28+F28</f>
        <v>1595983.1115249998</v>
      </c>
      <c r="H28" s="43"/>
      <c r="I28" s="122"/>
      <c r="J28" s="38"/>
      <c r="K28" s="38"/>
      <c r="L28" s="408"/>
    </row>
    <row r="29" spans="1:12" ht="14.15" customHeight="1">
      <c r="A29" s="404">
        <f t="shared" si="2"/>
        <v>23</v>
      </c>
      <c r="B29" s="56" t="s">
        <v>33</v>
      </c>
      <c r="C29" s="64">
        <f>C517</f>
        <v>12288351.789999999</v>
      </c>
      <c r="D29" s="64">
        <f>D517</f>
        <v>5266555.17</v>
      </c>
      <c r="E29" s="64">
        <f>E517</f>
        <v>7021796.6200000001</v>
      </c>
      <c r="F29" s="64">
        <f>F517</f>
        <v>153068.90000000008</v>
      </c>
      <c r="G29" s="64">
        <f>E29+F29</f>
        <v>7174865.5200000005</v>
      </c>
      <c r="H29" s="43"/>
      <c r="I29" s="122"/>
      <c r="J29" s="38"/>
      <c r="K29" s="38"/>
      <c r="L29" s="408"/>
    </row>
    <row r="30" spans="1:12" s="18" customFormat="1" ht="14.15" customHeight="1">
      <c r="A30" s="404">
        <f t="shared" si="2"/>
        <v>24</v>
      </c>
      <c r="B30" s="2" t="s">
        <v>34</v>
      </c>
      <c r="C30" s="16">
        <f>SUM(C12)-SUM(C23:C29)</f>
        <v>90857720.022999763</v>
      </c>
      <c r="D30" s="16">
        <f>SUM(D12)-SUM(D23:D29)</f>
        <v>-4857329.4800132597</v>
      </c>
      <c r="E30" s="16">
        <f>SUM(E12)-SUM(E23:E29)</f>
        <v>95715049.613013268</v>
      </c>
      <c r="F30" s="16">
        <f>SUM(F12)-SUM(F23:F29)</f>
        <v>-10275155.594882257</v>
      </c>
      <c r="G30" s="16">
        <f>SUM(G12)-SUM(G23:G29)</f>
        <v>85439894.018130898</v>
      </c>
      <c r="H30" s="16"/>
      <c r="I30" s="126"/>
      <c r="J30" s="38"/>
      <c r="K30" s="38"/>
    </row>
    <row r="31" spans="1:12" s="18" customFormat="1" ht="14.15" customHeight="1">
      <c r="A31" s="404">
        <f t="shared" si="2"/>
        <v>25</v>
      </c>
      <c r="B31" s="6"/>
      <c r="C31" s="16"/>
      <c r="D31" s="16"/>
      <c r="E31" s="16">
        <f>E30+E27</f>
        <v>94457952.613013268</v>
      </c>
      <c r="F31" s="16">
        <f>F30+F27</f>
        <v>-10416073.814918479</v>
      </c>
      <c r="G31" s="16">
        <f>G30+G27</f>
        <v>84041878.798094675</v>
      </c>
      <c r="H31" s="16"/>
      <c r="I31" s="125"/>
      <c r="J31" s="38"/>
      <c r="K31" s="38"/>
    </row>
    <row r="32" spans="1:12" ht="14.15" customHeight="1">
      <c r="A32" s="404">
        <f t="shared" si="2"/>
        <v>26</v>
      </c>
      <c r="B32" s="3" t="s">
        <v>35</v>
      </c>
      <c r="C32" s="10"/>
      <c r="D32" s="10"/>
      <c r="E32" s="43"/>
      <c r="F32" s="127"/>
      <c r="G32" s="122"/>
      <c r="H32" s="43"/>
      <c r="I32" s="122"/>
      <c r="J32" s="38"/>
      <c r="K32" s="38"/>
      <c r="L32" s="408"/>
    </row>
    <row r="33" spans="1:12" ht="14.15" customHeight="1">
      <c r="A33" s="404">
        <f t="shared" si="2"/>
        <v>27</v>
      </c>
      <c r="B33" s="83" t="s">
        <v>36</v>
      </c>
      <c r="C33" s="10">
        <f t="shared" ref="C33:F36" si="4">C522</f>
        <v>-4143717</v>
      </c>
      <c r="D33" s="10">
        <f t="shared" si="4"/>
        <v>-1877580</v>
      </c>
      <c r="E33" s="10">
        <f t="shared" si="4"/>
        <v>-2266137</v>
      </c>
      <c r="F33" s="10">
        <f t="shared" si="4"/>
        <v>-469374.66569704702</v>
      </c>
      <c r="G33" s="10">
        <f>E33+F33</f>
        <v>-2735511.665697047</v>
      </c>
      <c r="H33" s="43"/>
      <c r="I33" s="122"/>
      <c r="J33" s="38"/>
      <c r="K33" s="38"/>
      <c r="L33" s="408"/>
    </row>
    <row r="34" spans="1:12" ht="14.15" customHeight="1">
      <c r="A34" s="404">
        <f t="shared" si="2"/>
        <v>28</v>
      </c>
      <c r="B34" s="83" t="s">
        <v>37</v>
      </c>
      <c r="C34" s="10">
        <f t="shared" si="4"/>
        <v>8216488.4500000002</v>
      </c>
      <c r="D34" s="10">
        <f t="shared" si="4"/>
        <v>505682.45000000019</v>
      </c>
      <c r="E34" s="10">
        <f t="shared" si="4"/>
        <v>7710806</v>
      </c>
      <c r="F34" s="10">
        <f t="shared" si="4"/>
        <v>4873835</v>
      </c>
      <c r="G34" s="10">
        <f>E34+F34</f>
        <v>12584641</v>
      </c>
      <c r="H34" s="43"/>
      <c r="I34" s="122"/>
      <c r="J34" s="38"/>
      <c r="K34" s="38"/>
      <c r="L34" s="408"/>
    </row>
    <row r="35" spans="1:12" s="22" customFormat="1" ht="14.15" customHeight="1">
      <c r="A35" s="404">
        <f t="shared" si="2"/>
        <v>29</v>
      </c>
      <c r="B35" s="22" t="s">
        <v>38</v>
      </c>
      <c r="C35" s="43">
        <f t="shared" si="4"/>
        <v>0</v>
      </c>
      <c r="D35" s="43">
        <f t="shared" si="4"/>
        <v>0</v>
      </c>
      <c r="E35" s="43">
        <f t="shared" si="4"/>
        <v>0</v>
      </c>
      <c r="F35" s="43">
        <f t="shared" si="4"/>
        <v>0</v>
      </c>
      <c r="G35" s="10">
        <f>E35+F35</f>
        <v>0</v>
      </c>
      <c r="H35" s="43"/>
      <c r="I35" s="122"/>
      <c r="J35" s="38"/>
      <c r="K35" s="38"/>
      <c r="L35" s="408"/>
    </row>
    <row r="36" spans="1:12" s="22" customFormat="1" ht="14.15" customHeight="1">
      <c r="A36" s="404">
        <f t="shared" si="2"/>
        <v>30</v>
      </c>
      <c r="B36" s="57" t="s">
        <v>382</v>
      </c>
      <c r="C36" s="43">
        <f t="shared" si="4"/>
        <v>0</v>
      </c>
      <c r="D36" s="43">
        <f t="shared" si="4"/>
        <v>0</v>
      </c>
      <c r="E36" s="43">
        <f t="shared" si="4"/>
        <v>0</v>
      </c>
      <c r="F36" s="43">
        <f t="shared" si="4"/>
        <v>0</v>
      </c>
      <c r="G36" s="10">
        <f>E36+F36</f>
        <v>0</v>
      </c>
      <c r="H36" s="43"/>
      <c r="I36" s="122"/>
      <c r="J36" s="38"/>
      <c r="K36" s="38"/>
      <c r="L36" s="408"/>
    </row>
    <row r="37" spans="1:12" s="128" customFormat="1" ht="14.15" customHeight="1">
      <c r="A37" s="404">
        <f t="shared" si="2"/>
        <v>31</v>
      </c>
      <c r="B37" s="2" t="s">
        <v>39</v>
      </c>
      <c r="C37" s="80">
        <f>SUM(C32:C36)</f>
        <v>4072771.45</v>
      </c>
      <c r="D37" s="80">
        <f>SUM(D32:D36)</f>
        <v>-1371897.5499999998</v>
      </c>
      <c r="E37" s="80">
        <f>SUM(E32:E36)</f>
        <v>5444669</v>
      </c>
      <c r="F37" s="80">
        <f>SUM(F33:F36)</f>
        <v>4404460.3343029525</v>
      </c>
      <c r="G37" s="80">
        <f>SUM(G32:G36)</f>
        <v>9849129.3343029525</v>
      </c>
      <c r="H37" s="16"/>
      <c r="I37" s="16"/>
      <c r="J37" s="38"/>
      <c r="K37" s="38"/>
      <c r="L37" s="18"/>
    </row>
    <row r="38" spans="1:12" s="18" customFormat="1" ht="14.15" customHeight="1">
      <c r="A38" s="404">
        <f t="shared" si="2"/>
        <v>32</v>
      </c>
      <c r="B38" s="6"/>
      <c r="C38" s="16"/>
      <c r="D38" s="16"/>
      <c r="E38" s="16"/>
      <c r="F38" s="43"/>
      <c r="G38" s="125"/>
      <c r="H38" s="16"/>
      <c r="I38" s="125"/>
      <c r="J38" s="38"/>
      <c r="K38" s="38"/>
    </row>
    <row r="39" spans="1:12" s="404" customFormat="1" ht="14.15" customHeight="1">
      <c r="A39" s="404">
        <f t="shared" si="2"/>
        <v>33</v>
      </c>
      <c r="B39" s="402" t="s">
        <v>40</v>
      </c>
      <c r="C39" s="43">
        <f>C30-C37</f>
        <v>86784948.572999761</v>
      </c>
      <c r="D39" s="43">
        <f>D30-D37</f>
        <v>-3485431.9300132599</v>
      </c>
      <c r="E39" s="43">
        <f>E30-E37</f>
        <v>90270380.613013268</v>
      </c>
      <c r="F39" s="43">
        <f>F30-F37</f>
        <v>-14679615.92918521</v>
      </c>
      <c r="G39" s="43">
        <f>G30-G37</f>
        <v>75590764.683827952</v>
      </c>
      <c r="H39" s="43"/>
      <c r="I39" s="9"/>
      <c r="J39" s="38"/>
      <c r="K39" s="38"/>
      <c r="L39" s="408"/>
    </row>
    <row r="40" spans="1:12" s="404" customFormat="1" ht="14.15" customHeight="1">
      <c r="A40" s="404">
        <f t="shared" si="2"/>
        <v>34</v>
      </c>
      <c r="B40" s="129" t="s">
        <v>326</v>
      </c>
      <c r="C40" s="64">
        <f>-C500-C501-C502-C503-C504</f>
        <v>6039049.0599999996</v>
      </c>
      <c r="D40" s="64">
        <f>-D500-D501-D502-D503-D504</f>
        <v>72863.060000000027</v>
      </c>
      <c r="E40" s="64">
        <f>-E500-E501-E502-E503-E504</f>
        <v>5966186</v>
      </c>
      <c r="F40" s="64">
        <f>-SUM(F500:F504)</f>
        <v>4013313.0600000005</v>
      </c>
      <c r="G40" s="64">
        <f>E40+F40</f>
        <v>9979499.0600000005</v>
      </c>
      <c r="H40" s="43"/>
      <c r="I40" s="9"/>
      <c r="J40" s="38"/>
      <c r="K40" s="38"/>
      <c r="L40" s="408"/>
    </row>
    <row r="41" spans="1:12" s="404" customFormat="1" ht="14.15" customHeight="1" thickBot="1">
      <c r="A41" s="404">
        <f t="shared" si="2"/>
        <v>35</v>
      </c>
      <c r="B41" s="4" t="s">
        <v>41</v>
      </c>
      <c r="C41" s="130">
        <f>C40+C39</f>
        <v>92823997.632999763</v>
      </c>
      <c r="D41" s="130">
        <f>D40+D39</f>
        <v>-3412568.8700132598</v>
      </c>
      <c r="E41" s="130">
        <f>E39+E40</f>
        <v>96236566.613013268</v>
      </c>
      <c r="F41" s="130">
        <f>F39+F40</f>
        <v>-10666302.869185209</v>
      </c>
      <c r="G41" s="130">
        <f>SUM(G39:G40)</f>
        <v>85570263.743827954</v>
      </c>
      <c r="H41" s="43"/>
      <c r="I41" s="227"/>
      <c r="J41" s="38"/>
      <c r="K41" s="38"/>
      <c r="L41" s="408"/>
    </row>
    <row r="42" spans="1:12" s="404" customFormat="1" ht="14.15" customHeight="1" thickTop="1">
      <c r="A42" s="404">
        <f t="shared" si="2"/>
        <v>36</v>
      </c>
      <c r="B42" s="402"/>
      <c r="C42" s="43"/>
      <c r="D42" s="43"/>
      <c r="E42" s="43"/>
      <c r="F42" s="43"/>
      <c r="G42" s="122"/>
      <c r="H42" s="43"/>
      <c r="I42" s="403"/>
      <c r="J42" s="38"/>
      <c r="K42" s="38"/>
      <c r="L42" s="408"/>
    </row>
    <row r="43" spans="1:12" ht="14.15" customHeight="1">
      <c r="A43" s="404">
        <f t="shared" si="2"/>
        <v>37</v>
      </c>
      <c r="B43" s="83" t="s">
        <v>42</v>
      </c>
      <c r="C43" s="43">
        <f>C172</f>
        <v>3657961431.1199999</v>
      </c>
      <c r="D43" s="43">
        <f>D172</f>
        <v>77564198.450000077</v>
      </c>
      <c r="E43" s="43">
        <f>E172</f>
        <v>3580397232.6700001</v>
      </c>
      <c r="F43" s="43">
        <f>F172</f>
        <v>-601498841.80999994</v>
      </c>
      <c r="G43" s="43">
        <f>G172</f>
        <v>2978898390.8599997</v>
      </c>
      <c r="H43" s="43"/>
      <c r="I43" s="22"/>
      <c r="J43" s="38"/>
      <c r="K43" s="38"/>
      <c r="L43" s="408"/>
    </row>
    <row r="44" spans="1:12" ht="14.15" customHeight="1">
      <c r="A44" s="404">
        <f t="shared" si="2"/>
        <v>38</v>
      </c>
      <c r="B44" s="56" t="s">
        <v>43</v>
      </c>
      <c r="C44" s="64">
        <f>-C189-C197-C200</f>
        <v>-1402526541.25</v>
      </c>
      <c r="D44" s="64">
        <f>-D189-D197-D200</f>
        <v>-24055752.250000037</v>
      </c>
      <c r="E44" s="64">
        <f>-E189-E197-E200</f>
        <v>-1378470789</v>
      </c>
      <c r="F44" s="64">
        <f>-F189-F197</f>
        <v>354370732.91999996</v>
      </c>
      <c r="G44" s="64">
        <f>-G189-G197</f>
        <v>-1024100056.08</v>
      </c>
      <c r="H44" s="43"/>
      <c r="I44" s="22"/>
      <c r="J44" s="38"/>
      <c r="K44" s="38"/>
      <c r="L44" s="408"/>
    </row>
    <row r="45" spans="1:12" ht="14.15" customHeight="1">
      <c r="A45" s="404">
        <f t="shared" si="2"/>
        <v>39</v>
      </c>
      <c r="B45" s="13" t="s">
        <v>459</v>
      </c>
      <c r="C45" s="43">
        <f>SUM(C43:C44)</f>
        <v>2255434889.8699999</v>
      </c>
      <c r="D45" s="43">
        <f>SUM(D43:D44)</f>
        <v>53508446.20000004</v>
      </c>
      <c r="E45" s="43">
        <f>SUM(E43:E44)</f>
        <v>2201926443.6700001</v>
      </c>
      <c r="F45" s="43">
        <f>SUM(F43:F44)</f>
        <v>-247128108.88999999</v>
      </c>
      <c r="G45" s="43">
        <f>SUM(G43:G44)</f>
        <v>1954798334.7799997</v>
      </c>
      <c r="H45" s="92"/>
      <c r="I45" s="22"/>
      <c r="J45" s="38"/>
      <c r="K45" s="38"/>
      <c r="L45" s="408"/>
    </row>
    <row r="46" spans="1:12" ht="14.15" customHeight="1">
      <c r="A46" s="404">
        <f t="shared" si="2"/>
        <v>40</v>
      </c>
      <c r="B46" s="83" t="s">
        <v>45</v>
      </c>
      <c r="C46" s="43">
        <f>C237</f>
        <v>801671.21</v>
      </c>
      <c r="D46" s="43">
        <f>D237</f>
        <v>801.20999999996275</v>
      </c>
      <c r="E46" s="43">
        <f>E237</f>
        <v>800870</v>
      </c>
      <c r="F46" s="43">
        <f>F237</f>
        <v>801.20999999996275</v>
      </c>
      <c r="G46" s="43">
        <f>E46+F46</f>
        <v>801671.21</v>
      </c>
      <c r="H46" s="43"/>
      <c r="I46" s="65"/>
      <c r="J46" s="38"/>
      <c r="K46" s="38"/>
      <c r="L46" s="408"/>
    </row>
    <row r="47" spans="1:12" ht="14.15" customHeight="1">
      <c r="A47" s="404">
        <f t="shared" si="2"/>
        <v>41</v>
      </c>
      <c r="B47" s="83" t="s">
        <v>369</v>
      </c>
      <c r="C47" s="43">
        <f>C248+C249</f>
        <v>49892012.340000004</v>
      </c>
      <c r="D47" s="43">
        <f>D248+D249</f>
        <v>48488568.340000004</v>
      </c>
      <c r="E47" s="43">
        <f>E248+E249</f>
        <v>1403444</v>
      </c>
      <c r="F47" s="43">
        <f>F248+F249</f>
        <v>28641.75</v>
      </c>
      <c r="G47" s="43">
        <f>E47+F47</f>
        <v>1432085.75</v>
      </c>
      <c r="H47" s="43"/>
      <c r="I47" s="22"/>
      <c r="J47" s="38"/>
      <c r="K47" s="38"/>
      <c r="L47" s="408"/>
    </row>
    <row r="48" spans="1:12" ht="14.15" customHeight="1">
      <c r="A48" s="404">
        <f t="shared" si="2"/>
        <v>42</v>
      </c>
      <c r="B48" s="83" t="s">
        <v>370</v>
      </c>
      <c r="C48" s="43">
        <f>C245</f>
        <v>90981940.441999987</v>
      </c>
      <c r="D48" s="43">
        <f>D245</f>
        <v>1209867.4419999928</v>
      </c>
      <c r="E48" s="43">
        <f>E245</f>
        <v>89772073</v>
      </c>
      <c r="F48" s="43">
        <f>F245</f>
        <v>184807.44199999282</v>
      </c>
      <c r="G48" s="43">
        <f>E48+F48</f>
        <v>89956880.441999987</v>
      </c>
      <c r="H48" s="43"/>
      <c r="I48" s="22"/>
      <c r="J48" s="38"/>
      <c r="K48" s="38"/>
      <c r="L48" s="408"/>
    </row>
    <row r="49" spans="1:12" ht="14.15" customHeight="1">
      <c r="A49" s="404">
        <f t="shared" si="2"/>
        <v>43</v>
      </c>
      <c r="B49" s="83" t="s">
        <v>371</v>
      </c>
      <c r="C49" s="43">
        <f>C457</f>
        <v>0</v>
      </c>
      <c r="D49" s="43">
        <f>D457</f>
        <v>0</v>
      </c>
      <c r="E49" s="43">
        <f>E457</f>
        <v>0</v>
      </c>
      <c r="F49" s="43">
        <f ca="1">F457</f>
        <v>-60772164.879299641</v>
      </c>
      <c r="G49" s="43">
        <f ca="1">E49+F49</f>
        <v>-60772164.879299641</v>
      </c>
      <c r="H49" s="43"/>
      <c r="I49" s="22"/>
      <c r="J49" s="38"/>
      <c r="K49" s="38"/>
      <c r="L49" s="408"/>
    </row>
    <row r="50" spans="1:12" ht="14.15" customHeight="1">
      <c r="A50" s="404">
        <f t="shared" si="2"/>
        <v>44</v>
      </c>
      <c r="B50" s="83" t="s">
        <v>958</v>
      </c>
      <c r="C50" s="43">
        <f>C230</f>
        <v>158950249.46000001</v>
      </c>
      <c r="D50" s="43">
        <f>D230</f>
        <v>1814865.459999996</v>
      </c>
      <c r="E50" s="43">
        <f>E230</f>
        <v>157135384</v>
      </c>
      <c r="F50" s="43">
        <f>F230</f>
        <v>1649477.659999996</v>
      </c>
      <c r="G50" s="43">
        <f>G230</f>
        <v>158784861.66000003</v>
      </c>
      <c r="H50" s="43"/>
      <c r="I50" s="22"/>
      <c r="J50" s="38"/>
      <c r="K50" s="38"/>
      <c r="L50" s="408"/>
    </row>
    <row r="51" spans="1:12" ht="14.15" customHeight="1">
      <c r="A51" s="404">
        <f t="shared" si="2"/>
        <v>45</v>
      </c>
      <c r="B51" s="83" t="s">
        <v>959</v>
      </c>
      <c r="C51" s="43">
        <f>(+C257+C258+C259+C260)</f>
        <v>-37460316.32</v>
      </c>
      <c r="D51" s="43">
        <f t="shared" ref="D51:F51" si="5">(+D257+D258+D259+D260)</f>
        <v>-367913.17999999988</v>
      </c>
      <c r="E51" s="43">
        <f t="shared" si="5"/>
        <v>-37092403.140000001</v>
      </c>
      <c r="F51" s="43">
        <f t="shared" si="5"/>
        <v>10000000</v>
      </c>
      <c r="G51" s="43">
        <f>(+G257+G258+G259+G260)</f>
        <v>-27092403.140000001</v>
      </c>
      <c r="H51" s="43"/>
      <c r="I51" s="22"/>
      <c r="J51" s="38"/>
      <c r="K51" s="38"/>
      <c r="L51" s="408"/>
    </row>
    <row r="52" spans="1:12" ht="14.15" customHeight="1">
      <c r="A52" s="404">
        <f t="shared" si="2"/>
        <v>46</v>
      </c>
      <c r="B52" s="56" t="s">
        <v>46</v>
      </c>
      <c r="C52" s="64">
        <f>C254</f>
        <v>-453392109.80999994</v>
      </c>
      <c r="D52" s="64">
        <f>D254</f>
        <v>-113764182.80999994</v>
      </c>
      <c r="E52" s="64">
        <f>E254</f>
        <v>-339627927</v>
      </c>
      <c r="F52" s="64">
        <f>F254</f>
        <v>93977971.09415172</v>
      </c>
      <c r="G52" s="64">
        <f>E52+F52</f>
        <v>-245649955.90584826</v>
      </c>
      <c r="H52" s="43"/>
      <c r="I52" s="131"/>
      <c r="J52" s="38"/>
      <c r="K52" s="38"/>
      <c r="L52" s="408"/>
    </row>
    <row r="53" spans="1:12" s="18" customFormat="1" ht="14.15" customHeight="1" thickBot="1">
      <c r="A53" s="404">
        <f t="shared" si="2"/>
        <v>47</v>
      </c>
      <c r="B53" s="5" t="s">
        <v>47</v>
      </c>
      <c r="C53" s="132">
        <f>SUM(C45:C52)</f>
        <v>2065208337.1919999</v>
      </c>
      <c r="D53" s="132">
        <f>SUM(D45:D52)</f>
        <v>-9109547.337999925</v>
      </c>
      <c r="E53" s="132">
        <f>SUM(E45:E52)</f>
        <v>2074317884.5300002</v>
      </c>
      <c r="F53" s="132">
        <f ca="1">SUM(F45:F52)</f>
        <v>-202058574.61314791</v>
      </c>
      <c r="G53" s="132">
        <f ca="1">SUM(G45:G52)</f>
        <v>1872259309.9168518</v>
      </c>
      <c r="H53" s="16"/>
      <c r="I53" s="133" t="s">
        <v>48</v>
      </c>
      <c r="J53" s="38"/>
      <c r="K53" s="38"/>
    </row>
    <row r="54" spans="1:12" s="18" customFormat="1" ht="14.15" customHeight="1" thickTop="1">
      <c r="A54" s="404">
        <f t="shared" si="2"/>
        <v>48</v>
      </c>
      <c r="B54" s="6"/>
      <c r="C54" s="16"/>
      <c r="D54" s="16"/>
      <c r="E54" s="16"/>
      <c r="F54" s="16"/>
      <c r="G54" s="16"/>
      <c r="H54" s="16"/>
      <c r="I54" s="128"/>
      <c r="J54" s="38"/>
      <c r="K54" s="38"/>
    </row>
    <row r="55" spans="1:12" s="18" customFormat="1" ht="14.15" customHeight="1">
      <c r="A55" s="404">
        <f t="shared" si="2"/>
        <v>49</v>
      </c>
      <c r="B55" s="2" t="s">
        <v>49</v>
      </c>
      <c r="C55" s="134">
        <f>C41/C53</f>
        <v>4.4946553798639849E-2</v>
      </c>
      <c r="D55" s="135">
        <f>+D41/D53</f>
        <v>0.3746145382853367</v>
      </c>
      <c r="E55" s="134">
        <f>+E41/E53</f>
        <v>4.6394319467972282E-2</v>
      </c>
      <c r="F55" s="135"/>
      <c r="G55" s="134">
        <f ca="1">+G41/G53</f>
        <v>4.5704280005758491E-2</v>
      </c>
      <c r="H55" s="136"/>
      <c r="I55" s="128"/>
      <c r="J55" s="38"/>
      <c r="K55" s="38"/>
    </row>
    <row r="56" spans="1:12" s="18" customFormat="1" ht="14.15" customHeight="1">
      <c r="A56" s="404">
        <f t="shared" si="2"/>
        <v>50</v>
      </c>
      <c r="B56" s="6"/>
      <c r="C56" s="137"/>
      <c r="D56" s="137"/>
      <c r="E56" s="136"/>
      <c r="F56" s="136"/>
      <c r="G56" s="136"/>
      <c r="H56" s="128"/>
      <c r="I56" s="138"/>
      <c r="J56" s="38"/>
      <c r="K56" s="38"/>
    </row>
    <row r="57" spans="1:12" ht="13.5" customHeight="1">
      <c r="A57" s="404">
        <f t="shared" si="2"/>
        <v>51</v>
      </c>
      <c r="C57" s="10"/>
      <c r="D57" s="95"/>
      <c r="E57" s="95"/>
      <c r="F57" s="95"/>
      <c r="G57" s="136"/>
      <c r="I57" s="22"/>
      <c r="J57" s="38"/>
      <c r="K57" s="38"/>
      <c r="L57" s="408"/>
    </row>
    <row r="58" spans="1:12" s="21" customFormat="1" ht="14.15" customHeight="1">
      <c r="A58" s="404">
        <f t="shared" si="2"/>
        <v>52</v>
      </c>
      <c r="B58" s="53" t="s">
        <v>50</v>
      </c>
      <c r="C58" s="10"/>
      <c r="D58" s="19"/>
      <c r="E58" s="19"/>
      <c r="F58" s="19"/>
      <c r="G58" s="139"/>
      <c r="J58" s="38"/>
      <c r="K58" s="38"/>
      <c r="L58" s="18"/>
    </row>
    <row r="59" spans="1:12" ht="14.15" customHeight="1">
      <c r="A59" s="404">
        <f t="shared" si="2"/>
        <v>53</v>
      </c>
      <c r="B59" s="8" t="s">
        <v>51</v>
      </c>
      <c r="C59" s="10"/>
      <c r="D59" s="19"/>
      <c r="E59" s="10"/>
      <c r="F59" s="10"/>
      <c r="G59" s="38"/>
      <c r="I59" s="83"/>
      <c r="J59" s="38"/>
      <c r="K59" s="38"/>
      <c r="L59" s="408"/>
    </row>
    <row r="60" spans="1:12" ht="14.15" customHeight="1">
      <c r="A60" s="404">
        <f t="shared" si="2"/>
        <v>54</v>
      </c>
      <c r="B60" s="83" t="s">
        <v>52</v>
      </c>
      <c r="C60" s="10">
        <v>52919.18</v>
      </c>
      <c r="D60" s="10">
        <f>C60-E60</f>
        <v>1058.1800000000003</v>
      </c>
      <c r="E60" s="10">
        <f>ROUND(C60*'Allocation Factors'!$G$22,0)</f>
        <v>51861</v>
      </c>
      <c r="F60" s="10">
        <f>'Sch 5'!C60</f>
        <v>-4029984.82</v>
      </c>
      <c r="G60" s="10">
        <f>E60+F60</f>
        <v>-3978123.82</v>
      </c>
      <c r="H60" s="10"/>
      <c r="I60" s="15" t="s">
        <v>348</v>
      </c>
      <c r="J60" s="38"/>
      <c r="K60" s="38"/>
      <c r="L60" s="408"/>
    </row>
    <row r="61" spans="1:12" ht="14.15" customHeight="1">
      <c r="A61" s="404">
        <f t="shared" si="2"/>
        <v>55</v>
      </c>
      <c r="B61" s="56" t="s">
        <v>53</v>
      </c>
      <c r="C61" s="10">
        <v>0</v>
      </c>
      <c r="D61" s="10">
        <f>C61-E61</f>
        <v>0</v>
      </c>
      <c r="E61" s="10">
        <f>ROUND(C61*'Allocation Factors'!$G$22,0)</f>
        <v>0</v>
      </c>
      <c r="F61" s="10">
        <f>'Sch 5'!C61</f>
        <v>0</v>
      </c>
      <c r="G61" s="10">
        <f>E61+F61</f>
        <v>0</v>
      </c>
      <c r="H61" s="10"/>
      <c r="I61" s="15" t="s">
        <v>348</v>
      </c>
      <c r="J61" s="38"/>
      <c r="K61" s="38"/>
      <c r="L61" s="408"/>
    </row>
    <row r="62" spans="1:12" ht="14.15" customHeight="1">
      <c r="A62" s="404">
        <f t="shared" si="2"/>
        <v>56</v>
      </c>
      <c r="B62" s="3" t="s">
        <v>460</v>
      </c>
      <c r="C62" s="47">
        <f>SUM(C60:C61)</f>
        <v>52919.18</v>
      </c>
      <c r="D62" s="47">
        <f>SUM(D60:D61)</f>
        <v>1058.1800000000003</v>
      </c>
      <c r="E62" s="47">
        <f>SUM(E60:E61)</f>
        <v>51861</v>
      </c>
      <c r="F62" s="47">
        <f>SUM(F60:F61)</f>
        <v>-4029984.82</v>
      </c>
      <c r="G62" s="47">
        <f>SUM(G60:G61)</f>
        <v>-3978123.82</v>
      </c>
      <c r="H62" s="47"/>
      <c r="I62" s="140"/>
      <c r="J62" s="38"/>
      <c r="K62" s="38"/>
      <c r="L62" s="408" t="s">
        <v>939</v>
      </c>
    </row>
    <row r="63" spans="1:12" ht="14.15" customHeight="1">
      <c r="A63" s="404">
        <f t="shared" si="2"/>
        <v>57</v>
      </c>
      <c r="C63" s="9"/>
      <c r="D63" s="43"/>
      <c r="E63" s="48"/>
      <c r="F63" s="43"/>
      <c r="G63" s="43"/>
      <c r="H63" s="43"/>
      <c r="I63" s="15"/>
      <c r="J63" s="38"/>
      <c r="K63" s="38"/>
      <c r="L63" s="408"/>
    </row>
    <row r="64" spans="1:12" ht="14.15" customHeight="1">
      <c r="A64" s="404">
        <f t="shared" si="2"/>
        <v>58</v>
      </c>
      <c r="B64" s="3" t="s">
        <v>56</v>
      </c>
      <c r="C64" s="10"/>
      <c r="D64" s="19"/>
      <c r="E64" s="10"/>
      <c r="F64" s="10"/>
      <c r="G64" s="10"/>
      <c r="H64" s="10"/>
      <c r="I64" s="15"/>
      <c r="J64" s="38"/>
      <c r="K64" s="38"/>
      <c r="L64" s="408"/>
    </row>
    <row r="65" spans="1:12" ht="14.15" customHeight="1">
      <c r="A65" s="404">
        <f t="shared" si="2"/>
        <v>59</v>
      </c>
      <c r="B65" s="3" t="s">
        <v>57</v>
      </c>
      <c r="C65" s="10"/>
      <c r="D65" s="19"/>
      <c r="E65" s="10"/>
      <c r="F65" s="10"/>
      <c r="G65" s="10"/>
      <c r="H65" s="10"/>
      <c r="I65" s="15"/>
      <c r="J65" s="38"/>
      <c r="K65" s="38"/>
      <c r="L65" s="408"/>
    </row>
    <row r="66" spans="1:12" ht="14.15" customHeight="1">
      <c r="A66" s="404">
        <f t="shared" si="2"/>
        <v>60</v>
      </c>
      <c r="B66" s="83" t="s">
        <v>58</v>
      </c>
      <c r="C66" s="10">
        <v>4986110.3</v>
      </c>
      <c r="D66" s="10">
        <f t="shared" ref="D66:D73" si="6">C66-E66</f>
        <v>74791.299999999814</v>
      </c>
      <c r="E66" s="10">
        <f>ROUND(C66*'Allocation Factors'!$G$10,0)</f>
        <v>4911319</v>
      </c>
      <c r="F66" s="10">
        <f>'Sch 5'!C66</f>
        <v>-2780439.54</v>
      </c>
      <c r="G66" s="10">
        <f t="shared" ref="G66:G73" si="7">E66+F66</f>
        <v>2130879.46</v>
      </c>
      <c r="H66" s="10"/>
      <c r="I66" s="15" t="s">
        <v>337</v>
      </c>
      <c r="J66" s="38"/>
      <c r="K66" s="38"/>
      <c r="L66" s="408"/>
    </row>
    <row r="67" spans="1:12" ht="14.15" customHeight="1">
      <c r="A67" s="404">
        <f t="shared" si="2"/>
        <v>61</v>
      </c>
      <c r="B67" s="83" t="s">
        <v>60</v>
      </c>
      <c r="C67" s="10">
        <v>80522248.659999996</v>
      </c>
      <c r="D67" s="10">
        <f t="shared" si="6"/>
        <v>1207833.6599999964</v>
      </c>
      <c r="E67" s="10">
        <f>ROUND(C67*'Allocation Factors'!$G$10,0)</f>
        <v>79314415</v>
      </c>
      <c r="F67" s="10">
        <f>'Sch 5'!C67</f>
        <v>-30319477.320000004</v>
      </c>
      <c r="G67" s="10">
        <f t="shared" si="7"/>
        <v>48994937.679999992</v>
      </c>
      <c r="H67" s="10"/>
      <c r="I67" s="15" t="s">
        <v>337</v>
      </c>
      <c r="J67" s="38"/>
      <c r="K67" s="38"/>
      <c r="L67" s="408"/>
    </row>
    <row r="68" spans="1:12" ht="14.15" customHeight="1">
      <c r="A68" s="404">
        <f t="shared" si="2"/>
        <v>62</v>
      </c>
      <c r="B68" s="83" t="s">
        <v>61</v>
      </c>
      <c r="C68" s="10">
        <v>965925688.18000007</v>
      </c>
      <c r="D68" s="10">
        <f t="shared" si="6"/>
        <v>14488885.180000067</v>
      </c>
      <c r="E68" s="10">
        <f>ROUND(C68*'Allocation Factors'!$G$10,0)</f>
        <v>951436803</v>
      </c>
      <c r="F68" s="10">
        <f>'Sch 5'!C68</f>
        <v>-517583705.8599999</v>
      </c>
      <c r="G68" s="10">
        <f t="shared" si="7"/>
        <v>433853097.1400001</v>
      </c>
      <c r="H68" s="10"/>
      <c r="I68" s="15" t="s">
        <v>337</v>
      </c>
      <c r="J68" s="38"/>
      <c r="K68" s="38"/>
      <c r="L68" s="408"/>
    </row>
    <row r="69" spans="1:12" ht="14.15" customHeight="1">
      <c r="A69" s="404">
        <f t="shared" si="2"/>
        <v>63</v>
      </c>
      <c r="B69" s="83" t="s">
        <v>62</v>
      </c>
      <c r="C69" s="10">
        <v>0</v>
      </c>
      <c r="D69" s="10">
        <f t="shared" si="6"/>
        <v>0</v>
      </c>
      <c r="E69" s="10">
        <f>ROUND(C69*'Allocation Factors'!$G$10,0)</f>
        <v>0</v>
      </c>
      <c r="F69" s="10">
        <f>'Sch 5'!C69</f>
        <v>0</v>
      </c>
      <c r="G69" s="10">
        <f t="shared" si="7"/>
        <v>0</v>
      </c>
      <c r="H69" s="10"/>
      <c r="I69" s="15" t="s">
        <v>337</v>
      </c>
      <c r="J69" s="38"/>
      <c r="K69" s="38"/>
      <c r="L69" s="408"/>
    </row>
    <row r="70" spans="1:12" ht="14.15" customHeight="1">
      <c r="A70" s="404">
        <f t="shared" si="2"/>
        <v>64</v>
      </c>
      <c r="B70" s="83" t="s">
        <v>63</v>
      </c>
      <c r="C70" s="10">
        <v>120155019.09999999</v>
      </c>
      <c r="D70" s="10">
        <f t="shared" si="6"/>
        <v>1802325.099999994</v>
      </c>
      <c r="E70" s="10">
        <f>ROUND(C70*'Allocation Factors'!$G$10,0)</f>
        <v>118352694</v>
      </c>
      <c r="F70" s="10">
        <f>'Sch 5'!C70</f>
        <v>-54489291.460000008</v>
      </c>
      <c r="G70" s="10">
        <f t="shared" si="7"/>
        <v>63863402.539999992</v>
      </c>
      <c r="H70" s="10"/>
      <c r="I70" s="15" t="s">
        <v>337</v>
      </c>
      <c r="J70" s="38"/>
      <c r="K70" s="38"/>
      <c r="L70" s="408"/>
    </row>
    <row r="71" spans="1:12" ht="14.15" customHeight="1">
      <c r="A71" s="404">
        <f t="shared" si="2"/>
        <v>65</v>
      </c>
      <c r="B71" s="83" t="s">
        <v>64</v>
      </c>
      <c r="C71" s="10">
        <v>34660790.640000001</v>
      </c>
      <c r="D71" s="10">
        <f t="shared" si="6"/>
        <v>519911.6400000006</v>
      </c>
      <c r="E71" s="10">
        <f>ROUND(C71*'Allocation Factors'!$G$10,0)</f>
        <v>34140879</v>
      </c>
      <c r="F71" s="10">
        <f>'Sch 5'!C71</f>
        <v>-21412522.949999999</v>
      </c>
      <c r="G71" s="10">
        <f t="shared" si="7"/>
        <v>12728356.050000001</v>
      </c>
      <c r="H71" s="10"/>
      <c r="I71" s="15" t="s">
        <v>337</v>
      </c>
      <c r="J71" s="38"/>
      <c r="K71" s="38"/>
      <c r="L71" s="408"/>
    </row>
    <row r="72" spans="1:12" ht="14.15" customHeight="1">
      <c r="A72" s="404">
        <f t="shared" si="2"/>
        <v>66</v>
      </c>
      <c r="B72" s="83" t="s">
        <v>65</v>
      </c>
      <c r="C72" s="10">
        <v>14096575.02</v>
      </c>
      <c r="D72" s="10">
        <f t="shared" si="6"/>
        <v>211449.01999999955</v>
      </c>
      <c r="E72" s="10">
        <f>ROUND(C72*'Allocation Factors'!$G$10,0)</f>
        <v>13885126</v>
      </c>
      <c r="F72" s="10">
        <f>'Sch 5'!C72</f>
        <v>-7380003.4000000004</v>
      </c>
      <c r="G72" s="10">
        <f t="shared" si="7"/>
        <v>6505122.5999999996</v>
      </c>
      <c r="H72" s="10"/>
      <c r="I72" s="15" t="s">
        <v>337</v>
      </c>
      <c r="J72" s="38"/>
      <c r="K72" s="38"/>
      <c r="L72" s="408"/>
    </row>
    <row r="73" spans="1:12" ht="14.15" customHeight="1">
      <c r="A73" s="404">
        <f t="shared" si="2"/>
        <v>67</v>
      </c>
      <c r="B73" s="56" t="s">
        <v>66</v>
      </c>
      <c r="C73" s="10">
        <v>34041525.869999997</v>
      </c>
      <c r="D73" s="10">
        <f t="shared" si="6"/>
        <v>34041525.869999997</v>
      </c>
      <c r="E73" s="10">
        <v>0</v>
      </c>
      <c r="F73" s="10">
        <f>'Sch 5'!C73</f>
        <v>0</v>
      </c>
      <c r="G73" s="10">
        <f t="shared" si="7"/>
        <v>0</v>
      </c>
      <c r="H73" s="10"/>
      <c r="I73" s="15"/>
      <c r="J73" s="38"/>
      <c r="K73" s="38"/>
      <c r="L73" s="408"/>
    </row>
    <row r="74" spans="1:12" s="18" customFormat="1" ht="12.75" customHeight="1">
      <c r="A74" s="404">
        <f t="shared" si="2"/>
        <v>68</v>
      </c>
      <c r="B74" s="2" t="s">
        <v>461</v>
      </c>
      <c r="C74" s="80">
        <f>SUM(C66:C73)</f>
        <v>1254387957.77</v>
      </c>
      <c r="D74" s="80">
        <f>SUM(D66:D73)</f>
        <v>52346721.770000055</v>
      </c>
      <c r="E74" s="80">
        <f>SUM(E66:E73)</f>
        <v>1202041236</v>
      </c>
      <c r="F74" s="80">
        <f>SUM(F66:F73)</f>
        <v>-633965440.52999997</v>
      </c>
      <c r="G74" s="80">
        <f>SUM(G66:G73)</f>
        <v>568075795.47000003</v>
      </c>
      <c r="H74" s="80"/>
      <c r="I74" s="141"/>
      <c r="J74" s="38"/>
      <c r="K74" s="38"/>
      <c r="L74" s="18">
        <v>1010001</v>
      </c>
    </row>
    <row r="75" spans="1:12" s="18" customFormat="1" ht="14.15" customHeight="1">
      <c r="A75" s="404">
        <f t="shared" ref="A75:A141" si="8">+A74+1</f>
        <v>69</v>
      </c>
      <c r="B75" s="6"/>
      <c r="C75" s="12"/>
      <c r="D75" s="16"/>
      <c r="E75" s="124"/>
      <c r="F75" s="16"/>
      <c r="G75" s="16"/>
      <c r="H75" s="16"/>
      <c r="I75" s="25"/>
      <c r="J75" s="38"/>
      <c r="K75" s="38"/>
    </row>
    <row r="76" spans="1:12" ht="14.15" customHeight="1">
      <c r="A76" s="404">
        <f t="shared" si="8"/>
        <v>70</v>
      </c>
      <c r="B76" s="3" t="s">
        <v>67</v>
      </c>
      <c r="C76" s="10"/>
      <c r="D76" s="10"/>
      <c r="E76" s="10"/>
      <c r="F76" s="10"/>
      <c r="G76" s="10"/>
      <c r="H76" s="10"/>
      <c r="I76" s="15"/>
      <c r="J76" s="38"/>
      <c r="K76" s="38"/>
      <c r="L76" s="408"/>
    </row>
    <row r="77" spans="1:12" ht="14.15" customHeight="1">
      <c r="A77" s="404">
        <f t="shared" si="8"/>
        <v>71</v>
      </c>
      <c r="B77" s="83" t="s">
        <v>68</v>
      </c>
      <c r="C77" s="10">
        <v>0</v>
      </c>
      <c r="D77" s="19">
        <v>0</v>
      </c>
      <c r="E77" s="10">
        <v>0</v>
      </c>
      <c r="F77" s="10">
        <f>'Sch 5'!C77</f>
        <v>0</v>
      </c>
      <c r="G77" s="10">
        <f t="shared" ref="G77:G82" si="9">E77+F77</f>
        <v>0</v>
      </c>
      <c r="H77" s="10"/>
      <c r="I77" s="15"/>
      <c r="J77" s="38"/>
      <c r="K77" s="38"/>
      <c r="L77" s="408"/>
    </row>
    <row r="78" spans="1:12" ht="14.15" customHeight="1">
      <c r="A78" s="404">
        <f t="shared" si="8"/>
        <v>72</v>
      </c>
      <c r="B78" s="83" t="s">
        <v>69</v>
      </c>
      <c r="C78" s="10">
        <v>0</v>
      </c>
      <c r="D78" s="19">
        <v>0</v>
      </c>
      <c r="E78" s="10">
        <v>0</v>
      </c>
      <c r="F78" s="10">
        <f>'Sch 5'!C78</f>
        <v>0</v>
      </c>
      <c r="G78" s="10">
        <f t="shared" si="9"/>
        <v>0</v>
      </c>
      <c r="H78" s="10"/>
      <c r="I78" s="15"/>
      <c r="J78" s="38"/>
      <c r="K78" s="38"/>
      <c r="L78" s="408"/>
    </row>
    <row r="79" spans="1:12" ht="14.15" customHeight="1">
      <c r="A79" s="404">
        <f t="shared" si="8"/>
        <v>73</v>
      </c>
      <c r="B79" s="83" t="s">
        <v>70</v>
      </c>
      <c r="C79" s="10">
        <v>0</v>
      </c>
      <c r="D79" s="19">
        <v>0</v>
      </c>
      <c r="E79" s="10">
        <v>0</v>
      </c>
      <c r="F79" s="10">
        <f>'Sch 5'!C79</f>
        <v>0</v>
      </c>
      <c r="G79" s="10">
        <f t="shared" si="9"/>
        <v>0</v>
      </c>
      <c r="H79" s="10"/>
      <c r="I79" s="15"/>
      <c r="J79" s="38"/>
      <c r="K79" s="38"/>
      <c r="L79" s="408"/>
    </row>
    <row r="80" spans="1:12" ht="14.15" customHeight="1">
      <c r="A80" s="404">
        <f t="shared" si="8"/>
        <v>74</v>
      </c>
      <c r="B80" s="83" t="s">
        <v>71</v>
      </c>
      <c r="C80" s="10">
        <v>0</v>
      </c>
      <c r="D80" s="19">
        <v>0</v>
      </c>
      <c r="E80" s="10">
        <v>0</v>
      </c>
      <c r="F80" s="10">
        <f>'Sch 5'!C80</f>
        <v>0</v>
      </c>
      <c r="G80" s="10">
        <f t="shared" si="9"/>
        <v>0</v>
      </c>
      <c r="H80" s="10"/>
      <c r="I80" s="15"/>
      <c r="J80" s="38"/>
      <c r="K80" s="38"/>
      <c r="L80" s="408"/>
    </row>
    <row r="81" spans="1:12" ht="14.15" customHeight="1">
      <c r="A81" s="404">
        <f t="shared" si="8"/>
        <v>75</v>
      </c>
      <c r="B81" s="83" t="s">
        <v>72</v>
      </c>
      <c r="C81" s="10">
        <v>0</v>
      </c>
      <c r="D81" s="19">
        <v>0</v>
      </c>
      <c r="E81" s="10">
        <v>0</v>
      </c>
      <c r="F81" s="10">
        <f>'Sch 5'!C81</f>
        <v>0</v>
      </c>
      <c r="G81" s="10">
        <f t="shared" si="9"/>
        <v>0</v>
      </c>
      <c r="H81" s="10"/>
      <c r="I81" s="15"/>
      <c r="J81" s="38"/>
      <c r="K81" s="38"/>
      <c r="L81" s="408"/>
    </row>
    <row r="82" spans="1:12" ht="14.15" customHeight="1">
      <c r="A82" s="404">
        <f t="shared" si="8"/>
        <v>76</v>
      </c>
      <c r="B82" s="56" t="s">
        <v>73</v>
      </c>
      <c r="C82" s="10">
        <v>0</v>
      </c>
      <c r="D82" s="19">
        <v>0</v>
      </c>
      <c r="E82" s="10">
        <v>0</v>
      </c>
      <c r="F82" s="10">
        <f>'Sch 5'!C82</f>
        <v>0</v>
      </c>
      <c r="G82" s="10">
        <f t="shared" si="9"/>
        <v>0</v>
      </c>
      <c r="H82" s="10"/>
      <c r="I82" s="15"/>
      <c r="J82" s="38"/>
      <c r="K82" s="38"/>
      <c r="L82" s="408"/>
    </row>
    <row r="83" spans="1:12" s="18" customFormat="1" ht="14.15" customHeight="1">
      <c r="A83" s="404">
        <f t="shared" si="8"/>
        <v>77</v>
      </c>
      <c r="B83" s="2" t="s">
        <v>462</v>
      </c>
      <c r="C83" s="80">
        <f>SUM(C77:C82)</f>
        <v>0</v>
      </c>
      <c r="D83" s="80">
        <f>SUM(D77:D82)</f>
        <v>0</v>
      </c>
      <c r="E83" s="80">
        <f>SUM(E77:E82)</f>
        <v>0</v>
      </c>
      <c r="F83" s="80">
        <f>SUM(F77:F82)</f>
        <v>0</v>
      </c>
      <c r="G83" s="80">
        <f>SUM(G77:G82)</f>
        <v>0</v>
      </c>
      <c r="H83" s="80"/>
      <c r="I83" s="142"/>
      <c r="J83" s="38"/>
      <c r="K83" s="38"/>
    </row>
    <row r="84" spans="1:12" s="18" customFormat="1" ht="14.15" customHeight="1">
      <c r="A84" s="404">
        <f t="shared" si="8"/>
        <v>78</v>
      </c>
      <c r="B84" s="6"/>
      <c r="C84" s="16"/>
      <c r="D84" s="16"/>
      <c r="E84" s="16"/>
      <c r="F84" s="16"/>
      <c r="G84" s="16"/>
      <c r="H84" s="16"/>
      <c r="I84" s="25"/>
      <c r="J84" s="38"/>
      <c r="K84" s="38"/>
    </row>
    <row r="85" spans="1:12" ht="14.15" customHeight="1">
      <c r="A85" s="404">
        <f t="shared" si="8"/>
        <v>79</v>
      </c>
      <c r="B85" s="3" t="s">
        <v>74</v>
      </c>
      <c r="C85" s="10"/>
      <c r="D85" s="10"/>
      <c r="E85" s="10"/>
      <c r="F85" s="10"/>
      <c r="G85" s="10"/>
      <c r="H85" s="10"/>
      <c r="I85" s="15"/>
      <c r="J85" s="38"/>
      <c r="K85" s="38"/>
      <c r="L85" s="408"/>
    </row>
    <row r="86" spans="1:12" ht="14.15" customHeight="1">
      <c r="A86" s="404">
        <f t="shared" si="8"/>
        <v>80</v>
      </c>
      <c r="B86" s="83" t="s">
        <v>75</v>
      </c>
      <c r="C86" s="10">
        <v>0</v>
      </c>
      <c r="D86" s="10">
        <v>0</v>
      </c>
      <c r="E86" s="10">
        <v>0</v>
      </c>
      <c r="F86" s="10">
        <f>'Sch 5'!C86</f>
        <v>0</v>
      </c>
      <c r="G86" s="10">
        <f t="shared" ref="G86:G93" si="10">E86+F86</f>
        <v>0</v>
      </c>
      <c r="H86" s="10"/>
      <c r="I86" s="15"/>
      <c r="J86" s="38"/>
      <c r="K86" s="38"/>
      <c r="L86" s="408"/>
    </row>
    <row r="87" spans="1:12" ht="14.15" customHeight="1">
      <c r="A87" s="404">
        <f t="shared" si="8"/>
        <v>81</v>
      </c>
      <c r="B87" s="83" t="s">
        <v>76</v>
      </c>
      <c r="C87" s="10">
        <v>0</v>
      </c>
      <c r="D87" s="10">
        <v>0</v>
      </c>
      <c r="E87" s="10">
        <v>0</v>
      </c>
      <c r="F87" s="10">
        <f>'Sch 5'!C87</f>
        <v>0</v>
      </c>
      <c r="G87" s="10">
        <f t="shared" si="10"/>
        <v>0</v>
      </c>
      <c r="H87" s="10"/>
      <c r="I87" s="15"/>
      <c r="J87" s="38"/>
      <c r="K87" s="38"/>
      <c r="L87" s="408"/>
    </row>
    <row r="88" spans="1:12" ht="14.15" customHeight="1">
      <c r="A88" s="404">
        <f t="shared" si="8"/>
        <v>82</v>
      </c>
      <c r="B88" s="83" t="s">
        <v>1146</v>
      </c>
      <c r="C88" s="10">
        <v>0</v>
      </c>
      <c r="D88" s="10">
        <v>0</v>
      </c>
      <c r="E88" s="10">
        <v>0</v>
      </c>
      <c r="F88" s="10">
        <f>'Sch 5'!C88</f>
        <v>0</v>
      </c>
      <c r="G88" s="10">
        <f t="shared" si="10"/>
        <v>0</v>
      </c>
      <c r="H88" s="10"/>
      <c r="I88" s="15"/>
      <c r="J88" s="38"/>
      <c r="K88" s="38"/>
      <c r="L88" s="408"/>
    </row>
    <row r="89" spans="1:12" ht="14.15" customHeight="1">
      <c r="A89" s="404">
        <f t="shared" si="8"/>
        <v>83</v>
      </c>
      <c r="B89" s="83" t="s">
        <v>77</v>
      </c>
      <c r="C89" s="10">
        <v>0</v>
      </c>
      <c r="D89" s="10">
        <v>0</v>
      </c>
      <c r="E89" s="10">
        <v>0</v>
      </c>
      <c r="F89" s="10">
        <f>'Sch 5'!C89</f>
        <v>0</v>
      </c>
      <c r="G89" s="10">
        <f t="shared" si="10"/>
        <v>0</v>
      </c>
      <c r="H89" s="10"/>
      <c r="I89" s="15"/>
      <c r="J89" s="38"/>
      <c r="K89" s="38"/>
      <c r="L89" s="408"/>
    </row>
    <row r="90" spans="1:12" ht="14.15" customHeight="1">
      <c r="A90" s="404">
        <f t="shared" si="8"/>
        <v>84</v>
      </c>
      <c r="B90" s="83" t="s">
        <v>78</v>
      </c>
      <c r="C90" s="10">
        <v>0</v>
      </c>
      <c r="D90" s="10">
        <v>0</v>
      </c>
      <c r="E90" s="10">
        <v>0</v>
      </c>
      <c r="F90" s="10">
        <f>'Sch 5'!C90</f>
        <v>0</v>
      </c>
      <c r="G90" s="10">
        <f t="shared" si="10"/>
        <v>0</v>
      </c>
      <c r="H90" s="10"/>
      <c r="I90" s="15"/>
      <c r="J90" s="38"/>
      <c r="K90" s="38"/>
      <c r="L90" s="408"/>
    </row>
    <row r="91" spans="1:12" ht="14.15" customHeight="1">
      <c r="A91" s="404">
        <f t="shared" si="8"/>
        <v>85</v>
      </c>
      <c r="B91" s="83" t="s">
        <v>79</v>
      </c>
      <c r="C91" s="10">
        <v>0</v>
      </c>
      <c r="D91" s="10">
        <v>0</v>
      </c>
      <c r="E91" s="10">
        <v>0</v>
      </c>
      <c r="F91" s="10">
        <f>'Sch 5'!C91</f>
        <v>0</v>
      </c>
      <c r="G91" s="10">
        <f t="shared" si="10"/>
        <v>0</v>
      </c>
      <c r="H91" s="10"/>
      <c r="I91" s="15"/>
      <c r="J91" s="38"/>
      <c r="K91" s="38"/>
      <c r="L91" s="408"/>
    </row>
    <row r="92" spans="1:12" ht="14.15" customHeight="1">
      <c r="A92" s="404">
        <f t="shared" si="8"/>
        <v>86</v>
      </c>
      <c r="B92" s="83" t="s">
        <v>80</v>
      </c>
      <c r="C92" s="10">
        <v>0</v>
      </c>
      <c r="D92" s="10">
        <v>0</v>
      </c>
      <c r="E92" s="10">
        <v>0</v>
      </c>
      <c r="F92" s="10">
        <f>'Sch 5'!C92</f>
        <v>0</v>
      </c>
      <c r="G92" s="10">
        <f t="shared" si="10"/>
        <v>0</v>
      </c>
      <c r="H92" s="10"/>
      <c r="I92" s="15"/>
      <c r="J92" s="38"/>
      <c r="K92" s="38"/>
      <c r="L92" s="408"/>
    </row>
    <row r="93" spans="1:12" ht="13.5" customHeight="1">
      <c r="A93" s="404">
        <f t="shared" si="8"/>
        <v>87</v>
      </c>
      <c r="B93" s="56" t="s">
        <v>81</v>
      </c>
      <c r="C93" s="10">
        <v>0</v>
      </c>
      <c r="D93" s="10">
        <v>0</v>
      </c>
      <c r="E93" s="10">
        <v>0</v>
      </c>
      <c r="F93" s="10">
        <f>'Sch 5'!C93</f>
        <v>0</v>
      </c>
      <c r="G93" s="10">
        <f t="shared" si="10"/>
        <v>0</v>
      </c>
      <c r="H93" s="10"/>
      <c r="I93" s="15"/>
      <c r="J93" s="38"/>
      <c r="K93" s="38"/>
      <c r="L93" s="408"/>
    </row>
    <row r="94" spans="1:12" s="18" customFormat="1" ht="14.15" customHeight="1">
      <c r="A94" s="404">
        <f t="shared" si="8"/>
        <v>88</v>
      </c>
      <c r="B94" s="2" t="s">
        <v>463</v>
      </c>
      <c r="C94" s="80">
        <f>SUM(C86:C93)</f>
        <v>0</v>
      </c>
      <c r="D94" s="80">
        <f>SUM(D86:D93)</f>
        <v>0</v>
      </c>
      <c r="E94" s="80">
        <f>SUM(E86:E93)</f>
        <v>0</v>
      </c>
      <c r="F94" s="80">
        <f>SUM(F86:F93)</f>
        <v>0</v>
      </c>
      <c r="G94" s="80">
        <f>SUM(G86:G93)</f>
        <v>0</v>
      </c>
      <c r="H94" s="80"/>
      <c r="I94" s="141"/>
      <c r="J94" s="38"/>
      <c r="K94" s="38"/>
    </row>
    <row r="95" spans="1:12" s="18" customFormat="1" ht="14.15" customHeight="1">
      <c r="A95" s="404">
        <f t="shared" si="8"/>
        <v>89</v>
      </c>
      <c r="B95" s="6"/>
      <c r="C95" s="12"/>
      <c r="D95" s="16"/>
      <c r="E95" s="124"/>
      <c r="F95" s="16"/>
      <c r="G95" s="16"/>
      <c r="H95" s="16"/>
      <c r="I95" s="25"/>
      <c r="J95" s="38"/>
      <c r="K95" s="38"/>
    </row>
    <row r="96" spans="1:12" ht="14.15" customHeight="1">
      <c r="A96" s="404">
        <f t="shared" si="8"/>
        <v>90</v>
      </c>
      <c r="B96" s="3" t="s">
        <v>82</v>
      </c>
      <c r="C96" s="43"/>
      <c r="D96" s="16"/>
      <c r="E96" s="43"/>
      <c r="F96" s="43"/>
      <c r="G96" s="43"/>
      <c r="H96" s="43"/>
      <c r="I96" s="15"/>
      <c r="J96" s="38"/>
      <c r="K96" s="38"/>
      <c r="L96" s="408"/>
    </row>
    <row r="97" spans="1:12" ht="14.15" customHeight="1">
      <c r="A97" s="404">
        <f t="shared" si="8"/>
        <v>91</v>
      </c>
      <c r="B97" s="83" t="s">
        <v>83</v>
      </c>
      <c r="C97" s="10">
        <v>0</v>
      </c>
      <c r="D97" s="10">
        <v>0</v>
      </c>
      <c r="E97" s="10">
        <v>0</v>
      </c>
      <c r="F97" s="10">
        <f>'Sch 5'!C97</f>
        <v>0</v>
      </c>
      <c r="G97" s="10">
        <f t="shared" ref="G97:G103" si="11">E97+F97</f>
        <v>0</v>
      </c>
      <c r="H97" s="10"/>
      <c r="I97" s="15"/>
      <c r="J97" s="38"/>
      <c r="K97" s="38"/>
      <c r="L97" s="408"/>
    </row>
    <row r="98" spans="1:12" ht="14.15" customHeight="1">
      <c r="A98" s="404">
        <f t="shared" si="8"/>
        <v>92</v>
      </c>
      <c r="B98" s="83" t="s">
        <v>84</v>
      </c>
      <c r="C98" s="10">
        <v>0</v>
      </c>
      <c r="D98" s="10">
        <v>0</v>
      </c>
      <c r="E98" s="10">
        <v>0</v>
      </c>
      <c r="F98" s="10">
        <f>'Sch 5'!C98</f>
        <v>0</v>
      </c>
      <c r="G98" s="10">
        <f t="shared" si="11"/>
        <v>0</v>
      </c>
      <c r="H98" s="10"/>
      <c r="I98" s="15"/>
      <c r="J98" s="38"/>
      <c r="K98" s="38"/>
      <c r="L98" s="408"/>
    </row>
    <row r="99" spans="1:12" ht="14.15" customHeight="1">
      <c r="A99" s="404">
        <f t="shared" si="8"/>
        <v>93</v>
      </c>
      <c r="B99" s="83" t="s">
        <v>85</v>
      </c>
      <c r="C99" s="10">
        <v>0</v>
      </c>
      <c r="D99" s="10">
        <v>0</v>
      </c>
      <c r="E99" s="10">
        <v>0</v>
      </c>
      <c r="F99" s="10">
        <f>'Sch 5'!C99</f>
        <v>0</v>
      </c>
      <c r="G99" s="10">
        <f t="shared" si="11"/>
        <v>0</v>
      </c>
      <c r="H99" s="10"/>
      <c r="I99" s="15"/>
      <c r="J99" s="38"/>
      <c r="K99" s="38"/>
      <c r="L99" s="408"/>
    </row>
    <row r="100" spans="1:12" ht="14.15" customHeight="1">
      <c r="A100" s="404">
        <f t="shared" si="8"/>
        <v>94</v>
      </c>
      <c r="B100" s="83" t="s">
        <v>86</v>
      </c>
      <c r="C100" s="10">
        <v>0</v>
      </c>
      <c r="D100" s="10">
        <v>0</v>
      </c>
      <c r="E100" s="10">
        <v>0</v>
      </c>
      <c r="F100" s="10">
        <f>'Sch 5'!C100</f>
        <v>0</v>
      </c>
      <c r="G100" s="10">
        <f t="shared" si="11"/>
        <v>0</v>
      </c>
      <c r="H100" s="10"/>
      <c r="I100" s="15"/>
      <c r="J100" s="38"/>
      <c r="K100" s="38"/>
      <c r="L100" s="408"/>
    </row>
    <row r="101" spans="1:12" ht="14.15" customHeight="1">
      <c r="A101" s="404">
        <f t="shared" si="8"/>
        <v>95</v>
      </c>
      <c r="B101" s="83" t="s">
        <v>87</v>
      </c>
      <c r="C101" s="10">
        <v>0</v>
      </c>
      <c r="D101" s="10">
        <v>0</v>
      </c>
      <c r="E101" s="10">
        <v>0</v>
      </c>
      <c r="F101" s="10">
        <f>'Sch 5'!C101</f>
        <v>0</v>
      </c>
      <c r="G101" s="10">
        <f t="shared" si="11"/>
        <v>0</v>
      </c>
      <c r="H101" s="10"/>
      <c r="I101" s="15"/>
      <c r="J101" s="38"/>
      <c r="K101" s="38"/>
      <c r="L101" s="408"/>
    </row>
    <row r="102" spans="1:12" ht="14.15" customHeight="1">
      <c r="A102" s="404">
        <f t="shared" si="8"/>
        <v>96</v>
      </c>
      <c r="B102" s="83" t="s">
        <v>88</v>
      </c>
      <c r="C102" s="10">
        <v>0</v>
      </c>
      <c r="D102" s="10">
        <v>0</v>
      </c>
      <c r="E102" s="10">
        <v>0</v>
      </c>
      <c r="F102" s="10">
        <f>'Sch 5'!C102</f>
        <v>0</v>
      </c>
      <c r="G102" s="10">
        <f t="shared" si="11"/>
        <v>0</v>
      </c>
      <c r="H102" s="10"/>
      <c r="I102" s="15"/>
      <c r="J102" s="38"/>
      <c r="K102" s="38"/>
      <c r="L102" s="408"/>
    </row>
    <row r="103" spans="1:12" ht="14.15" customHeight="1">
      <c r="A103" s="404">
        <f t="shared" si="8"/>
        <v>97</v>
      </c>
      <c r="B103" s="56" t="s">
        <v>89</v>
      </c>
      <c r="C103" s="64">
        <v>0</v>
      </c>
      <c r="D103" s="64">
        <v>0</v>
      </c>
      <c r="E103" s="64">
        <v>0</v>
      </c>
      <c r="F103" s="64">
        <f>'Sch 5'!C103</f>
        <v>0</v>
      </c>
      <c r="G103" s="64">
        <f t="shared" si="11"/>
        <v>0</v>
      </c>
      <c r="H103" s="10"/>
      <c r="I103" s="15"/>
      <c r="J103" s="38"/>
      <c r="K103" s="38"/>
      <c r="L103" s="408"/>
    </row>
    <row r="104" spans="1:12" s="18" customFormat="1" ht="14.15" customHeight="1">
      <c r="A104" s="404">
        <f t="shared" si="8"/>
        <v>98</v>
      </c>
      <c r="B104" s="2" t="s">
        <v>464</v>
      </c>
      <c r="C104" s="16">
        <f>SUM(C96:C103)</f>
        <v>0</v>
      </c>
      <c r="D104" s="16">
        <f>SUM(D96:D103)</f>
        <v>0</v>
      </c>
      <c r="E104" s="16">
        <f>SUM(E96:E103)</f>
        <v>0</v>
      </c>
      <c r="F104" s="16">
        <f>SUM(F96:F103)</f>
        <v>0</v>
      </c>
      <c r="G104" s="16">
        <f>SUM(G97:G103)</f>
        <v>0</v>
      </c>
      <c r="H104" s="16"/>
      <c r="I104" s="17"/>
      <c r="J104" s="38"/>
      <c r="K104" s="38"/>
    </row>
    <row r="105" spans="1:12" s="18" customFormat="1" ht="14.15" customHeight="1">
      <c r="A105" s="404">
        <f t="shared" si="8"/>
        <v>99</v>
      </c>
      <c r="B105" s="2"/>
      <c r="C105" s="16"/>
      <c r="D105" s="16"/>
      <c r="E105" s="16"/>
      <c r="F105" s="16"/>
      <c r="G105" s="16"/>
      <c r="H105" s="16"/>
      <c r="I105" s="17"/>
      <c r="J105" s="38"/>
      <c r="K105" s="38"/>
    </row>
    <row r="106" spans="1:12" s="18" customFormat="1" ht="14.15" customHeight="1">
      <c r="A106" s="404">
        <f t="shared" si="8"/>
        <v>100</v>
      </c>
      <c r="B106" s="2" t="s">
        <v>465</v>
      </c>
      <c r="C106" s="43">
        <f>C104+C94+C83+C74</f>
        <v>1254387957.77</v>
      </c>
      <c r="D106" s="43">
        <f>D104+D94+D83+D74</f>
        <v>52346721.770000055</v>
      </c>
      <c r="E106" s="43">
        <f>E104+E94+E83+E74</f>
        <v>1202041236</v>
      </c>
      <c r="F106" s="43">
        <f>F104+F94+F83+F74</f>
        <v>-633965440.52999997</v>
      </c>
      <c r="G106" s="43">
        <f>G104+G94+G83+G74</f>
        <v>568075795.47000003</v>
      </c>
      <c r="H106" s="43"/>
      <c r="I106" s="243"/>
      <c r="J106" s="38"/>
      <c r="K106" s="38"/>
      <c r="L106" s="18">
        <v>1010001</v>
      </c>
    </row>
    <row r="107" spans="1:12" s="18" customFormat="1" ht="14.15" customHeight="1">
      <c r="A107" s="404">
        <f t="shared" si="8"/>
        <v>101</v>
      </c>
      <c r="B107" s="2"/>
      <c r="C107" s="43"/>
      <c r="D107" s="43"/>
      <c r="E107" s="43"/>
      <c r="F107" s="43"/>
      <c r="G107" s="43"/>
      <c r="H107" s="43"/>
      <c r="I107" s="243"/>
      <c r="J107" s="38"/>
      <c r="K107" s="38"/>
    </row>
    <row r="108" spans="1:12" ht="14.15" customHeight="1">
      <c r="A108" s="404">
        <f t="shared" si="8"/>
        <v>102</v>
      </c>
      <c r="B108" s="83" t="s">
        <v>90</v>
      </c>
      <c r="C108" s="10">
        <f>J108+J109</f>
        <v>289887</v>
      </c>
      <c r="D108" s="10">
        <f>C108-E108</f>
        <v>4348</v>
      </c>
      <c r="E108" s="10">
        <f>ROUND(C108*'Allocation Factors'!$G$16,0)</f>
        <v>285539</v>
      </c>
      <c r="F108" s="10">
        <f>'Sch 5'!C108</f>
        <v>4348</v>
      </c>
      <c r="G108" s="10">
        <f>E108+F108</f>
        <v>289887</v>
      </c>
      <c r="H108" s="10"/>
      <c r="I108" s="15" t="s">
        <v>342</v>
      </c>
      <c r="J108" s="14">
        <v>250824</v>
      </c>
      <c r="K108" s="14"/>
      <c r="L108" s="408">
        <v>1823022</v>
      </c>
    </row>
    <row r="109" spans="1:12" ht="14.15" customHeight="1">
      <c r="A109" s="404">
        <f t="shared" si="8"/>
        <v>103</v>
      </c>
      <c r="B109" s="56" t="s">
        <v>91</v>
      </c>
      <c r="C109" s="64">
        <v>0</v>
      </c>
      <c r="D109" s="64">
        <v>0</v>
      </c>
      <c r="E109" s="64">
        <v>0</v>
      </c>
      <c r="F109" s="10">
        <f>'Sch 5'!C109</f>
        <v>0</v>
      </c>
      <c r="G109" s="10">
        <f>E109+F109</f>
        <v>0</v>
      </c>
      <c r="H109" s="10"/>
      <c r="I109" s="15"/>
      <c r="J109" s="14">
        <v>39063</v>
      </c>
      <c r="K109" s="14"/>
      <c r="L109" s="408">
        <v>1823054</v>
      </c>
    </row>
    <row r="110" spans="1:12" s="18" customFormat="1" ht="14.15" customHeight="1">
      <c r="A110" s="404">
        <f t="shared" si="8"/>
        <v>104</v>
      </c>
      <c r="B110" s="2" t="s">
        <v>847</v>
      </c>
      <c r="C110" s="47">
        <f>C108+C109</f>
        <v>289887</v>
      </c>
      <c r="D110" s="47">
        <f>D108+D109</f>
        <v>4348</v>
      </c>
      <c r="E110" s="47">
        <f>E108+E109</f>
        <v>285539</v>
      </c>
      <c r="F110" s="47">
        <f>F108+F109</f>
        <v>4348</v>
      </c>
      <c r="G110" s="47">
        <f>G108+G109</f>
        <v>289887</v>
      </c>
      <c r="H110" s="47"/>
      <c r="I110" s="49"/>
      <c r="J110" s="38"/>
      <c r="K110" s="38"/>
    </row>
    <row r="111" spans="1:12" s="18" customFormat="1" ht="14.15" customHeight="1">
      <c r="A111" s="404">
        <f t="shared" si="8"/>
        <v>105</v>
      </c>
      <c r="B111" s="6"/>
      <c r="C111" s="9"/>
      <c r="D111" s="16"/>
      <c r="E111" s="124"/>
      <c r="F111" s="16"/>
      <c r="G111" s="16"/>
      <c r="H111" s="16"/>
      <c r="I111" s="25"/>
      <c r="J111" s="38"/>
      <c r="K111" s="38"/>
    </row>
    <row r="112" spans="1:12" ht="14.15" customHeight="1">
      <c r="A112" s="404">
        <f t="shared" si="8"/>
        <v>106</v>
      </c>
      <c r="B112" s="3" t="s">
        <v>92</v>
      </c>
      <c r="C112" s="43"/>
      <c r="D112" s="10"/>
      <c r="E112" s="10"/>
      <c r="F112" s="10"/>
      <c r="G112" s="10"/>
      <c r="H112" s="10"/>
      <c r="I112" s="15"/>
      <c r="J112" s="38"/>
      <c r="K112" s="38"/>
      <c r="L112" s="408"/>
    </row>
    <row r="113" spans="1:16" ht="14.15" customHeight="1">
      <c r="A113" s="404">
        <f t="shared" si="8"/>
        <v>107</v>
      </c>
      <c r="B113" s="83" t="s">
        <v>93</v>
      </c>
      <c r="C113" s="10">
        <v>40915361</v>
      </c>
      <c r="D113" s="38">
        <f t="shared" ref="D113:D124" si="12">C113-E113</f>
        <v>613730</v>
      </c>
      <c r="E113" s="38">
        <f>ROUND(C113*'Allocation Factors'!$G$12,0)</f>
        <v>40301631</v>
      </c>
      <c r="F113" s="10">
        <f>'Sch 5'!C113</f>
        <v>613730</v>
      </c>
      <c r="G113" s="10">
        <f t="shared" ref="G113:G124" si="13">E113+F113</f>
        <v>40915361</v>
      </c>
      <c r="H113" s="10"/>
      <c r="I113" s="15" t="s">
        <v>339</v>
      </c>
      <c r="J113" s="38"/>
      <c r="K113" s="38"/>
      <c r="L113" s="408"/>
    </row>
    <row r="114" spans="1:16" ht="14.15" customHeight="1">
      <c r="A114" s="404">
        <f t="shared" si="8"/>
        <v>108</v>
      </c>
      <c r="B114" s="83" t="s">
        <v>1028</v>
      </c>
      <c r="C114" s="10">
        <v>524302.55000000005</v>
      </c>
      <c r="D114" s="38">
        <f t="shared" ref="D114" si="14">C114-E114</f>
        <v>7864.5500000000466</v>
      </c>
      <c r="E114" s="38">
        <f>ROUND(C114*'Allocation Factors'!$G$12,0)</f>
        <v>516438</v>
      </c>
      <c r="F114" s="10">
        <f>'Sch 5'!C114</f>
        <v>7864.5500000000466</v>
      </c>
      <c r="G114" s="10">
        <f>E114+F114</f>
        <v>524302.55000000005</v>
      </c>
      <c r="H114" s="10"/>
      <c r="I114" s="15" t="s">
        <v>339</v>
      </c>
      <c r="J114" s="38"/>
      <c r="K114" s="38"/>
      <c r="L114" s="408"/>
    </row>
    <row r="115" spans="1:16" ht="14.15" customHeight="1">
      <c r="A115" s="404">
        <f t="shared" si="8"/>
        <v>109</v>
      </c>
      <c r="B115" s="83" t="s">
        <v>94</v>
      </c>
      <c r="C115" s="10">
        <v>13208261.68</v>
      </c>
      <c r="D115" s="38">
        <f t="shared" si="12"/>
        <v>198123.6799999997</v>
      </c>
      <c r="E115" s="38">
        <f>ROUND(C115*'Allocation Factors'!$G$12,0)</f>
        <v>13010138</v>
      </c>
      <c r="F115" s="10">
        <f>'Sch 5'!C115</f>
        <v>198123.6799999997</v>
      </c>
      <c r="G115" s="10">
        <f t="shared" si="13"/>
        <v>13208261.68</v>
      </c>
      <c r="H115" s="10"/>
      <c r="I115" s="15" t="s">
        <v>339</v>
      </c>
      <c r="J115" s="38"/>
      <c r="K115" s="38"/>
      <c r="L115" s="408"/>
    </row>
    <row r="116" spans="1:16" ht="14.15" customHeight="1">
      <c r="A116" s="404">
        <f t="shared" si="8"/>
        <v>110</v>
      </c>
      <c r="B116" s="83" t="s">
        <v>95</v>
      </c>
      <c r="C116" s="10">
        <v>258334915.98999998</v>
      </c>
      <c r="D116" s="38">
        <f>C116-E116</f>
        <v>3879788.9899999797</v>
      </c>
      <c r="E116" s="38">
        <f>ROUND((C116-J116)*'Allocation Factors'!$G$12,0)</f>
        <v>254455127</v>
      </c>
      <c r="F116" s="10">
        <f>'Sch 5'!C116</f>
        <v>3879788.9899999797</v>
      </c>
      <c r="G116" s="10">
        <f t="shared" si="13"/>
        <v>258334915.98999998</v>
      </c>
      <c r="H116" s="10"/>
      <c r="I116" s="15" t="s">
        <v>339</v>
      </c>
      <c r="J116" s="38">
        <v>4838</v>
      </c>
      <c r="K116" s="408" t="s">
        <v>838</v>
      </c>
      <c r="L116" s="408"/>
    </row>
    <row r="117" spans="1:16" ht="14.15" customHeight="1">
      <c r="A117" s="404">
        <f t="shared" si="8"/>
        <v>111</v>
      </c>
      <c r="B117" s="83" t="s">
        <v>96</v>
      </c>
      <c r="C117" s="10">
        <v>81856.25</v>
      </c>
      <c r="D117" s="38">
        <f t="shared" si="12"/>
        <v>1228.25</v>
      </c>
      <c r="E117" s="38">
        <f>ROUND(C117*'Allocation Factors'!$G$10,0)</f>
        <v>80628</v>
      </c>
      <c r="F117" s="10">
        <f>'Sch 5'!C117</f>
        <v>1228.25</v>
      </c>
      <c r="G117" s="10">
        <f t="shared" si="13"/>
        <v>81856.25</v>
      </c>
      <c r="H117" s="10"/>
      <c r="I117" s="15" t="s">
        <v>337</v>
      </c>
      <c r="J117" s="38"/>
      <c r="K117" s="38"/>
      <c r="L117" s="408"/>
    </row>
    <row r="118" spans="1:16" ht="14.15" customHeight="1">
      <c r="A118" s="404">
        <f t="shared" si="8"/>
        <v>112</v>
      </c>
      <c r="B118" s="83" t="s">
        <v>97</v>
      </c>
      <c r="C118" s="10">
        <v>12906780.82</v>
      </c>
      <c r="D118" s="38">
        <f t="shared" si="12"/>
        <v>193601.8200000003</v>
      </c>
      <c r="E118" s="38">
        <f>ROUND(C118*'Allocation Factors'!$G$10,0)</f>
        <v>12713179</v>
      </c>
      <c r="F118" s="10">
        <f>'Sch 5'!C118</f>
        <v>193601.8200000003</v>
      </c>
      <c r="G118" s="10">
        <f t="shared" si="13"/>
        <v>12906780.82</v>
      </c>
      <c r="H118" s="10"/>
      <c r="I118" s="15" t="s">
        <v>337</v>
      </c>
      <c r="J118" s="38"/>
      <c r="K118" s="38"/>
      <c r="L118" s="408"/>
    </row>
    <row r="119" spans="1:16" ht="14.15" customHeight="1">
      <c r="A119" s="404">
        <f t="shared" si="8"/>
        <v>113</v>
      </c>
      <c r="B119" s="83" t="s">
        <v>98</v>
      </c>
      <c r="C119" s="10">
        <v>102470002.23999999</v>
      </c>
      <c r="D119" s="38">
        <f t="shared" si="12"/>
        <v>1537050.2399999946</v>
      </c>
      <c r="E119" s="38">
        <f>ROUND(C119*'Allocation Factors'!$G$12,0)</f>
        <v>100932952</v>
      </c>
      <c r="F119" s="10">
        <f>'Sch 5'!C119</f>
        <v>1537050.2399999946</v>
      </c>
      <c r="G119" s="10">
        <f t="shared" si="13"/>
        <v>102470002.23999999</v>
      </c>
      <c r="H119" s="10"/>
      <c r="I119" s="15" t="s">
        <v>339</v>
      </c>
      <c r="J119" s="38"/>
      <c r="K119" s="38"/>
      <c r="L119" s="408"/>
    </row>
    <row r="120" spans="1:16" ht="14.15" customHeight="1">
      <c r="A120" s="404">
        <f t="shared" si="8"/>
        <v>114</v>
      </c>
      <c r="B120" s="83" t="s">
        <v>99</v>
      </c>
      <c r="C120" s="10">
        <v>196244569.31</v>
      </c>
      <c r="D120" s="38">
        <f t="shared" si="12"/>
        <v>2943668.3100000024</v>
      </c>
      <c r="E120" s="38">
        <f>ROUND(C120*'Allocation Factors'!$G$12,0)</f>
        <v>193300901</v>
      </c>
      <c r="F120" s="10">
        <f>'Sch 5'!C120</f>
        <v>2943668.3100000024</v>
      </c>
      <c r="G120" s="10">
        <f t="shared" si="13"/>
        <v>196244569.31</v>
      </c>
      <c r="H120" s="10"/>
      <c r="I120" s="15" t="s">
        <v>339</v>
      </c>
      <c r="J120" s="38"/>
      <c r="K120" s="38"/>
      <c r="L120" s="408"/>
    </row>
    <row r="121" spans="1:16" ht="14.15" customHeight="1">
      <c r="A121" s="404">
        <f t="shared" si="8"/>
        <v>115</v>
      </c>
      <c r="B121" s="83" t="s">
        <v>100</v>
      </c>
      <c r="C121" s="10">
        <v>170032722.20999998</v>
      </c>
      <c r="D121" s="38">
        <f t="shared" si="12"/>
        <v>2550491.2099999785</v>
      </c>
      <c r="E121" s="38">
        <f>ROUND(C121*'Allocation Factors'!$G$12,0)</f>
        <v>167482231</v>
      </c>
      <c r="F121" s="10">
        <f>'Sch 5'!C121</f>
        <v>2550491.2099999785</v>
      </c>
      <c r="G121" s="10">
        <f t="shared" si="13"/>
        <v>170032722.20999998</v>
      </c>
      <c r="H121" s="10"/>
      <c r="I121" s="15" t="s">
        <v>339</v>
      </c>
      <c r="J121" s="38"/>
      <c r="K121" s="38"/>
      <c r="L121" s="408"/>
    </row>
    <row r="122" spans="1:16" ht="14.15" customHeight="1">
      <c r="A122" s="404">
        <f t="shared" si="8"/>
        <v>116</v>
      </c>
      <c r="B122" s="83" t="s">
        <v>1147</v>
      </c>
      <c r="C122" s="10">
        <v>510952.32</v>
      </c>
      <c r="D122" s="38">
        <f t="shared" si="12"/>
        <v>7664.320000000007</v>
      </c>
      <c r="E122" s="38">
        <f>ROUND(C122*'Allocation Factors'!$G$12,0)</f>
        <v>503288</v>
      </c>
      <c r="F122" s="10">
        <f>'Sch 5'!C122</f>
        <v>7664.320000000007</v>
      </c>
      <c r="G122" s="10">
        <f t="shared" si="13"/>
        <v>510952.32</v>
      </c>
      <c r="H122" s="10"/>
      <c r="I122" s="15" t="s">
        <v>339</v>
      </c>
      <c r="J122" s="38"/>
      <c r="K122" s="38"/>
      <c r="L122" s="408"/>
    </row>
    <row r="123" spans="1:16" ht="14.15" customHeight="1">
      <c r="A123" s="404">
        <f t="shared" si="8"/>
        <v>117</v>
      </c>
      <c r="B123" s="83" t="s">
        <v>101</v>
      </c>
      <c r="C123" s="10">
        <v>497622.54000000004</v>
      </c>
      <c r="D123" s="38">
        <f t="shared" si="12"/>
        <v>7464.5400000000373</v>
      </c>
      <c r="E123" s="38">
        <f>ROUND(C123*'Allocation Factors'!$G$12,0)</f>
        <v>490158</v>
      </c>
      <c r="F123" s="10">
        <f>'Sch 5'!C123</f>
        <v>7464.5400000000373</v>
      </c>
      <c r="G123" s="10">
        <f t="shared" si="13"/>
        <v>497622.54000000004</v>
      </c>
      <c r="H123" s="10"/>
      <c r="I123" s="15" t="s">
        <v>339</v>
      </c>
      <c r="J123" s="38"/>
      <c r="K123" s="38"/>
      <c r="L123" s="408"/>
    </row>
    <row r="124" spans="1:16" ht="14.15" customHeight="1">
      <c r="A124" s="404">
        <f t="shared" si="8"/>
        <v>118</v>
      </c>
      <c r="B124" s="56" t="s">
        <v>102</v>
      </c>
      <c r="C124" s="10">
        <v>0</v>
      </c>
      <c r="D124" s="38">
        <f t="shared" si="12"/>
        <v>0</v>
      </c>
      <c r="E124" s="38">
        <f>ROUND(C124*'Allocation Factors'!$G$12,0)</f>
        <v>0</v>
      </c>
      <c r="F124" s="10">
        <f>'Sch 5'!C124</f>
        <v>0</v>
      </c>
      <c r="G124" s="10">
        <f t="shared" si="13"/>
        <v>0</v>
      </c>
      <c r="H124" s="10"/>
      <c r="I124" s="15" t="s">
        <v>339</v>
      </c>
      <c r="J124" s="38"/>
      <c r="K124" s="38"/>
      <c r="L124" s="408"/>
    </row>
    <row r="125" spans="1:16" ht="14.15" customHeight="1">
      <c r="A125" s="404">
        <f t="shared" si="8"/>
        <v>119</v>
      </c>
      <c r="B125" s="2" t="s">
        <v>466</v>
      </c>
      <c r="C125" s="80">
        <f>SUM(C113:C124)</f>
        <v>795727346.90999997</v>
      </c>
      <c r="D125" s="80">
        <f>SUM(D113:D124)</f>
        <v>11940675.909999955</v>
      </c>
      <c r="E125" s="80">
        <f>SUM(E113:E124)</f>
        <v>783786671</v>
      </c>
      <c r="F125" s="80">
        <f>SUM(F113:F124)</f>
        <v>11940675.909999955</v>
      </c>
      <c r="G125" s="80">
        <f>SUM(G113:G124)</f>
        <v>795727346.90999997</v>
      </c>
      <c r="H125" s="80"/>
      <c r="I125" s="143"/>
      <c r="J125" s="38"/>
      <c r="K125" s="38"/>
      <c r="L125" s="408">
        <v>1010001</v>
      </c>
    </row>
    <row r="126" spans="1:16" ht="14.15" customHeight="1">
      <c r="A126" s="404">
        <f t="shared" si="8"/>
        <v>120</v>
      </c>
      <c r="B126" s="6"/>
      <c r="C126" s="16"/>
      <c r="D126" s="16"/>
      <c r="E126" s="124"/>
      <c r="F126" s="16"/>
      <c r="G126" s="43"/>
      <c r="H126" s="43"/>
      <c r="I126" s="15"/>
      <c r="J126" s="38"/>
      <c r="K126" s="38"/>
      <c r="L126" s="408"/>
    </row>
    <row r="127" spans="1:16" ht="14.15" customHeight="1">
      <c r="A127" s="404">
        <f t="shared" si="8"/>
        <v>121</v>
      </c>
      <c r="B127" s="3" t="s">
        <v>103</v>
      </c>
      <c r="C127" s="10"/>
      <c r="D127" s="10"/>
      <c r="E127" s="144"/>
      <c r="F127" s="10"/>
      <c r="G127" s="10"/>
      <c r="H127" s="10"/>
      <c r="I127" s="15"/>
      <c r="J127" s="38"/>
      <c r="K127" s="38"/>
      <c r="L127" s="408"/>
    </row>
    <row r="128" spans="1:16" ht="14.15" customHeight="1">
      <c r="A128" s="404">
        <f t="shared" si="8"/>
        <v>122</v>
      </c>
      <c r="B128" s="83" t="s">
        <v>104</v>
      </c>
      <c r="C128" s="10">
        <v>12031666.870000001</v>
      </c>
      <c r="D128" s="19">
        <f>J128</f>
        <v>1408</v>
      </c>
      <c r="E128" s="84">
        <f t="shared" ref="E128:E142" si="15">C128-D128</f>
        <v>12030258.870000001</v>
      </c>
      <c r="F128" s="10">
        <f>'Sch 5'!C128</f>
        <v>0</v>
      </c>
      <c r="G128" s="10">
        <f t="shared" ref="G128:G142" si="16">E128+F128</f>
        <v>12030258.870000001</v>
      </c>
      <c r="H128" s="10"/>
      <c r="I128" s="15" t="s">
        <v>54</v>
      </c>
      <c r="J128" s="38">
        <v>1408</v>
      </c>
      <c r="K128" s="408" t="s">
        <v>838</v>
      </c>
      <c r="L128" s="408"/>
      <c r="P128" s="404"/>
    </row>
    <row r="129" spans="1:16" ht="14.15" customHeight="1">
      <c r="A129" s="404">
        <f t="shared" si="8"/>
        <v>123</v>
      </c>
      <c r="B129" s="83" t="s">
        <v>105</v>
      </c>
      <c r="C129" s="10">
        <v>9858867.6500000004</v>
      </c>
      <c r="D129" s="19">
        <f>J129</f>
        <v>44907</v>
      </c>
      <c r="E129" s="84">
        <f t="shared" si="15"/>
        <v>9813960.6500000004</v>
      </c>
      <c r="F129" s="10">
        <f>'Sch 5'!C129</f>
        <v>0</v>
      </c>
      <c r="G129" s="10">
        <f t="shared" si="16"/>
        <v>9813960.6500000004</v>
      </c>
      <c r="H129" s="10"/>
      <c r="I129" s="15" t="s">
        <v>54</v>
      </c>
      <c r="J129" s="38">
        <v>44907</v>
      </c>
      <c r="K129" s="408" t="s">
        <v>838</v>
      </c>
      <c r="L129" s="408"/>
      <c r="P129" s="404"/>
    </row>
    <row r="130" spans="1:16" ht="14.15" customHeight="1">
      <c r="A130" s="404">
        <f t="shared" si="8"/>
        <v>124</v>
      </c>
      <c r="B130" s="83" t="s">
        <v>106</v>
      </c>
      <c r="C130" s="10">
        <v>143799773.08000001</v>
      </c>
      <c r="D130" s="19">
        <f>J130</f>
        <v>1403788.8499999999</v>
      </c>
      <c r="E130" s="84">
        <f t="shared" si="15"/>
        <v>142395984.23000002</v>
      </c>
      <c r="F130" s="10">
        <f>'Sch 5'!C130</f>
        <v>0</v>
      </c>
      <c r="G130" s="10">
        <f t="shared" si="16"/>
        <v>142395984.23000002</v>
      </c>
      <c r="H130" s="10"/>
      <c r="I130" s="15" t="s">
        <v>54</v>
      </c>
      <c r="J130" s="38">
        <v>1403788.8499999999</v>
      </c>
      <c r="K130" s="408" t="s">
        <v>838</v>
      </c>
      <c r="L130" s="408"/>
      <c r="P130" s="404"/>
    </row>
    <row r="131" spans="1:16" ht="14.15" customHeight="1">
      <c r="A131" s="404">
        <f t="shared" si="8"/>
        <v>125</v>
      </c>
      <c r="B131" s="83" t="s">
        <v>107</v>
      </c>
      <c r="C131" s="10">
        <v>1838774.6900000002</v>
      </c>
      <c r="D131" s="19">
        <v>0</v>
      </c>
      <c r="E131" s="19">
        <f t="shared" si="15"/>
        <v>1838774.6900000002</v>
      </c>
      <c r="F131" s="10">
        <f>'Sch 5'!C131</f>
        <v>0</v>
      </c>
      <c r="G131" s="10">
        <f t="shared" si="16"/>
        <v>1838774.6900000002</v>
      </c>
      <c r="H131" s="10"/>
      <c r="I131" s="15" t="s">
        <v>358</v>
      </c>
      <c r="J131" s="38"/>
      <c r="K131" s="408"/>
      <c r="L131" s="408"/>
      <c r="P131" s="404"/>
    </row>
    <row r="132" spans="1:16" ht="14.15" customHeight="1">
      <c r="A132" s="404">
        <f t="shared" si="8"/>
        <v>126</v>
      </c>
      <c r="B132" s="83" t="s">
        <v>108</v>
      </c>
      <c r="C132" s="10">
        <v>319804008.77999997</v>
      </c>
      <c r="D132" s="19">
        <v>0</v>
      </c>
      <c r="E132" s="19">
        <f t="shared" si="15"/>
        <v>319804008.77999997</v>
      </c>
      <c r="F132" s="10">
        <f>'Sch 5'!C132</f>
        <v>0</v>
      </c>
      <c r="G132" s="10">
        <f t="shared" si="16"/>
        <v>319804008.77999997</v>
      </c>
      <c r="H132" s="10"/>
      <c r="I132" s="15" t="s">
        <v>358</v>
      </c>
      <c r="J132" s="38"/>
      <c r="K132" s="408"/>
      <c r="L132" s="408"/>
      <c r="P132" s="404"/>
    </row>
    <row r="133" spans="1:16" ht="14.15" customHeight="1">
      <c r="A133" s="404">
        <f t="shared" si="8"/>
        <v>127</v>
      </c>
      <c r="B133" s="83" t="s">
        <v>109</v>
      </c>
      <c r="C133" s="10">
        <v>331161834.93000001</v>
      </c>
      <c r="D133" s="19">
        <v>0</v>
      </c>
      <c r="E133" s="19">
        <f t="shared" si="15"/>
        <v>331161834.93000001</v>
      </c>
      <c r="F133" s="10">
        <f>'Sch 5'!C133</f>
        <v>18000000</v>
      </c>
      <c r="G133" s="10">
        <f t="shared" si="16"/>
        <v>349161834.93000001</v>
      </c>
      <c r="H133" s="10"/>
      <c r="I133" s="15" t="s">
        <v>358</v>
      </c>
      <c r="J133" s="38"/>
      <c r="K133" s="408"/>
      <c r="L133" s="408"/>
      <c r="P133" s="404"/>
    </row>
    <row r="134" spans="1:16" ht="14.15" customHeight="1">
      <c r="A134" s="404">
        <f t="shared" si="8"/>
        <v>128</v>
      </c>
      <c r="B134" s="83" t="s">
        <v>110</v>
      </c>
      <c r="C134" s="10">
        <v>10124390.699999999</v>
      </c>
      <c r="D134" s="19">
        <v>0</v>
      </c>
      <c r="E134" s="19">
        <f t="shared" si="15"/>
        <v>10124390.699999999</v>
      </c>
      <c r="F134" s="10">
        <f>'Sch 5'!C134</f>
        <v>0</v>
      </c>
      <c r="G134" s="10">
        <f t="shared" si="16"/>
        <v>10124390.699999999</v>
      </c>
      <c r="H134" s="10"/>
      <c r="I134" s="15" t="s">
        <v>358</v>
      </c>
      <c r="J134" s="38"/>
      <c r="K134" s="408"/>
      <c r="L134" s="408"/>
      <c r="P134" s="404"/>
    </row>
    <row r="135" spans="1:16" ht="14.15" customHeight="1">
      <c r="A135" s="404">
        <f t="shared" si="8"/>
        <v>129</v>
      </c>
      <c r="B135" s="83" t="s">
        <v>111</v>
      </c>
      <c r="C135" s="10">
        <v>13294742.720000001</v>
      </c>
      <c r="D135" s="19">
        <v>0</v>
      </c>
      <c r="E135" s="19">
        <f t="shared" si="15"/>
        <v>13294742.720000001</v>
      </c>
      <c r="F135" s="10">
        <f>'Sch 5'!C135</f>
        <v>0</v>
      </c>
      <c r="G135" s="10">
        <f t="shared" si="16"/>
        <v>13294742.720000001</v>
      </c>
      <c r="H135" s="10"/>
      <c r="I135" s="15" t="s">
        <v>358</v>
      </c>
      <c r="J135" s="38"/>
      <c r="K135" s="408"/>
      <c r="L135" s="408"/>
      <c r="P135" s="404"/>
    </row>
    <row r="136" spans="1:16" ht="14.15" customHeight="1">
      <c r="A136" s="404">
        <f t="shared" si="8"/>
        <v>130</v>
      </c>
      <c r="B136" s="83" t="s">
        <v>112</v>
      </c>
      <c r="C136" s="10">
        <v>173479732.02000001</v>
      </c>
      <c r="D136" s="19">
        <v>0</v>
      </c>
      <c r="E136" s="19">
        <f t="shared" si="15"/>
        <v>173479732.02000001</v>
      </c>
      <c r="F136" s="10">
        <f>'Sch 5'!C136</f>
        <v>0</v>
      </c>
      <c r="G136" s="10">
        <f t="shared" si="16"/>
        <v>173479732.02000001</v>
      </c>
      <c r="H136" s="10"/>
      <c r="I136" s="15" t="s">
        <v>358</v>
      </c>
      <c r="J136" s="38"/>
      <c r="K136" s="408"/>
      <c r="L136" s="408"/>
      <c r="P136" s="404"/>
    </row>
    <row r="137" spans="1:16" ht="14.15" customHeight="1">
      <c r="A137" s="404">
        <f t="shared" si="8"/>
        <v>131</v>
      </c>
      <c r="B137" s="83" t="s">
        <v>113</v>
      </c>
      <c r="C137" s="10">
        <v>79202151.379999995</v>
      </c>
      <c r="D137" s="19">
        <v>0</v>
      </c>
      <c r="E137" s="19">
        <f t="shared" si="15"/>
        <v>79202151.379999995</v>
      </c>
      <c r="F137" s="10">
        <f>'Sch 5'!C137</f>
        <v>0</v>
      </c>
      <c r="G137" s="10">
        <f t="shared" si="16"/>
        <v>79202151.379999995</v>
      </c>
      <c r="H137" s="10"/>
      <c r="I137" s="15" t="s">
        <v>358</v>
      </c>
      <c r="J137" s="38"/>
      <c r="K137" s="408"/>
      <c r="L137" s="408"/>
      <c r="P137" s="404"/>
    </row>
    <row r="138" spans="1:16" ht="14.15" customHeight="1">
      <c r="A138" s="404">
        <f t="shared" si="8"/>
        <v>132</v>
      </c>
      <c r="B138" s="83" t="s">
        <v>114</v>
      </c>
      <c r="C138" s="10">
        <v>25665627.859999999</v>
      </c>
      <c r="D138" s="19">
        <f>J138</f>
        <v>4102</v>
      </c>
      <c r="E138" s="19">
        <f t="shared" si="15"/>
        <v>25661525.859999999</v>
      </c>
      <c r="F138" s="10">
        <f>'Sch 5'!C138</f>
        <v>0</v>
      </c>
      <c r="G138" s="10">
        <f t="shared" si="16"/>
        <v>25661525.859999999</v>
      </c>
      <c r="H138" s="10"/>
      <c r="I138" s="15" t="s">
        <v>54</v>
      </c>
      <c r="J138" s="38">
        <v>4102</v>
      </c>
      <c r="K138" s="523" t="s">
        <v>1039</v>
      </c>
      <c r="L138" s="523"/>
      <c r="P138" s="404"/>
    </row>
    <row r="139" spans="1:16" ht="14.15" customHeight="1">
      <c r="A139" s="404">
        <f t="shared" si="8"/>
        <v>133</v>
      </c>
      <c r="B139" s="83" t="s">
        <v>115</v>
      </c>
      <c r="C139" s="10">
        <v>20343996.829999998</v>
      </c>
      <c r="D139" s="19">
        <v>0</v>
      </c>
      <c r="E139" s="19">
        <f t="shared" si="15"/>
        <v>20343996.829999998</v>
      </c>
      <c r="F139" s="10">
        <f>'Sch 5'!C139</f>
        <v>0</v>
      </c>
      <c r="G139" s="10">
        <f t="shared" si="16"/>
        <v>20343996.829999998</v>
      </c>
      <c r="H139" s="10"/>
      <c r="I139" s="15" t="s">
        <v>358</v>
      </c>
      <c r="J139" s="38"/>
      <c r="K139" s="38"/>
      <c r="L139" s="408"/>
    </row>
    <row r="140" spans="1:16" ht="14.15" customHeight="1">
      <c r="A140" s="404">
        <f t="shared" si="8"/>
        <v>134</v>
      </c>
      <c r="B140" s="83" t="s">
        <v>116</v>
      </c>
      <c r="C140" s="10">
        <v>0</v>
      </c>
      <c r="D140" s="19">
        <v>0</v>
      </c>
      <c r="E140" s="19">
        <f t="shared" si="15"/>
        <v>0</v>
      </c>
      <c r="F140" s="10">
        <f>'Sch 5'!C140</f>
        <v>0</v>
      </c>
      <c r="G140" s="10">
        <f t="shared" si="16"/>
        <v>0</v>
      </c>
      <c r="H140" s="10"/>
      <c r="I140" s="15" t="s">
        <v>358</v>
      </c>
      <c r="J140" s="38"/>
      <c r="K140" s="38"/>
      <c r="L140" s="408"/>
    </row>
    <row r="141" spans="1:16" ht="14.15" customHeight="1">
      <c r="A141" s="404">
        <f t="shared" si="8"/>
        <v>135</v>
      </c>
      <c r="B141" s="83" t="s">
        <v>117</v>
      </c>
      <c r="C141" s="10">
        <v>5611681.7999999998</v>
      </c>
      <c r="D141" s="19">
        <v>0</v>
      </c>
      <c r="E141" s="19">
        <f t="shared" si="15"/>
        <v>5611681.7999999998</v>
      </c>
      <c r="F141" s="10">
        <f>'Sch 5'!C141</f>
        <v>0</v>
      </c>
      <c r="G141" s="10">
        <f t="shared" si="16"/>
        <v>5611681.7999999998</v>
      </c>
      <c r="H141" s="10"/>
      <c r="I141" s="15" t="s">
        <v>358</v>
      </c>
      <c r="J141" s="38"/>
      <c r="K141" s="38"/>
      <c r="L141" s="408"/>
    </row>
    <row r="142" spans="1:16" ht="14.15" customHeight="1">
      <c r="A142" s="404">
        <f t="shared" ref="A142:A189" si="17">+A141+1</f>
        <v>136</v>
      </c>
      <c r="B142" s="56" t="s">
        <v>118</v>
      </c>
      <c r="C142" s="10">
        <v>0</v>
      </c>
      <c r="D142" s="19">
        <v>0</v>
      </c>
      <c r="E142" s="19">
        <f t="shared" si="15"/>
        <v>0</v>
      </c>
      <c r="F142" s="10">
        <f>'Sch 5'!C142</f>
        <v>0</v>
      </c>
      <c r="G142" s="10">
        <f t="shared" si="16"/>
        <v>0</v>
      </c>
      <c r="H142" s="10"/>
      <c r="I142" s="15" t="s">
        <v>358</v>
      </c>
      <c r="J142" s="38"/>
      <c r="K142" s="38"/>
      <c r="L142" s="408"/>
    </row>
    <row r="143" spans="1:16" ht="14.15" customHeight="1">
      <c r="A143" s="404">
        <f t="shared" si="17"/>
        <v>137</v>
      </c>
      <c r="B143" s="2" t="s">
        <v>467</v>
      </c>
      <c r="C143" s="80">
        <f>SUM(C128:C142)</f>
        <v>1146217249.3099999</v>
      </c>
      <c r="D143" s="80">
        <f>SUM(D128:D142)</f>
        <v>1454205.8499999999</v>
      </c>
      <c r="E143" s="80">
        <f>SUM(E128:E142)</f>
        <v>1144763043.46</v>
      </c>
      <c r="F143" s="80">
        <f>SUM(F128:F142)</f>
        <v>18000000</v>
      </c>
      <c r="G143" s="80">
        <f>SUM(G128:G142)</f>
        <v>1162763043.46</v>
      </c>
      <c r="H143" s="80"/>
      <c r="I143" s="143"/>
      <c r="J143" s="38"/>
      <c r="K143" s="38"/>
      <c r="L143" s="408">
        <v>1010001</v>
      </c>
    </row>
    <row r="144" spans="1:16" ht="14.15" customHeight="1">
      <c r="A144" s="404">
        <f t="shared" si="17"/>
        <v>138</v>
      </c>
      <c r="B144" s="6"/>
      <c r="C144" s="16"/>
      <c r="D144" s="16"/>
      <c r="E144" s="124"/>
      <c r="F144" s="16"/>
      <c r="G144" s="43"/>
      <c r="H144" s="43"/>
      <c r="I144" s="15"/>
      <c r="J144" s="38"/>
      <c r="K144" s="38"/>
      <c r="L144" s="408"/>
    </row>
    <row r="145" spans="1:12" ht="14.15" customHeight="1">
      <c r="A145" s="404">
        <f t="shared" si="17"/>
        <v>139</v>
      </c>
      <c r="B145" s="3" t="s">
        <v>119</v>
      </c>
      <c r="C145" s="10"/>
      <c r="D145" s="10"/>
      <c r="E145" s="10"/>
      <c r="F145" s="10"/>
      <c r="G145" s="10"/>
      <c r="H145" s="10"/>
      <c r="I145" s="15"/>
      <c r="J145" s="38"/>
      <c r="K145" s="38"/>
      <c r="L145" s="408"/>
    </row>
    <row r="146" spans="1:12" ht="14.15" customHeight="1">
      <c r="A146" s="404">
        <f t="shared" si="17"/>
        <v>140</v>
      </c>
      <c r="B146" s="83" t="s">
        <v>120</v>
      </c>
      <c r="C146" s="10">
        <v>2134690.77</v>
      </c>
      <c r="D146" s="10">
        <f t="shared" ref="D146:D157" si="18">C146-E146</f>
        <v>42693.770000000019</v>
      </c>
      <c r="E146" s="10">
        <f>ROUND(C146*'Allocation Factors'!$G$22,0)</f>
        <v>2091997</v>
      </c>
      <c r="F146" s="10">
        <f>'Sch 5'!C146</f>
        <v>42693.770000000019</v>
      </c>
      <c r="G146" s="10">
        <f t="shared" ref="G146:G157" si="19">E146+F146</f>
        <v>2134690.77</v>
      </c>
      <c r="H146" s="10"/>
      <c r="I146" s="15" t="s">
        <v>348</v>
      </c>
      <c r="J146" s="38"/>
      <c r="K146" s="38"/>
      <c r="L146" s="408"/>
    </row>
    <row r="147" spans="1:12" ht="14.15" customHeight="1">
      <c r="A147" s="404">
        <f t="shared" si="17"/>
        <v>141</v>
      </c>
      <c r="B147" s="83" t="s">
        <v>121</v>
      </c>
      <c r="C147" s="10">
        <v>28738308.34</v>
      </c>
      <c r="D147" s="10">
        <f t="shared" si="18"/>
        <v>574766.33999999985</v>
      </c>
      <c r="E147" s="10">
        <f>ROUND(C147*'Allocation Factors'!$G$22,0)</f>
        <v>28163542</v>
      </c>
      <c r="F147" s="10">
        <f>'Sch 5'!C147</f>
        <v>574766.33999999985</v>
      </c>
      <c r="G147" s="10">
        <f t="shared" si="19"/>
        <v>28738308.34</v>
      </c>
      <c r="H147" s="10"/>
      <c r="I147" s="15" t="s">
        <v>348</v>
      </c>
      <c r="J147" s="38"/>
      <c r="K147" s="38"/>
      <c r="L147" s="408"/>
    </row>
    <row r="148" spans="1:12" ht="14.15" customHeight="1">
      <c r="A148" s="404">
        <f t="shared" si="17"/>
        <v>142</v>
      </c>
      <c r="B148" s="83" t="s">
        <v>122</v>
      </c>
      <c r="C148" s="10">
        <v>2520799.0499999998</v>
      </c>
      <c r="D148" s="10">
        <f t="shared" si="18"/>
        <v>50416.049999999814</v>
      </c>
      <c r="E148" s="10">
        <f>ROUND(C148*'Allocation Factors'!$G$22,0)</f>
        <v>2470383</v>
      </c>
      <c r="F148" s="10">
        <f>'Sch 5'!C148</f>
        <v>50416.049999999814</v>
      </c>
      <c r="G148" s="10">
        <f t="shared" si="19"/>
        <v>2520799.0499999998</v>
      </c>
      <c r="H148" s="10"/>
      <c r="I148" s="15" t="s">
        <v>348</v>
      </c>
      <c r="J148" s="38"/>
      <c r="K148" s="38"/>
      <c r="L148" s="408"/>
    </row>
    <row r="149" spans="1:12" ht="14.15" customHeight="1">
      <c r="A149" s="404">
        <f t="shared" si="17"/>
        <v>143</v>
      </c>
      <c r="B149" s="83" t="s">
        <v>123</v>
      </c>
      <c r="C149" s="10">
        <v>24068505.650000002</v>
      </c>
      <c r="D149" s="10">
        <f t="shared" si="18"/>
        <v>481369.65000000224</v>
      </c>
      <c r="E149" s="10">
        <f>ROUND(C149*'Allocation Factors'!$G$22,0)</f>
        <v>23587136</v>
      </c>
      <c r="F149" s="10">
        <f>'Sch 5'!C149</f>
        <v>481369.65000000224</v>
      </c>
      <c r="G149" s="10">
        <f t="shared" si="19"/>
        <v>24068505.650000002</v>
      </c>
      <c r="H149" s="10"/>
      <c r="I149" s="15" t="s">
        <v>348</v>
      </c>
      <c r="J149" s="38"/>
      <c r="K149" s="38"/>
      <c r="L149" s="408"/>
    </row>
    <row r="150" spans="1:12" ht="14.15" customHeight="1">
      <c r="A150" s="404">
        <f t="shared" si="17"/>
        <v>144</v>
      </c>
      <c r="B150" s="83" t="s">
        <v>124</v>
      </c>
      <c r="C150" s="10">
        <v>442608.16000000003</v>
      </c>
      <c r="D150" s="10">
        <f t="shared" si="18"/>
        <v>8852.1600000000326</v>
      </c>
      <c r="E150" s="10">
        <f>ROUND(C150*'Allocation Factors'!$G$22,0)</f>
        <v>433756</v>
      </c>
      <c r="F150" s="10">
        <f>'Sch 5'!C150</f>
        <v>8852.1600000000326</v>
      </c>
      <c r="G150" s="10">
        <f t="shared" si="19"/>
        <v>442608.16000000003</v>
      </c>
      <c r="H150" s="10"/>
      <c r="I150" s="15" t="s">
        <v>348</v>
      </c>
      <c r="J150" s="38"/>
      <c r="K150" s="38"/>
      <c r="L150" s="408"/>
    </row>
    <row r="151" spans="1:12" ht="14.15" customHeight="1">
      <c r="A151" s="404">
        <f t="shared" si="17"/>
        <v>145</v>
      </c>
      <c r="B151" s="83" t="s">
        <v>125</v>
      </c>
      <c r="C151" s="10">
        <v>8349659.5199999996</v>
      </c>
      <c r="D151" s="10">
        <f t="shared" si="18"/>
        <v>166993.51999999955</v>
      </c>
      <c r="E151" s="10">
        <f>ROUND(C151*'Allocation Factors'!$G$22,0)</f>
        <v>8182666</v>
      </c>
      <c r="F151" s="10">
        <f>'Sch 5'!C151</f>
        <v>166993.51999999955</v>
      </c>
      <c r="G151" s="10">
        <f t="shared" si="19"/>
        <v>8349659.5199999996</v>
      </c>
      <c r="H151" s="10"/>
      <c r="I151" s="15" t="s">
        <v>348</v>
      </c>
      <c r="J151" s="38"/>
      <c r="K151" s="38"/>
      <c r="L151" s="408"/>
    </row>
    <row r="152" spans="1:12" ht="14.15" customHeight="1">
      <c r="A152" s="404">
        <f t="shared" si="17"/>
        <v>146</v>
      </c>
      <c r="B152" s="83" t="s">
        <v>126</v>
      </c>
      <c r="C152" s="10">
        <v>225704.40000000002</v>
      </c>
      <c r="D152" s="10">
        <f t="shared" si="18"/>
        <v>4514.4000000000233</v>
      </c>
      <c r="E152" s="10">
        <f>ROUND(C152*'Allocation Factors'!$G$22,0)</f>
        <v>221190</v>
      </c>
      <c r="F152" s="10">
        <f>'Sch 5'!C152</f>
        <v>4514.4000000000269</v>
      </c>
      <c r="G152" s="10">
        <f t="shared" si="19"/>
        <v>225704.40000000002</v>
      </c>
      <c r="H152" s="10"/>
      <c r="I152" s="15" t="s">
        <v>348</v>
      </c>
      <c r="J152" s="38"/>
      <c r="K152" s="38"/>
      <c r="L152" s="408"/>
    </row>
    <row r="153" spans="1:12" ht="14.15" customHeight="1">
      <c r="A153" s="404">
        <f t="shared" si="17"/>
        <v>147</v>
      </c>
      <c r="B153" s="83" t="s">
        <v>127</v>
      </c>
      <c r="C153" s="10">
        <v>2221244.69</v>
      </c>
      <c r="D153" s="10">
        <f t="shared" si="18"/>
        <v>44424.689999999944</v>
      </c>
      <c r="E153" s="10">
        <f>ROUND(C153*'Allocation Factors'!$G$22,0)</f>
        <v>2176820</v>
      </c>
      <c r="F153" s="10">
        <f>'Sch 5'!C153</f>
        <v>44424.689999999944</v>
      </c>
      <c r="G153" s="10">
        <f t="shared" si="19"/>
        <v>2221244.69</v>
      </c>
      <c r="H153" s="10"/>
      <c r="I153" s="15" t="s">
        <v>348</v>
      </c>
      <c r="J153" s="38"/>
      <c r="K153" s="38"/>
      <c r="L153" s="408"/>
    </row>
    <row r="154" spans="1:12" ht="14.15" customHeight="1">
      <c r="A154" s="404">
        <f t="shared" si="17"/>
        <v>148</v>
      </c>
      <c r="B154" s="83" t="s">
        <v>128</v>
      </c>
      <c r="C154" s="466">
        <v>100776166.75</v>
      </c>
      <c r="D154" s="10">
        <f>C154-E154</f>
        <v>2015523.75</v>
      </c>
      <c r="E154" s="10">
        <f>ROUND(C154*'Allocation Factors'!$G$22,0)</f>
        <v>98760643</v>
      </c>
      <c r="F154" s="10">
        <f>'Sch 5'!C154</f>
        <v>2015523.75</v>
      </c>
      <c r="G154" s="10">
        <f>E154+F154</f>
        <v>100776166.75</v>
      </c>
      <c r="H154" s="10"/>
      <c r="I154" s="15" t="s">
        <v>348</v>
      </c>
      <c r="J154" s="38"/>
      <c r="K154" s="38"/>
      <c r="L154" s="408"/>
    </row>
    <row r="155" spans="1:12" ht="14.15" customHeight="1">
      <c r="A155" s="404">
        <f t="shared" si="17"/>
        <v>149</v>
      </c>
      <c r="B155" s="83" t="s">
        <v>129</v>
      </c>
      <c r="C155" s="10">
        <v>2154021.7399999998</v>
      </c>
      <c r="D155" s="10">
        <f t="shared" si="18"/>
        <v>43080.739999999758</v>
      </c>
      <c r="E155" s="10">
        <f>ROUND(C155*'Allocation Factors'!$G$22,0)</f>
        <v>2110941</v>
      </c>
      <c r="F155" s="10">
        <f>'Sch 5'!C155</f>
        <v>43080.739999999758</v>
      </c>
      <c r="G155" s="10">
        <f t="shared" si="19"/>
        <v>2154021.7399999998</v>
      </c>
      <c r="H155" s="10"/>
      <c r="I155" s="15" t="s">
        <v>348</v>
      </c>
      <c r="J155" s="38"/>
      <c r="K155" s="38"/>
      <c r="L155" s="408"/>
    </row>
    <row r="156" spans="1:12" ht="14.15" customHeight="1">
      <c r="A156" s="404">
        <f t="shared" si="17"/>
        <v>150</v>
      </c>
      <c r="B156" s="83" t="s">
        <v>130</v>
      </c>
      <c r="C156" s="10">
        <v>0</v>
      </c>
      <c r="D156" s="10">
        <f t="shared" si="18"/>
        <v>0</v>
      </c>
      <c r="E156" s="10">
        <f>ROUND(C156*'Allocation Factors'!$G$22,0)</f>
        <v>0</v>
      </c>
      <c r="F156" s="10">
        <f>'Sch 5'!C156</f>
        <v>0</v>
      </c>
      <c r="G156" s="10">
        <f t="shared" si="19"/>
        <v>0</v>
      </c>
      <c r="H156" s="10"/>
      <c r="I156" s="15" t="s">
        <v>348</v>
      </c>
      <c r="J156" s="38"/>
      <c r="K156" s="38"/>
      <c r="L156" s="408"/>
    </row>
    <row r="157" spans="1:12" ht="14.15" customHeight="1">
      <c r="A157" s="404">
        <f t="shared" si="17"/>
        <v>151</v>
      </c>
      <c r="B157" s="56" t="s">
        <v>131</v>
      </c>
      <c r="C157" s="10">
        <v>158819.18</v>
      </c>
      <c r="D157" s="10">
        <f t="shared" si="18"/>
        <v>158819.18</v>
      </c>
      <c r="E157" s="10">
        <v>0</v>
      </c>
      <c r="F157" s="10">
        <f>'Sch 5'!C157</f>
        <v>0</v>
      </c>
      <c r="G157" s="10">
        <f t="shared" si="19"/>
        <v>0</v>
      </c>
      <c r="H157" s="10"/>
      <c r="I157" s="15" t="s">
        <v>54</v>
      </c>
      <c r="J157" s="38"/>
      <c r="K157" s="38"/>
      <c r="L157" s="408"/>
    </row>
    <row r="158" spans="1:12" ht="14.15" customHeight="1">
      <c r="A158" s="404">
        <f t="shared" si="17"/>
        <v>152</v>
      </c>
      <c r="B158" s="85" t="s">
        <v>468</v>
      </c>
      <c r="C158" s="80">
        <f>SUM(C146:C157)</f>
        <v>171790528.25</v>
      </c>
      <c r="D158" s="80">
        <f>SUM(D146:D157)</f>
        <v>3591454.2500000014</v>
      </c>
      <c r="E158" s="80">
        <f>SUM(E146:E157)</f>
        <v>168199074</v>
      </c>
      <c r="F158" s="80">
        <f>SUM(F146:F157)</f>
        <v>3432635.0700000017</v>
      </c>
      <c r="G158" s="80">
        <f>SUM(G146:G157)</f>
        <v>171631709.06999999</v>
      </c>
      <c r="H158" s="80"/>
      <c r="I158" s="141"/>
      <c r="J158" s="38"/>
      <c r="K158" s="38"/>
      <c r="L158" s="408">
        <v>1010001</v>
      </c>
    </row>
    <row r="159" spans="1:12" ht="14.15" customHeight="1">
      <c r="A159" s="404">
        <f t="shared" si="17"/>
        <v>153</v>
      </c>
      <c r="B159" s="85"/>
      <c r="C159" s="16"/>
      <c r="D159" s="16"/>
      <c r="E159" s="16"/>
      <c r="F159" s="16"/>
      <c r="G159" s="16"/>
      <c r="H159" s="16"/>
      <c r="I159" s="17"/>
      <c r="J159" s="38"/>
      <c r="K159" s="38"/>
      <c r="L159" s="408"/>
    </row>
    <row r="160" spans="1:12" ht="14.15" customHeight="1">
      <c r="A160" s="404">
        <f t="shared" si="17"/>
        <v>154</v>
      </c>
      <c r="B160" s="85" t="s">
        <v>145</v>
      </c>
      <c r="C160" s="10"/>
      <c r="D160" s="19"/>
      <c r="E160" s="16"/>
      <c r="F160" s="16"/>
      <c r="G160" s="19"/>
      <c r="H160" s="19"/>
      <c r="I160" s="25"/>
      <c r="J160" s="38"/>
      <c r="K160" s="38"/>
      <c r="L160" s="408"/>
    </row>
    <row r="161" spans="1:16" ht="14.15" customHeight="1">
      <c r="A161" s="404">
        <f t="shared" si="17"/>
        <v>155</v>
      </c>
      <c r="B161" s="25" t="s">
        <v>146</v>
      </c>
      <c r="C161" s="10">
        <v>0</v>
      </c>
      <c r="D161" s="16">
        <f>C161-E161</f>
        <v>0</v>
      </c>
      <c r="E161" s="10">
        <f>ROUND(C161*'Allocation Factors'!$G$22,0)</f>
        <v>0</v>
      </c>
      <c r="F161" s="10">
        <f>'Sch 5'!C161</f>
        <v>0</v>
      </c>
      <c r="G161" s="10">
        <f>E161+F161</f>
        <v>0</v>
      </c>
      <c r="H161" s="10"/>
      <c r="I161" s="15" t="s">
        <v>348</v>
      </c>
      <c r="J161" s="38"/>
      <c r="K161" s="38"/>
      <c r="L161" s="408"/>
    </row>
    <row r="162" spans="1:16" ht="14.15" customHeight="1">
      <c r="A162" s="404">
        <f t="shared" si="17"/>
        <v>156</v>
      </c>
      <c r="B162" s="25" t="s">
        <v>147</v>
      </c>
      <c r="C162" s="10">
        <v>37388841.06000001</v>
      </c>
      <c r="D162" s="16">
        <f>C162-E162</f>
        <v>560833.06000000983</v>
      </c>
      <c r="E162" s="10">
        <f>ROUND(C162*'Allocation Factors'!$G$10,0)</f>
        <v>36828008</v>
      </c>
      <c r="F162" s="10">
        <f>'Sch 5'!C162</f>
        <v>560833.06000000983</v>
      </c>
      <c r="G162" s="10">
        <f>E162+F162</f>
        <v>37388841.06000001</v>
      </c>
      <c r="H162" s="10"/>
      <c r="I162" s="15" t="s">
        <v>337</v>
      </c>
      <c r="J162" s="38"/>
      <c r="K162" s="38"/>
      <c r="L162" s="408"/>
    </row>
    <row r="163" spans="1:16" ht="14.15" customHeight="1">
      <c r="A163" s="404">
        <f t="shared" si="17"/>
        <v>157</v>
      </c>
      <c r="B163" s="25" t="s">
        <v>135</v>
      </c>
      <c r="C163" s="10">
        <v>167662293.53000006</v>
      </c>
      <c r="D163" s="16">
        <f>C163-E163</f>
        <v>2514934.5300000608</v>
      </c>
      <c r="E163" s="16">
        <f>ROUND(C163*'Allocation Factors'!$G$12,0)</f>
        <v>165147359</v>
      </c>
      <c r="F163" s="10">
        <f>'Sch 5'!C163</f>
        <v>2514934.5300000608</v>
      </c>
      <c r="G163" s="10">
        <f>E163+F163</f>
        <v>167662293.53000006</v>
      </c>
      <c r="H163" s="10"/>
      <c r="I163" s="15" t="s">
        <v>339</v>
      </c>
      <c r="J163" s="38"/>
      <c r="K163" s="38"/>
      <c r="L163" s="408"/>
    </row>
    <row r="164" spans="1:16" ht="14.15" customHeight="1">
      <c r="A164" s="404">
        <f t="shared" si="17"/>
        <v>158</v>
      </c>
      <c r="B164" s="25" t="s">
        <v>148</v>
      </c>
      <c r="C164" s="10">
        <v>77179762.209999979</v>
      </c>
      <c r="D164" s="16">
        <f>J164</f>
        <v>0</v>
      </c>
      <c r="E164" s="10">
        <f>C164-D164</f>
        <v>77179762.209999979</v>
      </c>
      <c r="F164" s="10">
        <f>'Sch 5'!C164</f>
        <v>0</v>
      </c>
      <c r="G164" s="10">
        <f>E164+F164</f>
        <v>77179762.209999979</v>
      </c>
      <c r="H164" s="10"/>
      <c r="I164" s="25" t="s">
        <v>54</v>
      </c>
      <c r="J164" s="38">
        <v>0</v>
      </c>
      <c r="K164" s="408" t="s">
        <v>838</v>
      </c>
      <c r="L164" s="408"/>
      <c r="P164" s="404"/>
    </row>
    <row r="165" spans="1:16" ht="14.15" customHeight="1">
      <c r="A165" s="404">
        <f t="shared" si="17"/>
        <v>159</v>
      </c>
      <c r="B165" s="52" t="s">
        <v>149</v>
      </c>
      <c r="C165" s="10">
        <v>2157835.9700000002</v>
      </c>
      <c r="D165" s="16">
        <f>C165-E165</f>
        <v>43156.970000000205</v>
      </c>
      <c r="E165" s="43">
        <f>ROUND(C165*'Allocation Factors'!$G$22,0)</f>
        <v>2114679</v>
      </c>
      <c r="F165" s="10">
        <f>'Sch 5'!C165</f>
        <v>43156.970000000205</v>
      </c>
      <c r="G165" s="10">
        <f>E165+F165</f>
        <v>2157835.9700000002</v>
      </c>
      <c r="H165" s="10"/>
      <c r="I165" s="15" t="s">
        <v>348</v>
      </c>
      <c r="J165" s="38"/>
      <c r="K165" s="38"/>
      <c r="L165" s="408"/>
    </row>
    <row r="166" spans="1:16" ht="14.15" customHeight="1">
      <c r="A166" s="404">
        <f t="shared" si="17"/>
        <v>160</v>
      </c>
      <c r="B166" s="85" t="s">
        <v>477</v>
      </c>
      <c r="C166" s="80">
        <f>SUM(C161:C165)</f>
        <v>284388732.7700001</v>
      </c>
      <c r="D166" s="80">
        <f>SUM(D161:D165)</f>
        <v>3118924.5600000708</v>
      </c>
      <c r="E166" s="80">
        <f>SUM(E161:E165)</f>
        <v>281269808.20999998</v>
      </c>
      <c r="F166" s="80">
        <f>SUM(F161:F165)</f>
        <v>3118924.5600000708</v>
      </c>
      <c r="G166" s="80">
        <f>SUM(G161:G165)</f>
        <v>284388732.7700001</v>
      </c>
      <c r="H166" s="80"/>
      <c r="I166" s="143"/>
      <c r="J166" s="38"/>
      <c r="K166" s="38"/>
      <c r="L166" s="408" t="s">
        <v>897</v>
      </c>
    </row>
    <row r="167" spans="1:16" ht="14.15" customHeight="1">
      <c r="A167" s="404">
        <f t="shared" si="17"/>
        <v>161</v>
      </c>
      <c r="B167" s="85"/>
      <c r="C167" s="16"/>
      <c r="D167" s="16"/>
      <c r="E167" s="16"/>
      <c r="F167" s="16"/>
      <c r="G167" s="16"/>
      <c r="H167" s="16"/>
      <c r="I167" s="17"/>
      <c r="J167" s="38"/>
      <c r="K167" s="38"/>
      <c r="L167" s="408"/>
    </row>
    <row r="168" spans="1:16" ht="14.15" customHeight="1">
      <c r="A168" s="404">
        <f t="shared" si="17"/>
        <v>162</v>
      </c>
      <c r="B168" s="25" t="s">
        <v>1040</v>
      </c>
      <c r="C168" s="19">
        <v>1449570.6</v>
      </c>
      <c r="D168" s="16">
        <f>C168-E168</f>
        <v>1449570.6</v>
      </c>
      <c r="E168" s="16">
        <v>0</v>
      </c>
      <c r="F168" s="10">
        <v>0</v>
      </c>
      <c r="G168" s="10">
        <f>E168+F168</f>
        <v>0</v>
      </c>
      <c r="H168" s="16"/>
      <c r="I168" s="15"/>
      <c r="J168" s="38"/>
      <c r="K168" s="38"/>
      <c r="L168" s="408">
        <v>1011001</v>
      </c>
    </row>
    <row r="169" spans="1:16" ht="14.15" customHeight="1">
      <c r="A169" s="404">
        <f t="shared" si="17"/>
        <v>163</v>
      </c>
      <c r="B169" s="52" t="s">
        <v>879</v>
      </c>
      <c r="C169" s="145">
        <f>3680847.2+492985.35-516593.22</f>
        <v>3657239.33</v>
      </c>
      <c r="D169" s="16">
        <f>C169-E169</f>
        <v>3657239.33</v>
      </c>
      <c r="E169" s="10">
        <v>0</v>
      </c>
      <c r="F169" s="10">
        <v>0</v>
      </c>
      <c r="G169" s="10">
        <f>E169+F169</f>
        <v>0</v>
      </c>
      <c r="H169" s="145"/>
      <c r="I169" s="15"/>
      <c r="J169" s="38"/>
      <c r="K169" s="38"/>
      <c r="L169" s="408" t="s">
        <v>898</v>
      </c>
    </row>
    <row r="170" spans="1:16" ht="14.15" customHeight="1">
      <c r="A170" s="404">
        <f t="shared" si="17"/>
        <v>164</v>
      </c>
      <c r="B170" s="85" t="s">
        <v>469</v>
      </c>
      <c r="C170" s="80">
        <f>SUM(C168:C169)</f>
        <v>5106809.93</v>
      </c>
      <c r="D170" s="80">
        <f>SUM(D168:D169)</f>
        <v>5106809.93</v>
      </c>
      <c r="E170" s="80">
        <f>SUM(E168:E169)</f>
        <v>0</v>
      </c>
      <c r="F170" s="80">
        <f>SUM(F168:F169)</f>
        <v>0</v>
      </c>
      <c r="G170" s="80">
        <f>SUM(G168:G169)</f>
        <v>0</v>
      </c>
      <c r="H170" s="80"/>
      <c r="I170" s="141"/>
      <c r="J170" s="38"/>
      <c r="K170" s="38"/>
      <c r="L170" s="408"/>
    </row>
    <row r="171" spans="1:16" ht="14.15" customHeight="1">
      <c r="A171" s="404">
        <f t="shared" si="17"/>
        <v>165</v>
      </c>
      <c r="B171" s="60"/>
      <c r="C171" s="145"/>
      <c r="D171" s="145"/>
      <c r="E171" s="145"/>
      <c r="F171" s="145"/>
      <c r="G171" s="145"/>
      <c r="H171" s="145"/>
      <c r="I171" s="146"/>
      <c r="J171" s="38"/>
      <c r="K171" s="38"/>
      <c r="L171" s="408"/>
    </row>
    <row r="172" spans="1:16" ht="14.15" customHeight="1" thickBot="1">
      <c r="A172" s="404">
        <f t="shared" si="17"/>
        <v>166</v>
      </c>
      <c r="B172" s="54" t="s">
        <v>132</v>
      </c>
      <c r="C172" s="147">
        <f>+C170+C166+C158+C143+C125+C110+C62+C106</f>
        <v>3657961431.1199999</v>
      </c>
      <c r="D172" s="147">
        <f>+D170+D166+D158+D143+D125+D110+D62+D106</f>
        <v>77564198.450000077</v>
      </c>
      <c r="E172" s="147">
        <f>+E170+E166+E158+E143+E125+E110+E62+E106</f>
        <v>3580397232.6700001</v>
      </c>
      <c r="F172" s="147">
        <f>+F170+F166+F158+F143+F125+F110+F62+F106</f>
        <v>-601498841.80999994</v>
      </c>
      <c r="G172" s="147">
        <f>+G170+G166+G158+G143+G125+G110+G62+G106</f>
        <v>2978898390.8599997</v>
      </c>
      <c r="H172" s="87"/>
      <c r="I172" s="148"/>
      <c r="J172" s="38"/>
      <c r="K172" s="38"/>
      <c r="L172" s="408"/>
    </row>
    <row r="173" spans="1:16" ht="14.15" customHeight="1" thickTop="1">
      <c r="A173" s="404">
        <f t="shared" si="17"/>
        <v>167</v>
      </c>
      <c r="C173" s="10"/>
      <c r="D173" s="10"/>
      <c r="E173" s="11"/>
      <c r="F173" s="10"/>
      <c r="G173" s="10"/>
      <c r="H173" s="10"/>
      <c r="I173" s="15"/>
      <c r="J173" s="38"/>
      <c r="K173" s="38"/>
      <c r="L173" s="408"/>
    </row>
    <row r="174" spans="1:16" ht="14.15" customHeight="1">
      <c r="A174" s="404">
        <f t="shared" si="17"/>
        <v>168</v>
      </c>
      <c r="B174" s="85" t="s">
        <v>750</v>
      </c>
      <c r="C174" s="10">
        <f>C125+C163</f>
        <v>963389640.44000006</v>
      </c>
      <c r="D174" s="10">
        <f>D125+D163</f>
        <v>14455610.440000016</v>
      </c>
      <c r="E174" s="10">
        <f>E125+E163</f>
        <v>948934030</v>
      </c>
      <c r="F174" s="10">
        <f>F125+F163</f>
        <v>14455610.440000016</v>
      </c>
      <c r="G174" s="10">
        <f>G125+G163</f>
        <v>963389640.44000006</v>
      </c>
      <c r="H174" s="93">
        <f>ROUND(E174/C174,3)</f>
        <v>0.98499999999999999</v>
      </c>
      <c r="I174" s="15"/>
      <c r="J174" s="38"/>
      <c r="K174" s="38"/>
      <c r="L174" s="408"/>
    </row>
    <row r="175" spans="1:16" ht="14.15" customHeight="1">
      <c r="A175" s="404">
        <f t="shared" si="17"/>
        <v>169</v>
      </c>
      <c r="C175" s="10"/>
      <c r="D175" s="10"/>
      <c r="E175" s="11"/>
      <c r="F175" s="10"/>
      <c r="G175" s="10"/>
      <c r="H175" s="93"/>
      <c r="I175" s="15"/>
      <c r="J175" s="38"/>
      <c r="K175" s="38"/>
      <c r="L175" s="408"/>
    </row>
    <row r="176" spans="1:16" ht="14.15" customHeight="1">
      <c r="A176" s="404">
        <f t="shared" si="17"/>
        <v>170</v>
      </c>
      <c r="B176" s="85" t="s">
        <v>751</v>
      </c>
      <c r="C176" s="10">
        <f>C143+C164</f>
        <v>1223397011.52</v>
      </c>
      <c r="D176" s="10">
        <f>D143+D164</f>
        <v>1454205.8499999999</v>
      </c>
      <c r="E176" s="10">
        <f>E143+E164</f>
        <v>1221942805.6700001</v>
      </c>
      <c r="F176" s="10">
        <f>F143+F164</f>
        <v>18000000</v>
      </c>
      <c r="G176" s="10">
        <f>G143+G164</f>
        <v>1239942805.6700001</v>
      </c>
      <c r="H176" s="93">
        <f>ROUND(E176/C176,3)</f>
        <v>0.999</v>
      </c>
      <c r="I176" s="15"/>
      <c r="J176" s="38"/>
      <c r="K176" s="38"/>
      <c r="L176" s="408"/>
    </row>
    <row r="177" spans="1:13" ht="14.15" customHeight="1">
      <c r="A177" s="404">
        <f t="shared" si="17"/>
        <v>171</v>
      </c>
      <c r="C177" s="10"/>
      <c r="D177" s="10"/>
      <c r="E177" s="11"/>
      <c r="F177" s="10"/>
      <c r="G177" s="10"/>
      <c r="H177" s="93"/>
      <c r="I177" s="15"/>
      <c r="J177" s="38"/>
      <c r="K177" s="38"/>
      <c r="L177" s="408"/>
    </row>
    <row r="178" spans="1:13" ht="14.15" customHeight="1">
      <c r="A178" s="404">
        <f t="shared" si="17"/>
        <v>172</v>
      </c>
      <c r="B178" s="85" t="s">
        <v>752</v>
      </c>
      <c r="C178" s="10">
        <f>C125+C143+C163+C164</f>
        <v>2186786651.9599996</v>
      </c>
      <c r="D178" s="10">
        <f>D125+D143+D163+D164</f>
        <v>15909816.290000016</v>
      </c>
      <c r="E178" s="10">
        <f>E125+E143+E163+E164</f>
        <v>2170876835.6700001</v>
      </c>
      <c r="F178" s="10">
        <f>F125+F143+F163+F164</f>
        <v>32455610.440000016</v>
      </c>
      <c r="G178" s="10">
        <f>G125+G143+G163+G164</f>
        <v>2203332446.1099997</v>
      </c>
      <c r="H178" s="93">
        <f>ROUND(E178/C178,3)</f>
        <v>0.99299999999999999</v>
      </c>
      <c r="I178" s="15"/>
      <c r="J178" s="38"/>
      <c r="K178" s="38"/>
      <c r="L178" s="408"/>
    </row>
    <row r="179" spans="1:13" ht="14.15" customHeight="1">
      <c r="A179" s="404">
        <f t="shared" si="17"/>
        <v>173</v>
      </c>
      <c r="C179" s="10"/>
      <c r="D179" s="10"/>
      <c r="E179" s="11"/>
      <c r="F179" s="10"/>
      <c r="G179" s="10"/>
      <c r="H179" s="93"/>
      <c r="I179" s="15"/>
      <c r="J179" s="38"/>
      <c r="K179" s="38"/>
      <c r="L179" s="408"/>
    </row>
    <row r="180" spans="1:13" ht="14.15" customHeight="1">
      <c r="A180" s="404">
        <f t="shared" si="17"/>
        <v>174</v>
      </c>
      <c r="B180" s="85" t="s">
        <v>742</v>
      </c>
      <c r="C180" s="16">
        <f>C62+C110+C125+C143+C158+C166+C106</f>
        <v>3652854621.1900001</v>
      </c>
      <c r="D180" s="16">
        <f>D62+D110+D125+D143+D158+D166+D106</f>
        <v>72457388.520000085</v>
      </c>
      <c r="E180" s="16">
        <f>E62+E110+E125+E143+E158+E166+E106</f>
        <v>3580397232.6700001</v>
      </c>
      <c r="F180" s="16">
        <f>F62+F110+F125+F143+F158+F166+F106</f>
        <v>-601498841.80999994</v>
      </c>
      <c r="G180" s="16">
        <f>G62+G110+G125+G143+G158+G166+G106</f>
        <v>2978898390.8599997</v>
      </c>
      <c r="H180" s="93">
        <f>ROUND(E180/C180,3)</f>
        <v>0.98</v>
      </c>
      <c r="I180" s="149"/>
      <c r="J180" s="38"/>
      <c r="K180" s="38"/>
      <c r="L180" s="408"/>
    </row>
    <row r="181" spans="1:13" ht="14.15" customHeight="1">
      <c r="A181" s="404">
        <f t="shared" si="17"/>
        <v>175</v>
      </c>
      <c r="B181" s="85"/>
      <c r="C181" s="16"/>
      <c r="D181" s="16"/>
      <c r="E181" s="16"/>
      <c r="F181" s="16"/>
      <c r="G181" s="16"/>
      <c r="H181" s="94"/>
      <c r="I181" s="149"/>
      <c r="J181" s="38"/>
      <c r="K181" s="38"/>
      <c r="L181" s="408"/>
    </row>
    <row r="182" spans="1:13" ht="14.15" customHeight="1">
      <c r="A182" s="480">
        <f t="shared" si="17"/>
        <v>176</v>
      </c>
      <c r="B182" s="85" t="s">
        <v>749</v>
      </c>
      <c r="C182" s="16">
        <f>C106+C125+C143+C162+C163+C164+C110</f>
        <v>3478853337.79</v>
      </c>
      <c r="D182" s="16">
        <f>D106+D125+D143+D162+D163+D164+D110</f>
        <v>68821719.120000079</v>
      </c>
      <c r="E182" s="16">
        <f>E106+E125+E143+E162+E163+E164+E110</f>
        <v>3410031618.6700001</v>
      </c>
      <c r="F182" s="16">
        <f>F106+F125+F143+F162+F163+F164+F110</f>
        <v>-600944649.02999985</v>
      </c>
      <c r="G182" s="16">
        <f>G106+G125+G143+G162+G163+G164+G110</f>
        <v>2809086969.6400003</v>
      </c>
      <c r="H182" s="93">
        <f>ROUND(E182/C182,3)</f>
        <v>0.98</v>
      </c>
      <c r="I182" s="149"/>
      <c r="J182" s="38"/>
      <c r="K182" s="38"/>
      <c r="L182" s="408"/>
    </row>
    <row r="183" spans="1:13" ht="14.15" customHeight="1">
      <c r="A183" s="480">
        <f t="shared" si="17"/>
        <v>177</v>
      </c>
      <c r="C183" s="10"/>
      <c r="D183" s="10"/>
      <c r="E183" s="11"/>
      <c r="F183" s="10"/>
      <c r="G183" s="10"/>
      <c r="H183" s="10"/>
      <c r="I183" s="15"/>
      <c r="J183" s="38"/>
      <c r="K183" s="38"/>
      <c r="L183" s="408"/>
    </row>
    <row r="184" spans="1:13" ht="14.15" customHeight="1">
      <c r="A184" s="480">
        <f t="shared" si="17"/>
        <v>178</v>
      </c>
      <c r="B184" s="3" t="s">
        <v>1058</v>
      </c>
      <c r="C184" s="10"/>
      <c r="D184" s="19"/>
      <c r="E184" s="10"/>
      <c r="F184" s="10"/>
      <c r="G184" s="10"/>
      <c r="H184" s="10"/>
      <c r="I184" s="15"/>
      <c r="J184" s="38"/>
      <c r="K184" s="38"/>
      <c r="L184" s="408"/>
    </row>
    <row r="185" spans="1:13" ht="14.15" customHeight="1">
      <c r="A185" s="480">
        <f t="shared" si="17"/>
        <v>179</v>
      </c>
      <c r="B185" s="83" t="s">
        <v>134</v>
      </c>
      <c r="C185" s="10">
        <f>646446175.85-6610723.67</f>
        <v>639835452.18000007</v>
      </c>
      <c r="D185" s="10">
        <f>C185-E185</f>
        <v>18545486.180000067</v>
      </c>
      <c r="E185" s="10">
        <f>ROUND((C185+J185)*'Allocation Factors'!$G$10,0)</f>
        <v>621289966</v>
      </c>
      <c r="F185" s="10">
        <f>'Sch 5'!C175</f>
        <v>-357059890.81999993</v>
      </c>
      <c r="G185" s="10">
        <f>E185+F185</f>
        <v>264230075.18000007</v>
      </c>
      <c r="H185" s="10"/>
      <c r="I185" s="15" t="s">
        <v>337</v>
      </c>
      <c r="J185" s="38">
        <v>-9084217.6699999999</v>
      </c>
      <c r="K185" s="407" t="s">
        <v>786</v>
      </c>
      <c r="L185" s="408" t="s">
        <v>1056</v>
      </c>
    </row>
    <row r="186" spans="1:13" ht="14.15" customHeight="1">
      <c r="A186" s="480">
        <f t="shared" si="17"/>
        <v>180</v>
      </c>
      <c r="B186" s="22" t="s">
        <v>143</v>
      </c>
      <c r="C186" s="10">
        <f>312991360.03-6284597.47</f>
        <v>306706762.55999994</v>
      </c>
      <c r="D186" s="10">
        <f>C186-E186</f>
        <v>3267874.5599999428</v>
      </c>
      <c r="E186" s="10">
        <f>ROUND((C186+J186)*'Allocation Factors'!$G$16,0)</f>
        <v>303438888</v>
      </c>
      <c r="F186" s="10">
        <f>'Sch 5'!C176</f>
        <v>4600601.5599999428</v>
      </c>
      <c r="G186" s="10">
        <f>E186+F186</f>
        <v>308039489.55999994</v>
      </c>
      <c r="H186" s="10"/>
      <c r="I186" s="15" t="s">
        <v>342</v>
      </c>
      <c r="J186" s="38">
        <v>1353022</v>
      </c>
      <c r="K186" s="407" t="s">
        <v>785</v>
      </c>
      <c r="L186" s="408"/>
    </row>
    <row r="187" spans="1:13" ht="14.15" customHeight="1">
      <c r="A187" s="480">
        <f t="shared" si="17"/>
        <v>181</v>
      </c>
      <c r="B187" s="22" t="s">
        <v>136</v>
      </c>
      <c r="C187" s="10">
        <f>389972413.94-4093329.46</f>
        <v>385879084.48000002</v>
      </c>
      <c r="D187" s="10">
        <f>C187-E187</f>
        <v>385879.48000001907</v>
      </c>
      <c r="E187" s="10">
        <f>ROUND(C187*'Allocation Factors'!$G$18,0)</f>
        <v>385493205</v>
      </c>
      <c r="F187" s="10">
        <f>'Sch 5'!C177</f>
        <v>385879.48000001907</v>
      </c>
      <c r="G187" s="10">
        <f>E187+F187</f>
        <v>385879084.48000002</v>
      </c>
      <c r="H187" s="10"/>
      <c r="I187" s="25" t="s">
        <v>344</v>
      </c>
      <c r="J187" s="38"/>
      <c r="K187" s="38"/>
      <c r="L187" s="408"/>
      <c r="M187" s="404"/>
    </row>
    <row r="188" spans="1:13" ht="13.5" customHeight="1">
      <c r="A188" s="480">
        <f t="shared" si="17"/>
        <v>182</v>
      </c>
      <c r="B188" s="22" t="s">
        <v>137</v>
      </c>
      <c r="C188" s="10">
        <f>68467845.7+18699.34+1095672.78</f>
        <v>69582217.820000008</v>
      </c>
      <c r="D188" s="10">
        <f>C188-E188</f>
        <v>1391644.8200000077</v>
      </c>
      <c r="E188" s="10">
        <f>ROUND(C188*'Allocation Factors'!$G$22,0)</f>
        <v>68190573</v>
      </c>
      <c r="F188" s="10">
        <f>'Sch 5'!C178</f>
        <v>1391644.8200000077</v>
      </c>
      <c r="G188" s="10">
        <f>E188+F188</f>
        <v>69582217.820000008</v>
      </c>
      <c r="H188" s="10"/>
      <c r="I188" s="15" t="s">
        <v>348</v>
      </c>
      <c r="J188" s="38"/>
      <c r="K188" s="38"/>
      <c r="L188" s="408"/>
    </row>
    <row r="189" spans="1:13" ht="14.15" customHeight="1">
      <c r="A189" s="480">
        <f t="shared" si="17"/>
        <v>183</v>
      </c>
      <c r="B189" s="85" t="s">
        <v>1148</v>
      </c>
      <c r="C189" s="80">
        <f>SUM(C185:C188)</f>
        <v>1402003517.04</v>
      </c>
      <c r="D189" s="80">
        <f>SUM(D185:D188)</f>
        <v>23590885.040000036</v>
      </c>
      <c r="E189" s="80">
        <f>SUM(E185:E188)</f>
        <v>1378412632</v>
      </c>
      <c r="F189" s="80">
        <f>SUM(F185:F188)</f>
        <v>-350681764.95999998</v>
      </c>
      <c r="G189" s="80">
        <f>SUM(G185:G188)</f>
        <v>1027730867.0400001</v>
      </c>
      <c r="H189" s="47"/>
      <c r="I189" s="141"/>
      <c r="J189" s="38"/>
      <c r="K189" s="38"/>
      <c r="L189" s="408" t="s">
        <v>1107</v>
      </c>
    </row>
    <row r="190" spans="1:13" ht="14.15" customHeight="1">
      <c r="A190" s="404">
        <f t="shared" ref="A190:A247" si="20">+A189+1</f>
        <v>184</v>
      </c>
      <c r="B190" s="25"/>
      <c r="C190" s="16"/>
      <c r="D190" s="16"/>
      <c r="E190" s="124"/>
      <c r="F190" s="16"/>
      <c r="G190" s="43"/>
      <c r="H190" s="43"/>
      <c r="I190" s="150"/>
      <c r="J190" s="38"/>
      <c r="K190" s="38"/>
      <c r="L190" s="408"/>
    </row>
    <row r="191" spans="1:13" ht="14.15" customHeight="1">
      <c r="A191" s="404">
        <f t="shared" si="20"/>
        <v>185</v>
      </c>
      <c r="B191" s="85" t="s">
        <v>138</v>
      </c>
      <c r="C191" s="16"/>
      <c r="D191" s="16"/>
      <c r="E191" s="16"/>
      <c r="F191" s="16"/>
      <c r="G191" s="10"/>
      <c r="H191" s="10"/>
      <c r="I191" s="15"/>
      <c r="J191" s="38"/>
      <c r="K191" s="38"/>
      <c r="L191" s="408"/>
    </row>
    <row r="192" spans="1:13" ht="14.15" customHeight="1">
      <c r="A192" s="404">
        <f t="shared" si="20"/>
        <v>186</v>
      </c>
      <c r="B192" s="22" t="s">
        <v>141</v>
      </c>
      <c r="C192" s="10">
        <v>52919.040000000008</v>
      </c>
      <c r="D192" s="43">
        <f>C192-E192</f>
        <v>794.04000000000815</v>
      </c>
      <c r="E192" s="10">
        <f>ROUND(C192*'Allocation Factors'!$G$10,0)</f>
        <v>52125</v>
      </c>
      <c r="F192" s="10">
        <f>'Sch 5'!C182</f>
        <v>-3689090.96</v>
      </c>
      <c r="G192" s="10">
        <f>E192+F192</f>
        <v>-3636965.96</v>
      </c>
      <c r="H192" s="10"/>
      <c r="I192" s="15" t="s">
        <v>348</v>
      </c>
      <c r="L192" s="408" t="s">
        <v>940</v>
      </c>
    </row>
    <row r="193" spans="1:12" ht="14.15" customHeight="1">
      <c r="A193" s="404">
        <f t="shared" si="20"/>
        <v>187</v>
      </c>
      <c r="B193" s="22" t="s">
        <v>134</v>
      </c>
      <c r="C193" s="10">
        <v>0</v>
      </c>
      <c r="D193" s="43">
        <f>C193-E193</f>
        <v>0</v>
      </c>
      <c r="E193" s="10">
        <f>ROUND((C193+J193)*'Allocation Factors'!$G$10,0)</f>
        <v>0</v>
      </c>
      <c r="F193" s="10">
        <f>'Sch 5'!C183</f>
        <v>0</v>
      </c>
      <c r="G193" s="10">
        <f>E193+F193</f>
        <v>0</v>
      </c>
      <c r="H193" s="10"/>
      <c r="I193" s="15" t="s">
        <v>337</v>
      </c>
      <c r="J193" s="38"/>
      <c r="K193" s="38"/>
      <c r="L193" s="408"/>
    </row>
    <row r="194" spans="1:12" ht="14.15" customHeight="1">
      <c r="A194" s="404">
        <f t="shared" si="20"/>
        <v>188</v>
      </c>
      <c r="B194" s="22" t="s">
        <v>135</v>
      </c>
      <c r="C194" s="43">
        <v>0</v>
      </c>
      <c r="D194" s="43">
        <f>C194-E194</f>
        <v>0</v>
      </c>
      <c r="E194" s="43">
        <v>0</v>
      </c>
      <c r="F194" s="10">
        <f>'Sch 5'!C184</f>
        <v>0</v>
      </c>
      <c r="G194" s="43">
        <v>0</v>
      </c>
      <c r="H194" s="43"/>
      <c r="I194" s="15"/>
      <c r="J194" s="38"/>
      <c r="K194" s="38"/>
      <c r="L194" s="408"/>
    </row>
    <row r="195" spans="1:12" ht="14.15" customHeight="1">
      <c r="A195" s="404">
        <f t="shared" si="20"/>
        <v>189</v>
      </c>
      <c r="B195" s="22" t="s">
        <v>136</v>
      </c>
      <c r="C195" s="43">
        <v>0</v>
      </c>
      <c r="D195" s="43">
        <f>C195-E195</f>
        <v>0</v>
      </c>
      <c r="E195" s="43">
        <v>0</v>
      </c>
      <c r="F195" s="10">
        <f>'Sch 5'!C185</f>
        <v>0</v>
      </c>
      <c r="G195" s="43">
        <v>0</v>
      </c>
      <c r="H195" s="43"/>
      <c r="I195" s="15"/>
      <c r="J195" s="38"/>
      <c r="K195" s="38"/>
      <c r="L195" s="408"/>
    </row>
    <row r="196" spans="1:12" s="18" customFormat="1" ht="14.15" customHeight="1">
      <c r="A196" s="404">
        <f t="shared" si="20"/>
        <v>190</v>
      </c>
      <c r="B196" s="56" t="s">
        <v>137</v>
      </c>
      <c r="C196" s="64">
        <v>6155</v>
      </c>
      <c r="D196" s="64">
        <f>C196-E196</f>
        <v>123</v>
      </c>
      <c r="E196" s="64">
        <f>ROUND(C196*'Allocation Factors'!$G$22,0)</f>
        <v>6032</v>
      </c>
      <c r="F196" s="64">
        <f>'Sch 5'!C186</f>
        <v>123</v>
      </c>
      <c r="G196" s="64">
        <f>E196+F196</f>
        <v>6155</v>
      </c>
      <c r="H196" s="64"/>
      <c r="I196" s="129" t="s">
        <v>348</v>
      </c>
      <c r="J196" s="38"/>
      <c r="K196" s="38"/>
      <c r="L196" s="18" t="s">
        <v>940</v>
      </c>
    </row>
    <row r="197" spans="1:12" ht="14.15" customHeight="1">
      <c r="A197" s="404">
        <f t="shared" si="20"/>
        <v>191</v>
      </c>
      <c r="B197" s="85" t="s">
        <v>473</v>
      </c>
      <c r="C197" s="16">
        <f>SUM(C192:C196)</f>
        <v>59074.040000000008</v>
      </c>
      <c r="D197" s="16">
        <f>SUM(D192:D196)</f>
        <v>917.04000000000815</v>
      </c>
      <c r="E197" s="16">
        <f>SUM(E192:E196)</f>
        <v>58157</v>
      </c>
      <c r="F197" s="16">
        <f>SUM(F192:F196)</f>
        <v>-3688967.96</v>
      </c>
      <c r="G197" s="16">
        <f>SUM(G192:G196)</f>
        <v>-3630810.96</v>
      </c>
      <c r="H197" s="16"/>
      <c r="I197" s="17"/>
      <c r="J197" s="38"/>
      <c r="K197" s="38"/>
      <c r="L197" s="408"/>
    </row>
    <row r="198" spans="1:12" ht="14.15" customHeight="1">
      <c r="A198" s="404">
        <f t="shared" si="20"/>
        <v>192</v>
      </c>
      <c r="B198" s="25"/>
      <c r="C198" s="16"/>
      <c r="D198" s="16"/>
      <c r="E198" s="124"/>
      <c r="F198" s="16"/>
      <c r="G198" s="43"/>
      <c r="H198" s="43"/>
      <c r="I198" s="15"/>
      <c r="J198" s="38"/>
      <c r="K198" s="38"/>
      <c r="L198" s="408"/>
    </row>
    <row r="199" spans="1:12" ht="12.75" customHeight="1">
      <c r="A199" s="404">
        <f t="shared" si="20"/>
        <v>193</v>
      </c>
      <c r="B199" s="52" t="s">
        <v>327</v>
      </c>
      <c r="C199" s="145">
        <v>463950.17</v>
      </c>
      <c r="D199" s="64">
        <f>C199-E199</f>
        <v>463950.17</v>
      </c>
      <c r="E199" s="64">
        <v>0</v>
      </c>
      <c r="F199" s="64">
        <f>'Sch 5'!C189</f>
        <v>0</v>
      </c>
      <c r="G199" s="64">
        <v>0</v>
      </c>
      <c r="H199" s="64"/>
      <c r="I199" s="129"/>
      <c r="J199" s="38"/>
      <c r="K199" s="38"/>
      <c r="L199" s="408">
        <v>1011006</v>
      </c>
    </row>
    <row r="200" spans="1:12" ht="14.15" customHeight="1">
      <c r="A200" s="404">
        <f t="shared" si="20"/>
        <v>194</v>
      </c>
      <c r="B200" s="85" t="s">
        <v>475</v>
      </c>
      <c r="C200" s="16">
        <f>SUM(C199:C199)</f>
        <v>463950.17</v>
      </c>
      <c r="D200" s="16">
        <f>SUM(D199:D199)</f>
        <v>463950.17</v>
      </c>
      <c r="E200" s="16">
        <f>SUM(E199:E199)</f>
        <v>0</v>
      </c>
      <c r="F200" s="16">
        <f>SUM(F199:F199)</f>
        <v>0</v>
      </c>
      <c r="G200" s="16">
        <f>SUM(G199:G199)</f>
        <v>0</v>
      </c>
      <c r="H200" s="43"/>
      <c r="I200" s="15"/>
      <c r="J200" s="38"/>
      <c r="K200" s="38"/>
      <c r="L200" s="408"/>
    </row>
    <row r="201" spans="1:12" ht="14.15" customHeight="1">
      <c r="A201" s="404">
        <f t="shared" si="20"/>
        <v>195</v>
      </c>
      <c r="B201" s="52"/>
      <c r="C201" s="145"/>
      <c r="D201" s="145"/>
      <c r="E201" s="58"/>
      <c r="F201" s="145"/>
      <c r="G201" s="64"/>
      <c r="H201" s="64"/>
      <c r="I201" s="129"/>
      <c r="J201" s="38"/>
      <c r="K201" s="38"/>
      <c r="L201" s="408"/>
    </row>
    <row r="202" spans="1:12" ht="14.15" customHeight="1">
      <c r="A202" s="404">
        <f t="shared" si="20"/>
        <v>196</v>
      </c>
      <c r="B202" s="85" t="s">
        <v>505</v>
      </c>
      <c r="C202" s="16">
        <f>C197+C189+C200</f>
        <v>1402526541.25</v>
      </c>
      <c r="D202" s="16">
        <f>D197+D189+D200</f>
        <v>24055752.250000037</v>
      </c>
      <c r="E202" s="16">
        <f>E197+E189+E200</f>
        <v>1378470789</v>
      </c>
      <c r="F202" s="16">
        <f>F197+F189</f>
        <v>-354370732.91999996</v>
      </c>
      <c r="G202" s="16">
        <f>G197+G189</f>
        <v>1024100056.08</v>
      </c>
      <c r="H202" s="16"/>
      <c r="I202" s="17"/>
      <c r="J202" s="38"/>
      <c r="K202" s="38"/>
      <c r="L202" s="102"/>
    </row>
    <row r="203" spans="1:12" ht="14.15" customHeight="1">
      <c r="A203" s="404">
        <f t="shared" si="20"/>
        <v>197</v>
      </c>
      <c r="B203" s="52"/>
      <c r="C203" s="145"/>
      <c r="D203" s="145"/>
      <c r="E203" s="58"/>
      <c r="F203" s="145"/>
      <c r="G203" s="64"/>
      <c r="H203" s="64"/>
      <c r="I203" s="129"/>
      <c r="J203" s="38"/>
      <c r="K203" s="38"/>
      <c r="L203" s="408"/>
    </row>
    <row r="204" spans="1:12" ht="14.15" customHeight="1" thickBot="1">
      <c r="A204" s="404">
        <f t="shared" si="20"/>
        <v>198</v>
      </c>
      <c r="B204" s="5" t="s">
        <v>139</v>
      </c>
      <c r="C204" s="151">
        <f>+C172-C202</f>
        <v>2255434889.8699999</v>
      </c>
      <c r="D204" s="151">
        <f>+D172-D202</f>
        <v>53508446.20000004</v>
      </c>
      <c r="E204" s="151">
        <f>+E172-E202</f>
        <v>2201926443.6700001</v>
      </c>
      <c r="F204" s="132">
        <f>+F172-F202</f>
        <v>-247128108.88999999</v>
      </c>
      <c r="G204" s="132">
        <f>+G172-G202</f>
        <v>1954798334.7799997</v>
      </c>
      <c r="H204" s="132"/>
      <c r="I204" s="152"/>
      <c r="J204" s="38"/>
      <c r="K204" s="38"/>
      <c r="L204" s="475"/>
    </row>
    <row r="205" spans="1:12" ht="14.15" customHeight="1" thickTop="1">
      <c r="A205" s="404">
        <f t="shared" si="20"/>
        <v>199</v>
      </c>
      <c r="B205" s="25"/>
      <c r="C205" s="16"/>
      <c r="D205" s="16"/>
      <c r="E205" s="124"/>
      <c r="F205" s="16"/>
      <c r="G205" s="16"/>
      <c r="H205" s="16"/>
      <c r="I205" s="17"/>
      <c r="J205" s="38"/>
      <c r="K205" s="38"/>
      <c r="L205" s="408"/>
    </row>
    <row r="206" spans="1:12" ht="14.15" customHeight="1">
      <c r="A206" s="404">
        <f t="shared" si="20"/>
        <v>200</v>
      </c>
      <c r="B206" s="13" t="s">
        <v>140</v>
      </c>
      <c r="C206" s="10"/>
      <c r="D206" s="10"/>
      <c r="E206" s="10"/>
      <c r="F206" s="10"/>
      <c r="G206" s="10"/>
      <c r="H206" s="10"/>
      <c r="I206" s="15"/>
      <c r="J206" s="38"/>
      <c r="K206" s="38"/>
      <c r="L206" s="408"/>
    </row>
    <row r="207" spans="1:12" ht="14.15" customHeight="1">
      <c r="A207" s="404">
        <f t="shared" si="20"/>
        <v>201</v>
      </c>
      <c r="B207" s="22" t="s">
        <v>141</v>
      </c>
      <c r="C207" s="10">
        <f>211349.87-C208</f>
        <v>165387.79999999999</v>
      </c>
      <c r="D207" s="43">
        <f>C207-E207</f>
        <v>165387.79999999999</v>
      </c>
      <c r="E207" s="43">
        <v>0</v>
      </c>
      <c r="F207" s="10"/>
      <c r="G207" s="10"/>
      <c r="H207" s="10"/>
      <c r="I207" s="15"/>
      <c r="J207" s="38"/>
      <c r="K207" s="38"/>
      <c r="L207" s="408" t="s">
        <v>1108</v>
      </c>
    </row>
    <row r="208" spans="1:12" ht="14.15" customHeight="1">
      <c r="A208" s="404">
        <f t="shared" si="20"/>
        <v>202</v>
      </c>
      <c r="B208" s="56" t="s">
        <v>55</v>
      </c>
      <c r="C208" s="10">
        <v>45962.07</v>
      </c>
      <c r="D208" s="43">
        <f>C208-E208</f>
        <v>45962.07</v>
      </c>
      <c r="E208" s="10">
        <v>0</v>
      </c>
      <c r="F208" s="10"/>
      <c r="G208" s="10"/>
      <c r="H208" s="10"/>
      <c r="I208" s="15"/>
      <c r="J208" s="38"/>
      <c r="K208" s="38"/>
      <c r="L208" s="408"/>
    </row>
    <row r="209" spans="1:12" ht="14.15" customHeight="1">
      <c r="A209" s="404">
        <f t="shared" si="20"/>
        <v>203</v>
      </c>
      <c r="B209" s="13" t="s">
        <v>508</v>
      </c>
      <c r="C209" s="47">
        <f>SUM(C207:C208)</f>
        <v>211349.87</v>
      </c>
      <c r="D209" s="47">
        <f>SUM(D207:D208)</f>
        <v>211349.87</v>
      </c>
      <c r="E209" s="47">
        <f>SUM(E207:E208)</f>
        <v>0</v>
      </c>
      <c r="F209" s="47">
        <f>SUM(F207:F208)</f>
        <v>0</v>
      </c>
      <c r="G209" s="47">
        <f>SUM(G207:G208)</f>
        <v>0</v>
      </c>
      <c r="H209" s="47"/>
      <c r="I209" s="49"/>
      <c r="J209" s="38"/>
      <c r="K209" s="38"/>
      <c r="L209" s="408"/>
    </row>
    <row r="210" spans="1:12" ht="14.15" customHeight="1">
      <c r="A210" s="404">
        <f t="shared" si="20"/>
        <v>204</v>
      </c>
      <c r="B210" s="22"/>
      <c r="C210" s="43"/>
      <c r="D210" s="43"/>
      <c r="E210" s="43"/>
      <c r="F210" s="43"/>
      <c r="G210" s="43"/>
      <c r="H210" s="43"/>
      <c r="I210" s="15"/>
      <c r="J210" s="38"/>
      <c r="K210" s="38"/>
      <c r="L210" s="408"/>
    </row>
    <row r="211" spans="1:12" ht="14.15" customHeight="1">
      <c r="A211" s="404">
        <f t="shared" si="20"/>
        <v>205</v>
      </c>
      <c r="B211" s="22" t="s">
        <v>134</v>
      </c>
      <c r="C211" s="10">
        <f>7382245.98-C212</f>
        <v>7150701.0300000003</v>
      </c>
      <c r="D211" s="10">
        <f>C211-E211</f>
        <v>107260.03000000026</v>
      </c>
      <c r="E211" s="10">
        <f>ROUND(C211*'Allocation Factors'!$G$10,0)</f>
        <v>7043441</v>
      </c>
      <c r="F211" s="10">
        <f>'Sch 5'!C201</f>
        <v>107260.03000000026</v>
      </c>
      <c r="G211" s="10">
        <f>E211+F211</f>
        <v>7150701.0300000003</v>
      </c>
      <c r="H211" s="10"/>
      <c r="I211" s="15" t="s">
        <v>337</v>
      </c>
      <c r="J211" s="38"/>
      <c r="K211" s="38"/>
      <c r="L211" s="408" t="s">
        <v>1108</v>
      </c>
    </row>
    <row r="212" spans="1:12" ht="14.15" customHeight="1">
      <c r="A212" s="404">
        <f t="shared" si="20"/>
        <v>206</v>
      </c>
      <c r="B212" s="56" t="s">
        <v>142</v>
      </c>
      <c r="C212" s="10">
        <v>231544.95000000004</v>
      </c>
      <c r="D212" s="10">
        <f>C212-E212</f>
        <v>3472.9500000000407</v>
      </c>
      <c r="E212" s="10">
        <f>ROUND(C212*'Allocation Factors'!$G$10,0)</f>
        <v>228072</v>
      </c>
      <c r="F212" s="10">
        <f>'Sch 5'!C202</f>
        <v>3472.9500000000407</v>
      </c>
      <c r="G212" s="10">
        <f>E212+F212</f>
        <v>231544.95000000004</v>
      </c>
      <c r="H212" s="10"/>
      <c r="I212" s="15" t="s">
        <v>337</v>
      </c>
      <c r="J212" s="38"/>
      <c r="K212" s="38"/>
      <c r="L212" s="408"/>
    </row>
    <row r="213" spans="1:12" ht="14.15" customHeight="1">
      <c r="A213" s="404">
        <f t="shared" si="20"/>
        <v>207</v>
      </c>
      <c r="B213" s="85" t="s">
        <v>474</v>
      </c>
      <c r="C213" s="47">
        <f>SUM(C211:C212)</f>
        <v>7382245.9800000004</v>
      </c>
      <c r="D213" s="47">
        <f>SUM(D211:D212)</f>
        <v>110732.9800000003</v>
      </c>
      <c r="E213" s="47">
        <f>SUM(E211:E212)</f>
        <v>7271513</v>
      </c>
      <c r="F213" s="47">
        <f>SUM(F211:F212)</f>
        <v>110732.9800000003</v>
      </c>
      <c r="G213" s="47">
        <f>SUM(G211:G212)</f>
        <v>7382245.9800000004</v>
      </c>
      <c r="H213" s="47"/>
      <c r="I213" s="153"/>
      <c r="J213" s="38"/>
      <c r="K213" s="38"/>
      <c r="L213" s="408"/>
    </row>
    <row r="214" spans="1:12" ht="14.15" customHeight="1">
      <c r="A214" s="404">
        <f t="shared" si="20"/>
        <v>208</v>
      </c>
      <c r="B214" s="25"/>
      <c r="C214" s="43"/>
      <c r="D214" s="16"/>
      <c r="E214" s="43"/>
      <c r="F214" s="43"/>
      <c r="G214" s="43"/>
      <c r="H214" s="43"/>
      <c r="I214" s="15"/>
      <c r="J214" s="38"/>
      <c r="K214" s="38"/>
      <c r="L214" s="408"/>
    </row>
    <row r="215" spans="1:12" ht="14.15" customHeight="1">
      <c r="A215" s="404">
        <f t="shared" si="20"/>
        <v>209</v>
      </c>
      <c r="B215" s="22" t="s">
        <v>143</v>
      </c>
      <c r="C215" s="10">
        <f>102149246.22-C216</f>
        <v>97286306.109999999</v>
      </c>
      <c r="D215" s="10">
        <f>C215-E215</f>
        <v>1459294.1099999994</v>
      </c>
      <c r="E215" s="10">
        <f>ROUND(C215*'Allocation Factors'!$G$16,0)</f>
        <v>95827012</v>
      </c>
      <c r="F215" s="10">
        <f>'Sch 5'!C205</f>
        <v>1459294.1099999994</v>
      </c>
      <c r="G215" s="10">
        <f>E215+F215</f>
        <v>97286306.109999999</v>
      </c>
      <c r="H215" s="10"/>
      <c r="I215" s="15" t="s">
        <v>342</v>
      </c>
      <c r="J215" s="38"/>
      <c r="K215" s="38"/>
      <c r="L215" s="408" t="s">
        <v>1108</v>
      </c>
    </row>
    <row r="216" spans="1:12" ht="14.15" customHeight="1">
      <c r="A216" s="404">
        <f t="shared" si="20"/>
        <v>210</v>
      </c>
      <c r="B216" s="52" t="s">
        <v>55</v>
      </c>
      <c r="C216" s="10">
        <v>4862940.1100000003</v>
      </c>
      <c r="D216" s="10">
        <f>C216-E216</f>
        <v>72944.110000000335</v>
      </c>
      <c r="E216" s="10">
        <f>ROUND(C216*'Allocation Factors'!$G$16,0)</f>
        <v>4789996</v>
      </c>
      <c r="F216" s="10">
        <f>'Sch 5'!C206</f>
        <v>72944.110000000335</v>
      </c>
      <c r="G216" s="10">
        <f>E216+F216</f>
        <v>4862940.1100000003</v>
      </c>
      <c r="H216" s="10"/>
      <c r="I216" s="15"/>
      <c r="J216" s="38"/>
      <c r="K216" s="38"/>
      <c r="L216" s="408"/>
    </row>
    <row r="217" spans="1:12" ht="14.15" customHeight="1">
      <c r="A217" s="404">
        <f t="shared" si="20"/>
        <v>211</v>
      </c>
      <c r="B217" s="13" t="s">
        <v>470</v>
      </c>
      <c r="C217" s="47">
        <f>SUM(C215:C216)</f>
        <v>102149246.22</v>
      </c>
      <c r="D217" s="47">
        <f>SUM(D215:D216)</f>
        <v>1532238.2199999997</v>
      </c>
      <c r="E217" s="47">
        <f>SUM(E215:E216)</f>
        <v>100617008</v>
      </c>
      <c r="F217" s="47">
        <f>SUM(F215:F216)</f>
        <v>1532238.2199999997</v>
      </c>
      <c r="G217" s="47">
        <f>SUM(G215:G216)</f>
        <v>102149246.22</v>
      </c>
      <c r="H217" s="47"/>
      <c r="I217" s="153"/>
      <c r="J217" s="38"/>
      <c r="K217" s="38"/>
      <c r="L217" s="408"/>
    </row>
    <row r="218" spans="1:12" ht="14.15" customHeight="1">
      <c r="A218" s="404">
        <f t="shared" si="20"/>
        <v>212</v>
      </c>
      <c r="B218" s="22"/>
      <c r="C218" s="43"/>
      <c r="D218" s="16"/>
      <c r="E218" s="43"/>
      <c r="F218" s="43"/>
      <c r="G218" s="43"/>
      <c r="H218" s="43"/>
      <c r="I218" s="15"/>
      <c r="J218" s="38"/>
      <c r="K218" s="38"/>
      <c r="L218" s="408"/>
    </row>
    <row r="219" spans="1:12" s="18" customFormat="1" ht="14.15" customHeight="1">
      <c r="A219" s="404">
        <f t="shared" si="20"/>
        <v>213</v>
      </c>
      <c r="B219" s="22" t="s">
        <v>136</v>
      </c>
      <c r="C219" s="10">
        <f>54942089.75-C220</f>
        <v>52843883.659999996</v>
      </c>
      <c r="D219" s="10">
        <f>C219-E219</f>
        <v>52843.659999996424</v>
      </c>
      <c r="E219" s="10">
        <f>ROUND(C219*'Allocation Factors'!$G$18,0)</f>
        <v>52791040</v>
      </c>
      <c r="F219" s="10">
        <f>'Sch 5'!C209</f>
        <v>52843.659999996424</v>
      </c>
      <c r="G219" s="10">
        <f>E219+F219</f>
        <v>52843883.659999996</v>
      </c>
      <c r="H219" s="10"/>
      <c r="I219" s="25" t="s">
        <v>344</v>
      </c>
      <c r="J219" s="38"/>
      <c r="K219" s="38"/>
      <c r="L219" s="408" t="s">
        <v>1108</v>
      </c>
    </row>
    <row r="220" spans="1:12" s="18" customFormat="1" ht="14.15" customHeight="1">
      <c r="A220" s="404">
        <f t="shared" si="20"/>
        <v>214</v>
      </c>
      <c r="B220" s="56" t="s">
        <v>55</v>
      </c>
      <c r="C220" s="10">
        <v>2098206.09</v>
      </c>
      <c r="D220" s="10">
        <f>C220-E220</f>
        <v>2098.089999999851</v>
      </c>
      <c r="E220" s="10">
        <f>ROUND(C220*'Allocation Factors'!$G$18,0)</f>
        <v>2096108</v>
      </c>
      <c r="F220" s="10">
        <f>'Sch 5'!C210</f>
        <v>2098.089999999851</v>
      </c>
      <c r="G220" s="10">
        <f>E220+F220</f>
        <v>2098206.09</v>
      </c>
      <c r="H220" s="10"/>
      <c r="I220" s="25"/>
      <c r="J220" s="38"/>
      <c r="K220" s="38"/>
    </row>
    <row r="221" spans="1:12" s="18" customFormat="1" ht="14.15" customHeight="1">
      <c r="A221" s="404">
        <f t="shared" si="20"/>
        <v>215</v>
      </c>
      <c r="B221" s="13" t="s">
        <v>471</v>
      </c>
      <c r="C221" s="47">
        <f>SUM(C219:C220)</f>
        <v>54942089.75</v>
      </c>
      <c r="D221" s="47">
        <f>SUM(D219:D220)</f>
        <v>54941.749999996275</v>
      </c>
      <c r="E221" s="47">
        <f>SUM(E219:E220)</f>
        <v>54887148</v>
      </c>
      <c r="F221" s="47">
        <f>SUM(F219:F220)</f>
        <v>54941.749999996275</v>
      </c>
      <c r="G221" s="47">
        <f>SUM(G219:G220)</f>
        <v>54942089.75</v>
      </c>
      <c r="H221" s="47"/>
      <c r="I221" s="153"/>
      <c r="J221" s="38"/>
      <c r="K221" s="38"/>
    </row>
    <row r="222" spans="1:12" s="18" customFormat="1" ht="14.15" customHeight="1">
      <c r="A222" s="404">
        <f t="shared" si="20"/>
        <v>216</v>
      </c>
      <c r="B222" s="22"/>
      <c r="C222" s="43"/>
      <c r="D222" s="16"/>
      <c r="E222" s="43"/>
      <c r="F222" s="43"/>
      <c r="G222" s="16"/>
      <c r="H222" s="16"/>
      <c r="I222" s="25"/>
      <c r="J222" s="38"/>
      <c r="K222" s="38"/>
    </row>
    <row r="223" spans="1:12" s="18" customFormat="1" ht="14.15" customHeight="1">
      <c r="A223" s="404">
        <f t="shared" si="20"/>
        <v>217</v>
      </c>
      <c r="B223" s="22" t="s">
        <v>137</v>
      </c>
      <c r="C223" s="10">
        <f>1528607.74-C224</f>
        <v>1503970.8599999999</v>
      </c>
      <c r="D223" s="10">
        <f>C223-E223</f>
        <v>30079.85999999987</v>
      </c>
      <c r="E223" s="10">
        <f>ROUND(C223*'Allocation Factors'!$G$22,0)</f>
        <v>1473891</v>
      </c>
      <c r="F223" s="10">
        <f>'Sch 5'!C213</f>
        <v>30079.85999999987</v>
      </c>
      <c r="G223" s="10">
        <f>E223+F223</f>
        <v>1503970.8599999999</v>
      </c>
      <c r="H223" s="10"/>
      <c r="I223" s="15" t="s">
        <v>348</v>
      </c>
      <c r="J223" s="38"/>
      <c r="K223" s="38"/>
      <c r="L223" s="408" t="s">
        <v>1108</v>
      </c>
    </row>
    <row r="224" spans="1:12" s="18" customFormat="1" ht="14.15" customHeight="1">
      <c r="A224" s="404">
        <f t="shared" si="20"/>
        <v>218</v>
      </c>
      <c r="B224" s="56" t="s">
        <v>55</v>
      </c>
      <c r="C224" s="10">
        <v>24636.880000000005</v>
      </c>
      <c r="D224" s="10">
        <f>C224-E224</f>
        <v>492.88000000000466</v>
      </c>
      <c r="E224" s="10">
        <f>ROUND(C224*'Allocation Factors'!$G$22,0)</f>
        <v>24144</v>
      </c>
      <c r="F224" s="10">
        <f>'Sch 5'!C214</f>
        <v>492.88000000000466</v>
      </c>
      <c r="G224" s="10">
        <f>E224+F224</f>
        <v>24636.880000000005</v>
      </c>
      <c r="H224" s="10"/>
      <c r="I224" s="25"/>
      <c r="J224" s="38"/>
      <c r="K224" s="38"/>
    </row>
    <row r="225" spans="1:12" s="18" customFormat="1" ht="14.15" customHeight="1">
      <c r="A225" s="404">
        <f t="shared" si="20"/>
        <v>219</v>
      </c>
      <c r="B225" s="13" t="s">
        <v>472</v>
      </c>
      <c r="C225" s="47">
        <f>SUM(C223:C224)</f>
        <v>1528607.7399999998</v>
      </c>
      <c r="D225" s="47">
        <f>SUM(D223:D224)</f>
        <v>30572.739999999874</v>
      </c>
      <c r="E225" s="47">
        <f>SUM(E223:E224)</f>
        <v>1498035</v>
      </c>
      <c r="F225" s="47">
        <f>SUM(F223:F224)</f>
        <v>30572.739999999874</v>
      </c>
      <c r="G225" s="47">
        <f>SUM(G223:G224)</f>
        <v>1528607.7399999998</v>
      </c>
      <c r="H225" s="47"/>
      <c r="I225" s="49"/>
      <c r="J225" s="38"/>
      <c r="K225" s="38"/>
    </row>
    <row r="226" spans="1:12" s="18" customFormat="1" ht="14.15" customHeight="1">
      <c r="A226" s="404">
        <f t="shared" si="20"/>
        <v>220</v>
      </c>
      <c r="B226" s="56"/>
      <c r="C226" s="64"/>
      <c r="D226" s="145"/>
      <c r="E226" s="64"/>
      <c r="F226" s="64"/>
      <c r="G226" s="145"/>
      <c r="H226" s="145"/>
      <c r="I226" s="52"/>
      <c r="J226" s="38"/>
      <c r="K226" s="38"/>
    </row>
    <row r="227" spans="1:12" s="18" customFormat="1" ht="14.15" customHeight="1">
      <c r="A227" s="404">
        <f t="shared" si="20"/>
        <v>221</v>
      </c>
      <c r="B227" s="85" t="s">
        <v>144</v>
      </c>
      <c r="C227" s="16">
        <f>C213+C217+C221+C225+C209</f>
        <v>166213539.56</v>
      </c>
      <c r="D227" s="16">
        <f>D207+D213+D217+D221+D225+D209</f>
        <v>2105223.3599999961</v>
      </c>
      <c r="E227" s="16">
        <f>E207+E213+E217+E221+E225+E209</f>
        <v>164273704</v>
      </c>
      <c r="F227" s="16">
        <f>F207+F213+F217+F221+F225+F209</f>
        <v>1728485.6899999962</v>
      </c>
      <c r="G227" s="16">
        <f>G207+G213+G217+G221+G225+G209</f>
        <v>166002189.69</v>
      </c>
      <c r="H227" s="16"/>
      <c r="I227" s="149"/>
      <c r="J227" s="38"/>
      <c r="K227" s="38"/>
    </row>
    <row r="228" spans="1:12" s="18" customFormat="1" ht="14.15" customHeight="1">
      <c r="A228" s="404">
        <f t="shared" si="20"/>
        <v>222</v>
      </c>
      <c r="B228" s="85"/>
      <c r="C228" s="16"/>
      <c r="D228" s="16"/>
      <c r="E228" s="16"/>
      <c r="F228" s="16"/>
      <c r="G228" s="16"/>
      <c r="H228" s="16"/>
      <c r="I228" s="149"/>
      <c r="J228" s="38"/>
      <c r="K228" s="38"/>
    </row>
    <row r="229" spans="1:12" s="18" customFormat="1" ht="14.15" customHeight="1">
      <c r="A229" s="404">
        <f t="shared" si="20"/>
        <v>223</v>
      </c>
      <c r="B229" s="85" t="s">
        <v>781</v>
      </c>
      <c r="C229" s="16">
        <f>C208+C212+C216+C220+C224</f>
        <v>7263290.1000000006</v>
      </c>
      <c r="D229" s="16">
        <f>D208+D212+D216+D220+D224</f>
        <v>124970.10000000024</v>
      </c>
      <c r="E229" s="16">
        <f>E208+E212+E216+E220+E224</f>
        <v>7138320</v>
      </c>
      <c r="F229" s="16">
        <f>F208+F212+F216+F220+F224</f>
        <v>79008.030000000232</v>
      </c>
      <c r="G229" s="16">
        <f>G208+G212+G216+G220+G224</f>
        <v>7217328.0300000003</v>
      </c>
      <c r="H229" s="16"/>
      <c r="I229" s="149"/>
      <c r="J229" s="38"/>
      <c r="K229" s="38"/>
    </row>
    <row r="230" spans="1:12" s="18" customFormat="1" ht="14.15" customHeight="1">
      <c r="A230" s="404">
        <f t="shared" si="20"/>
        <v>224</v>
      </c>
      <c r="B230" s="85" t="s">
        <v>780</v>
      </c>
      <c r="C230" s="16">
        <f>C207+C211+C215+C219+C223</f>
        <v>158950249.46000001</v>
      </c>
      <c r="D230" s="16">
        <f>D207+D211+D215+D219+D223</f>
        <v>1814865.459999996</v>
      </c>
      <c r="E230" s="16">
        <f>E207+E211+E215+E219+E223</f>
        <v>157135384</v>
      </c>
      <c r="F230" s="16">
        <f>F207+F211+F215+F219+F223</f>
        <v>1649477.659999996</v>
      </c>
      <c r="G230" s="16">
        <f>G207+G211+G215+G219+G223</f>
        <v>158784861.66000003</v>
      </c>
      <c r="H230" s="16"/>
      <c r="I230" s="149"/>
      <c r="J230" s="38"/>
      <c r="K230" s="38"/>
      <c r="L230" s="408" t="s">
        <v>1108</v>
      </c>
    </row>
    <row r="231" spans="1:12" s="18" customFormat="1" ht="14.15" customHeight="1">
      <c r="A231" s="404">
        <f t="shared" si="20"/>
        <v>225</v>
      </c>
      <c r="B231" s="25"/>
      <c r="C231" s="16"/>
      <c r="D231" s="16"/>
      <c r="E231" s="124"/>
      <c r="F231" s="16"/>
      <c r="G231" s="19"/>
      <c r="H231" s="19"/>
      <c r="I231" s="25"/>
      <c r="J231" s="38"/>
      <c r="K231" s="38"/>
    </row>
    <row r="232" spans="1:12" ht="14.15" customHeight="1">
      <c r="A232" s="404">
        <f t="shared" si="20"/>
        <v>226</v>
      </c>
      <c r="B232" s="13" t="s">
        <v>150</v>
      </c>
      <c r="C232" s="10"/>
      <c r="D232" s="10"/>
      <c r="E232" s="10"/>
      <c r="F232" s="10"/>
      <c r="G232" s="10"/>
      <c r="H232" s="10"/>
      <c r="I232" s="15"/>
      <c r="J232" s="38"/>
      <c r="K232" s="38"/>
      <c r="L232" s="408"/>
    </row>
    <row r="233" spans="1:12" ht="14.15" customHeight="1">
      <c r="A233" s="404">
        <f t="shared" si="20"/>
        <v>227</v>
      </c>
      <c r="B233" s="22" t="s">
        <v>134</v>
      </c>
      <c r="C233" s="10">
        <v>0</v>
      </c>
      <c r="D233" s="10">
        <f>C233-E233</f>
        <v>0</v>
      </c>
      <c r="E233" s="16">
        <v>0</v>
      </c>
      <c r="F233" s="10">
        <f>'Sch 5'!C220</f>
        <v>0</v>
      </c>
      <c r="G233" s="10">
        <f>E233+F233</f>
        <v>0</v>
      </c>
      <c r="H233" s="10"/>
      <c r="I233" s="25" t="s">
        <v>373</v>
      </c>
      <c r="J233" s="38"/>
      <c r="K233" s="38"/>
      <c r="L233" s="408"/>
    </row>
    <row r="234" spans="1:12" ht="14.15" customHeight="1">
      <c r="A234" s="404">
        <f t="shared" si="20"/>
        <v>228</v>
      </c>
      <c r="B234" s="22" t="s">
        <v>143</v>
      </c>
      <c r="C234" s="10">
        <v>0</v>
      </c>
      <c r="D234" s="10">
        <f>C234-E234</f>
        <v>0</v>
      </c>
      <c r="E234" s="16">
        <f>ROUND(C234*'Allocation Factors'!$G$12,0)</f>
        <v>0</v>
      </c>
      <c r="F234" s="10">
        <f>'Sch 5'!C221</f>
        <v>0</v>
      </c>
      <c r="G234" s="10">
        <f>E234+F234</f>
        <v>0</v>
      </c>
      <c r="H234" s="10"/>
      <c r="I234" s="15" t="s">
        <v>339</v>
      </c>
      <c r="J234" s="38"/>
      <c r="K234" s="38"/>
      <c r="L234" s="408"/>
    </row>
    <row r="235" spans="1:12" ht="14.15" customHeight="1">
      <c r="A235" s="404">
        <f t="shared" si="20"/>
        <v>229</v>
      </c>
      <c r="B235" s="22" t="s">
        <v>136</v>
      </c>
      <c r="C235" s="10">
        <v>801671.21</v>
      </c>
      <c r="D235" s="10">
        <f>C235-E235</f>
        <v>801.20999999996275</v>
      </c>
      <c r="E235" s="16">
        <f>ROUND(C235*'Allocation Factors'!$G$18,0)</f>
        <v>800870</v>
      </c>
      <c r="F235" s="10">
        <f>'Sch 5'!C222</f>
        <v>801.20999999996275</v>
      </c>
      <c r="G235" s="10">
        <f>E235+F235</f>
        <v>801671.21</v>
      </c>
      <c r="H235" s="10"/>
      <c r="I235" s="25" t="s">
        <v>344</v>
      </c>
      <c r="J235" s="38"/>
      <c r="K235" s="38"/>
      <c r="L235" s="408">
        <v>1050001</v>
      </c>
    </row>
    <row r="236" spans="1:12" ht="14.15" customHeight="1">
      <c r="A236" s="404">
        <f t="shared" si="20"/>
        <v>230</v>
      </c>
      <c r="B236" s="56" t="s">
        <v>137</v>
      </c>
      <c r="C236" s="10">
        <v>0</v>
      </c>
      <c r="D236" s="10">
        <f>C236-E236</f>
        <v>0</v>
      </c>
      <c r="E236" s="10">
        <f>ROUND(C236*'Allocation Factors'!$G$22,0)</f>
        <v>0</v>
      </c>
      <c r="F236" s="10">
        <f>'Sch 5'!C223</f>
        <v>0</v>
      </c>
      <c r="G236" s="10">
        <f>E236+F236</f>
        <v>0</v>
      </c>
      <c r="H236" s="10"/>
      <c r="I236" s="15" t="s">
        <v>348</v>
      </c>
      <c r="J236" s="38"/>
      <c r="K236" s="38"/>
      <c r="L236" s="408"/>
    </row>
    <row r="237" spans="1:12" ht="14.15" customHeight="1">
      <c r="A237" s="404">
        <f t="shared" si="20"/>
        <v>231</v>
      </c>
      <c r="B237" s="85" t="s">
        <v>476</v>
      </c>
      <c r="C237" s="80">
        <f>SUM(C233:C236)</f>
        <v>801671.21</v>
      </c>
      <c r="D237" s="80">
        <f>SUM(D233:D236)</f>
        <v>801.20999999996275</v>
      </c>
      <c r="E237" s="80">
        <f>SUM(E233:E236)</f>
        <v>800870</v>
      </c>
      <c r="F237" s="80">
        <f>SUM(F233:F236)</f>
        <v>801.20999999996275</v>
      </c>
      <c r="G237" s="80">
        <f>G233+G234+G235+G236</f>
        <v>801671.21</v>
      </c>
      <c r="H237" s="80"/>
      <c r="I237" s="141"/>
      <c r="J237" s="38"/>
      <c r="K237" s="38"/>
      <c r="L237" s="408">
        <v>1050001</v>
      </c>
    </row>
    <row r="238" spans="1:12" ht="14.15" customHeight="1">
      <c r="A238" s="404">
        <f t="shared" si="20"/>
        <v>232</v>
      </c>
      <c r="B238" s="25"/>
      <c r="C238" s="16"/>
      <c r="D238" s="16"/>
      <c r="E238" s="124"/>
      <c r="F238" s="16"/>
      <c r="G238" s="16"/>
      <c r="H238" s="16"/>
      <c r="I238" s="17"/>
      <c r="J238" s="38"/>
      <c r="K238" s="38"/>
      <c r="L238" s="408"/>
    </row>
    <row r="239" spans="1:12" s="18" customFormat="1" ht="14.15" customHeight="1">
      <c r="A239" s="404">
        <f t="shared" si="20"/>
        <v>233</v>
      </c>
      <c r="B239" s="13" t="s">
        <v>370</v>
      </c>
      <c r="C239" s="10"/>
      <c r="D239" s="10"/>
      <c r="E239" s="10"/>
      <c r="F239" s="10"/>
      <c r="G239" s="19"/>
      <c r="H239" s="19"/>
      <c r="I239" s="25"/>
      <c r="J239" s="38"/>
      <c r="K239" s="38"/>
    </row>
    <row r="240" spans="1:12" ht="39" customHeight="1">
      <c r="A240" s="404">
        <f t="shared" si="20"/>
        <v>234</v>
      </c>
      <c r="B240" s="22" t="s">
        <v>151</v>
      </c>
      <c r="C240" s="10">
        <f>56820314.22+2810210.04+8509318.78</f>
        <v>68139843.039999992</v>
      </c>
      <c r="D240" s="10">
        <f>C240-E240</f>
        <v>953958.03999999166</v>
      </c>
      <c r="E240" s="10">
        <f>ROUND(C240*'Allocation Factors'!$G$14,0)</f>
        <v>67185885</v>
      </c>
      <c r="F240" s="10">
        <f>'Sch 5'!C227</f>
        <v>953958.03999999166</v>
      </c>
      <c r="G240" s="10">
        <f>E240+F240</f>
        <v>68139843.039999992</v>
      </c>
      <c r="H240" s="10"/>
      <c r="I240" s="15" t="s">
        <v>340</v>
      </c>
      <c r="J240" s="38"/>
      <c r="K240" s="38"/>
      <c r="L240" s="410" t="s">
        <v>1109</v>
      </c>
    </row>
    <row r="241" spans="1:12" ht="14.15" customHeight="1">
      <c r="A241" s="404">
        <f t="shared" si="20"/>
        <v>235</v>
      </c>
      <c r="B241" s="22" t="s">
        <v>153</v>
      </c>
      <c r="C241" s="10">
        <v>12246297.382000001</v>
      </c>
      <c r="D241" s="10">
        <f>C241-E241</f>
        <v>183694.38200000115</v>
      </c>
      <c r="E241" s="10">
        <f>ROUND(C241*'Allocation Factors'!$G$10,0)</f>
        <v>12062603</v>
      </c>
      <c r="F241" s="10">
        <f>'Sch 5'!C228</f>
        <v>183694.38200000115</v>
      </c>
      <c r="G241" s="10">
        <f>E241+F241</f>
        <v>12246297.382000001</v>
      </c>
      <c r="H241" s="10"/>
      <c r="I241" s="15" t="s">
        <v>337</v>
      </c>
      <c r="J241" s="38"/>
      <c r="K241" s="38"/>
      <c r="L241" s="408" t="s">
        <v>944</v>
      </c>
    </row>
    <row r="242" spans="1:12" ht="14.15" customHeight="1">
      <c r="A242" s="404">
        <f t="shared" si="20"/>
        <v>236</v>
      </c>
      <c r="B242" s="22" t="s">
        <v>153</v>
      </c>
      <c r="C242" s="10">
        <v>1854418.79</v>
      </c>
      <c r="D242" s="10">
        <f>C242-E242</f>
        <v>25961.790000000037</v>
      </c>
      <c r="E242" s="10">
        <f>ROUND(C242*'Allocation Factors'!$G$14,0)</f>
        <v>1828457</v>
      </c>
      <c r="F242" s="10">
        <f>'Sch 5'!C229</f>
        <v>-999098.21</v>
      </c>
      <c r="G242" s="10">
        <f>E242+F242</f>
        <v>829358.79</v>
      </c>
      <c r="H242" s="10"/>
      <c r="I242" s="15" t="s">
        <v>340</v>
      </c>
      <c r="J242" s="38"/>
      <c r="K242" s="38"/>
      <c r="L242" s="408" t="s">
        <v>943</v>
      </c>
    </row>
    <row r="243" spans="1:12" ht="14.15" customHeight="1">
      <c r="A243" s="404">
        <f t="shared" si="20"/>
        <v>237</v>
      </c>
      <c r="B243" s="22" t="s">
        <v>154</v>
      </c>
      <c r="C243" s="10">
        <v>2679400.3570000003</v>
      </c>
      <c r="D243" s="10">
        <f>C243-E243</f>
        <v>40191.357000000309</v>
      </c>
      <c r="E243" s="10">
        <f>ROUND(C243*'Allocation Factors'!$G$16,0)</f>
        <v>2639209</v>
      </c>
      <c r="F243" s="10">
        <f>'Sch 5'!C230</f>
        <v>40191.357000000309</v>
      </c>
      <c r="G243" s="10">
        <f>E243+F243</f>
        <v>2679400.3570000003</v>
      </c>
      <c r="H243" s="10"/>
      <c r="I243" s="15" t="s">
        <v>342</v>
      </c>
      <c r="J243" s="38"/>
      <c r="K243" s="38"/>
      <c r="L243" s="408" t="s">
        <v>942</v>
      </c>
    </row>
    <row r="244" spans="1:12" ht="14.15" customHeight="1">
      <c r="A244" s="404">
        <f t="shared" si="20"/>
        <v>238</v>
      </c>
      <c r="B244" s="56" t="s">
        <v>155</v>
      </c>
      <c r="C244" s="64">
        <v>6061980.8729999997</v>
      </c>
      <c r="D244" s="64">
        <f>C244-E244</f>
        <v>6061.8729999996722</v>
      </c>
      <c r="E244" s="64">
        <f>ROUND(C244*'Allocation Factors'!$G$18,0)</f>
        <v>6055919</v>
      </c>
      <c r="F244" s="64">
        <f>'Sch 5'!C231</f>
        <v>6061.8729999996722</v>
      </c>
      <c r="G244" s="64">
        <f>E244+F244</f>
        <v>6061980.8729999997</v>
      </c>
      <c r="H244" s="64"/>
      <c r="I244" s="129" t="s">
        <v>344</v>
      </c>
      <c r="J244" s="38"/>
      <c r="K244" s="38"/>
      <c r="L244" s="408" t="s">
        <v>941</v>
      </c>
    </row>
    <row r="245" spans="1:12" ht="43.5" customHeight="1">
      <c r="A245" s="404">
        <f t="shared" si="20"/>
        <v>239</v>
      </c>
      <c r="B245" s="13" t="s">
        <v>506</v>
      </c>
      <c r="C245" s="10">
        <f>SUM(C240:C244)</f>
        <v>90981940.441999987</v>
      </c>
      <c r="D245" s="10">
        <f>SUM(D240:D244)</f>
        <v>1209867.4419999928</v>
      </c>
      <c r="E245" s="10">
        <f>SUM(E240:E244)</f>
        <v>89772073</v>
      </c>
      <c r="F245" s="10">
        <f>SUM(F240:F244)</f>
        <v>184807.44199999282</v>
      </c>
      <c r="G245" s="10">
        <f>SUM(G240:G244)</f>
        <v>89956880.441999987</v>
      </c>
      <c r="H245" s="10"/>
      <c r="I245" s="15"/>
      <c r="J245" s="38"/>
      <c r="K245" s="38"/>
      <c r="L245" s="410" t="s">
        <v>899</v>
      </c>
    </row>
    <row r="246" spans="1:12" ht="14.15" customHeight="1">
      <c r="A246" s="404">
        <f t="shared" si="20"/>
        <v>240</v>
      </c>
      <c r="B246" s="22"/>
      <c r="C246" s="10"/>
      <c r="D246" s="10"/>
      <c r="E246" s="10"/>
      <c r="F246" s="10"/>
      <c r="G246" s="10"/>
      <c r="H246" s="10"/>
      <c r="I246" s="15"/>
      <c r="J246" s="38"/>
      <c r="K246" s="38"/>
      <c r="L246" s="408"/>
    </row>
    <row r="247" spans="1:12" ht="14.15" customHeight="1">
      <c r="A247" s="404">
        <f t="shared" si="20"/>
        <v>241</v>
      </c>
      <c r="B247" s="13" t="s">
        <v>369</v>
      </c>
      <c r="C247" s="10"/>
      <c r="D247" s="10"/>
      <c r="E247" s="10"/>
      <c r="F247" s="10"/>
      <c r="G247" s="10"/>
      <c r="H247" s="10"/>
      <c r="I247" s="15"/>
      <c r="J247" s="38"/>
      <c r="K247" s="38"/>
      <c r="L247" s="408"/>
    </row>
    <row r="248" spans="1:12" ht="14.15" customHeight="1">
      <c r="A248" s="404">
        <f t="shared" ref="A248:A313" si="21">+A247+1</f>
        <v>242</v>
      </c>
      <c r="B248" s="22" t="s">
        <v>880</v>
      </c>
      <c r="C248" s="10">
        <f>14250943.05+34208983.54</f>
        <v>48459926.590000004</v>
      </c>
      <c r="D248" s="10">
        <f>+C248</f>
        <v>48459926.590000004</v>
      </c>
      <c r="E248" s="10">
        <f>+C248-D248</f>
        <v>0</v>
      </c>
      <c r="F248" s="10">
        <f>'Sch 5'!C235</f>
        <v>0</v>
      </c>
      <c r="G248" s="10">
        <f>E248+F248</f>
        <v>0</v>
      </c>
      <c r="H248" s="10"/>
      <c r="I248" s="15" t="s">
        <v>350</v>
      </c>
      <c r="J248" s="38"/>
      <c r="K248" s="38"/>
      <c r="L248" s="408" t="s">
        <v>900</v>
      </c>
    </row>
    <row r="249" spans="1:12" ht="69" customHeight="1">
      <c r="A249" s="404">
        <f t="shared" si="21"/>
        <v>243</v>
      </c>
      <c r="B249" s="56" t="s">
        <v>157</v>
      </c>
      <c r="C249" s="10">
        <v>1432085.75</v>
      </c>
      <c r="D249" s="10">
        <f>C249-E249</f>
        <v>28641.75</v>
      </c>
      <c r="E249" s="10">
        <f>ROUND(C249*'Allocation Factors'!$G$24,0)</f>
        <v>1403444</v>
      </c>
      <c r="F249" s="10">
        <f>'Sch 5'!C236</f>
        <v>28641.75</v>
      </c>
      <c r="G249" s="10">
        <f>E249+F249</f>
        <v>1432085.75</v>
      </c>
      <c r="H249" s="10"/>
      <c r="I249" s="15" t="s">
        <v>350</v>
      </c>
      <c r="J249" s="38"/>
      <c r="K249" s="38"/>
      <c r="L249" s="410" t="s">
        <v>1029</v>
      </c>
    </row>
    <row r="250" spans="1:12" ht="14.15" customHeight="1">
      <c r="A250" s="404">
        <f t="shared" si="21"/>
        <v>244</v>
      </c>
      <c r="B250" s="13" t="s">
        <v>507</v>
      </c>
      <c r="C250" s="80">
        <f>SUM(C248:C249)</f>
        <v>49892012.340000004</v>
      </c>
      <c r="D250" s="80">
        <f>SUM(D248:D249)</f>
        <v>48488568.340000004</v>
      </c>
      <c r="E250" s="80">
        <f>SUM(E248:E249)</f>
        <v>1403444</v>
      </c>
      <c r="F250" s="80">
        <f>SUM(F248:F249)</f>
        <v>28641.75</v>
      </c>
      <c r="G250" s="80">
        <f>SUM(G248:G249)</f>
        <v>1432085.75</v>
      </c>
      <c r="H250" s="80"/>
      <c r="I250" s="141"/>
      <c r="J250" s="38"/>
      <c r="K250" s="38"/>
      <c r="L250" s="408"/>
    </row>
    <row r="251" spans="1:12" ht="14.15" customHeight="1">
      <c r="A251" s="404">
        <f t="shared" si="21"/>
        <v>245</v>
      </c>
      <c r="B251" s="25"/>
      <c r="C251" s="16"/>
      <c r="D251" s="16"/>
      <c r="E251" s="124"/>
      <c r="F251" s="16"/>
      <c r="G251" s="43"/>
      <c r="H251" s="43"/>
      <c r="I251" s="15"/>
      <c r="J251" s="38"/>
      <c r="K251" s="38"/>
      <c r="L251" s="408"/>
    </row>
    <row r="252" spans="1:12" ht="14.15" customHeight="1">
      <c r="A252" s="404">
        <f t="shared" si="21"/>
        <v>246</v>
      </c>
      <c r="B252" s="25"/>
      <c r="C252" s="16"/>
      <c r="D252" s="16"/>
      <c r="E252" s="16"/>
      <c r="F252" s="16"/>
      <c r="G252" s="10"/>
      <c r="H252" s="10"/>
      <c r="I252" s="15"/>
      <c r="J252" s="38"/>
      <c r="K252" s="38"/>
      <c r="L252" s="408"/>
    </row>
    <row r="253" spans="1:12" ht="14.15" customHeight="1">
      <c r="A253" s="404">
        <f t="shared" si="21"/>
        <v>247</v>
      </c>
      <c r="B253" s="13" t="s">
        <v>158</v>
      </c>
      <c r="C253" s="10"/>
      <c r="D253" s="10"/>
      <c r="E253" s="10"/>
      <c r="F253" s="10"/>
      <c r="G253" s="10"/>
      <c r="H253" s="10"/>
      <c r="I253" s="15"/>
      <c r="J253" s="38"/>
      <c r="K253" s="38"/>
      <c r="L253" s="408"/>
    </row>
    <row r="254" spans="1:12" s="18" customFormat="1" ht="33.75" customHeight="1">
      <c r="A254" s="404">
        <f t="shared" si="21"/>
        <v>248</v>
      </c>
      <c r="B254" s="22" t="s">
        <v>843</v>
      </c>
      <c r="C254" s="10">
        <v>-453392109.80999994</v>
      </c>
      <c r="D254" s="10">
        <f t="shared" ref="D254:D261" si="22">C254-E254</f>
        <v>-113764182.80999994</v>
      </c>
      <c r="E254" s="467">
        <v>-339627927</v>
      </c>
      <c r="F254" s="10">
        <f>'Sch 5'!C241</f>
        <v>93977971.09415172</v>
      </c>
      <c r="G254" s="10">
        <f t="shared" ref="G254:G261" si="23">E254+F254</f>
        <v>-245649955.90584826</v>
      </c>
      <c r="H254" s="10"/>
      <c r="I254" s="25" t="s">
        <v>350</v>
      </c>
      <c r="J254" s="38"/>
      <c r="K254" s="38"/>
      <c r="L254" s="476" t="s">
        <v>1145</v>
      </c>
    </row>
    <row r="255" spans="1:12" s="18" customFormat="1" ht="14.15" customHeight="1">
      <c r="A255" s="404">
        <f t="shared" si="21"/>
        <v>249</v>
      </c>
      <c r="B255" s="22" t="s">
        <v>160</v>
      </c>
      <c r="C255" s="10">
        <v>0</v>
      </c>
      <c r="D255" s="10">
        <f t="shared" si="22"/>
        <v>0</v>
      </c>
      <c r="E255" s="10">
        <v>0</v>
      </c>
      <c r="F255" s="10">
        <f>'Sch 5'!C242</f>
        <v>0</v>
      </c>
      <c r="G255" s="10">
        <f t="shared" si="23"/>
        <v>0</v>
      </c>
      <c r="H255" s="10"/>
      <c r="I255" s="25" t="s">
        <v>54</v>
      </c>
      <c r="J255" s="38"/>
      <c r="K255" s="38"/>
    </row>
    <row r="256" spans="1:12" s="18" customFormat="1" ht="14.15" customHeight="1">
      <c r="A256" s="404">
        <f t="shared" si="21"/>
        <v>250</v>
      </c>
      <c r="B256" s="22" t="s">
        <v>161</v>
      </c>
      <c r="C256" s="10">
        <v>0</v>
      </c>
      <c r="D256" s="10">
        <f t="shared" si="22"/>
        <v>0</v>
      </c>
      <c r="E256" s="10">
        <v>0</v>
      </c>
      <c r="F256" s="10">
        <f>'Sch 5'!C243</f>
        <v>0</v>
      </c>
      <c r="G256" s="10">
        <f t="shared" si="23"/>
        <v>0</v>
      </c>
      <c r="H256" s="10"/>
      <c r="I256" s="25" t="s">
        <v>54</v>
      </c>
      <c r="J256" s="38"/>
      <c r="K256" s="38"/>
    </row>
    <row r="257" spans="1:12" s="18" customFormat="1" ht="14.15" customHeight="1">
      <c r="A257" s="404">
        <f t="shared" si="21"/>
        <v>251</v>
      </c>
      <c r="B257" s="83" t="s">
        <v>952</v>
      </c>
      <c r="C257" s="10">
        <f>1613024.29-134731+21003.35+820552.97</f>
        <v>2319849.6100000003</v>
      </c>
      <c r="D257" s="10">
        <f t="shared" ref="D257" si="24">C257-E257</f>
        <v>0</v>
      </c>
      <c r="E257" s="10">
        <f>C257</f>
        <v>2319849.6100000003</v>
      </c>
      <c r="F257" s="10">
        <f>'Sch 5'!C245</f>
        <v>0</v>
      </c>
      <c r="G257" s="10">
        <f t="shared" ref="G257" si="25">E257+F257</f>
        <v>2319849.6100000003</v>
      </c>
      <c r="H257" s="10"/>
      <c r="I257" s="25" t="s">
        <v>54</v>
      </c>
      <c r="J257" s="38"/>
      <c r="K257" s="38"/>
      <c r="L257" s="18" t="s">
        <v>957</v>
      </c>
    </row>
    <row r="258" spans="1:12" s="18" customFormat="1" ht="14.15" customHeight="1">
      <c r="A258" s="404">
        <f t="shared" si="21"/>
        <v>252</v>
      </c>
      <c r="B258" s="22" t="s">
        <v>961</v>
      </c>
      <c r="C258" s="10">
        <f>-101503.08-750316.52-470152.99</f>
        <v>-1321972.5899999999</v>
      </c>
      <c r="D258" s="10">
        <f t="shared" si="22"/>
        <v>0.41000000014901161</v>
      </c>
      <c r="E258" s="10">
        <f>ROUND(C258*'Allocation Factors'!$G$34,0)</f>
        <v>-1321973</v>
      </c>
      <c r="F258" s="10">
        <f>'Sch 5'!C245</f>
        <v>0</v>
      </c>
      <c r="G258" s="10">
        <f t="shared" si="23"/>
        <v>-1321973</v>
      </c>
      <c r="H258" s="10"/>
      <c r="I258" s="25" t="s">
        <v>373</v>
      </c>
      <c r="J258" s="38"/>
      <c r="K258" s="38"/>
      <c r="L258" s="18" t="s">
        <v>962</v>
      </c>
    </row>
    <row r="259" spans="1:12" ht="14.15" customHeight="1">
      <c r="A259" s="404">
        <f t="shared" si="21"/>
        <v>253</v>
      </c>
      <c r="B259" s="22" t="s">
        <v>162</v>
      </c>
      <c r="C259" s="10">
        <f>-38090279.75-367913.59</f>
        <v>-38458193.340000004</v>
      </c>
      <c r="D259" s="10">
        <f>J259</f>
        <v>-367913.59</v>
      </c>
      <c r="E259" s="10">
        <f>C259-D259</f>
        <v>-38090279.75</v>
      </c>
      <c r="F259" s="10">
        <f>'Sch 5'!C246</f>
        <v>0</v>
      </c>
      <c r="G259" s="10">
        <f>E259+F259</f>
        <v>-38090279.75</v>
      </c>
      <c r="H259" s="10"/>
      <c r="I259" s="25" t="s">
        <v>373</v>
      </c>
      <c r="J259" s="38">
        <v>-367913.59</v>
      </c>
      <c r="K259" s="38"/>
      <c r="L259" s="408" t="s">
        <v>1110</v>
      </c>
    </row>
    <row r="260" spans="1:12" ht="14.15" customHeight="1">
      <c r="A260" s="404">
        <f t="shared" si="21"/>
        <v>254</v>
      </c>
      <c r="B260" s="22" t="s">
        <v>955</v>
      </c>
      <c r="C260" s="10">
        <v>0</v>
      </c>
      <c r="D260" s="10">
        <f>C260-E260</f>
        <v>0</v>
      </c>
      <c r="E260" s="10">
        <f>C260</f>
        <v>0</v>
      </c>
      <c r="F260" s="10">
        <f>'Sch 5'!C247</f>
        <v>10000000</v>
      </c>
      <c r="G260" s="10">
        <f>+F260</f>
        <v>10000000</v>
      </c>
      <c r="H260" s="10"/>
      <c r="I260" s="25" t="s">
        <v>54</v>
      </c>
      <c r="J260" s="38"/>
      <c r="K260" s="38"/>
      <c r="L260" s="408"/>
    </row>
    <row r="261" spans="1:12" ht="14.15" customHeight="1">
      <c r="A261" s="404">
        <f t="shared" si="21"/>
        <v>255</v>
      </c>
      <c r="B261" s="56" t="s">
        <v>163</v>
      </c>
      <c r="C261" s="64">
        <v>0</v>
      </c>
      <c r="D261" s="64">
        <f t="shared" si="22"/>
        <v>0</v>
      </c>
      <c r="E261" s="64">
        <v>0</v>
      </c>
      <c r="F261" s="64">
        <f>'Sch 5'!C248</f>
        <v>0</v>
      </c>
      <c r="G261" s="64">
        <f t="shared" si="23"/>
        <v>0</v>
      </c>
      <c r="H261" s="64"/>
      <c r="I261" s="52" t="s">
        <v>54</v>
      </c>
      <c r="J261" s="38"/>
      <c r="K261" s="38"/>
      <c r="L261" s="408"/>
    </row>
    <row r="262" spans="1:12" ht="14.15" customHeight="1">
      <c r="A262" s="404">
        <f t="shared" si="21"/>
        <v>256</v>
      </c>
      <c r="B262" s="85" t="s">
        <v>164</v>
      </c>
      <c r="C262" s="16">
        <f>SUM(C254:C261)</f>
        <v>-490852426.12999988</v>
      </c>
      <c r="D262" s="16">
        <f>SUM(D254:D261)</f>
        <v>-114132095.98999995</v>
      </c>
      <c r="E262" s="16">
        <f>SUM(E254:E261)</f>
        <v>-376720330.13999999</v>
      </c>
      <c r="F262" s="16">
        <f>SUM(F254:F261)</f>
        <v>103977971.09415172</v>
      </c>
      <c r="G262" s="16">
        <f>SUM(G254:G261)</f>
        <v>-272742359.04584825</v>
      </c>
      <c r="H262" s="16"/>
      <c r="I262" s="149"/>
      <c r="J262" s="38"/>
      <c r="K262" s="38"/>
      <c r="L262" s="408"/>
    </row>
    <row r="263" spans="1:12" ht="14.15" customHeight="1">
      <c r="A263" s="404">
        <f t="shared" si="21"/>
        <v>257</v>
      </c>
      <c r="B263" s="52"/>
      <c r="C263" s="16"/>
      <c r="D263" s="16"/>
      <c r="E263" s="16"/>
      <c r="F263" s="16"/>
      <c r="G263" s="16"/>
      <c r="H263" s="16"/>
      <c r="I263" s="149"/>
      <c r="J263" s="38"/>
      <c r="K263" s="38"/>
      <c r="L263" s="408"/>
    </row>
    <row r="264" spans="1:12" s="3" customFormat="1" ht="14.15" customHeight="1" thickBot="1">
      <c r="A264" s="404">
        <f t="shared" si="21"/>
        <v>258</v>
      </c>
      <c r="B264" s="54" t="s">
        <v>1149</v>
      </c>
      <c r="C264" s="86">
        <f>C204+C230+C237+C245+C250+C262</f>
        <v>2065208337.1920002</v>
      </c>
      <c r="D264" s="86">
        <f>D204+D230+D237+D245+D250+D262</f>
        <v>-9109547.3379999101</v>
      </c>
      <c r="E264" s="86">
        <f>E204+E230+E237+E245+E250+E262</f>
        <v>2074317884.5300002</v>
      </c>
      <c r="F264" s="86">
        <f>F204+F230+F237+F245+F250+F262</f>
        <v>-141286409.73384827</v>
      </c>
      <c r="G264" s="86">
        <f>G204+G230+G237+G245+G250+G262</f>
        <v>1933031474.7961516</v>
      </c>
      <c r="H264" s="86"/>
      <c r="I264" s="55"/>
      <c r="J264" s="38"/>
      <c r="K264" s="38"/>
      <c r="L264" s="196"/>
    </row>
    <row r="265" spans="1:12" ht="13.5" customHeight="1" thickTop="1">
      <c r="A265" s="404">
        <f t="shared" si="21"/>
        <v>259</v>
      </c>
      <c r="B265" s="65"/>
      <c r="C265" s="65"/>
      <c r="D265" s="43"/>
      <c r="E265" s="43"/>
      <c r="F265" s="43"/>
      <c r="G265" s="43"/>
      <c r="H265" s="43"/>
      <c r="I265" s="15"/>
      <c r="J265" s="38"/>
      <c r="K265" s="38"/>
      <c r="L265" s="408"/>
    </row>
    <row r="266" spans="1:12" ht="13.5" customHeight="1">
      <c r="A266" s="404">
        <f t="shared" si="21"/>
        <v>260</v>
      </c>
      <c r="B266" s="22"/>
      <c r="C266" s="10"/>
      <c r="D266" s="10"/>
      <c r="E266" s="10"/>
      <c r="F266" s="10"/>
      <c r="G266" s="10"/>
      <c r="H266" s="10"/>
      <c r="I266" s="15"/>
      <c r="J266" s="38"/>
      <c r="K266" s="38"/>
      <c r="L266" s="408"/>
    </row>
    <row r="267" spans="1:12" ht="25">
      <c r="A267" s="404">
        <f t="shared" si="21"/>
        <v>261</v>
      </c>
      <c r="B267" s="123" t="s">
        <v>315</v>
      </c>
      <c r="C267" s="10">
        <f>290185619.95+358327944.58+2152779.43</f>
        <v>650666343.95999992</v>
      </c>
      <c r="D267" s="19">
        <f>C267-E267</f>
        <v>0</v>
      </c>
      <c r="E267" s="16">
        <f>C267</f>
        <v>650666343.95999992</v>
      </c>
      <c r="F267" s="10">
        <f>'Sch 5'!C254</f>
        <v>-53897239.240777612</v>
      </c>
      <c r="G267" s="10">
        <f>E267+F267</f>
        <v>596769104.71922231</v>
      </c>
      <c r="H267" s="10"/>
      <c r="I267" s="15" t="s">
        <v>54</v>
      </c>
      <c r="J267" s="38">
        <v>593629104</v>
      </c>
      <c r="K267" s="38">
        <f>+G267-J267</f>
        <v>3140000.7192223072</v>
      </c>
      <c r="L267" s="410" t="s">
        <v>945</v>
      </c>
    </row>
    <row r="268" spans="1:12" ht="14.15" customHeight="1">
      <c r="A268" s="404">
        <f t="shared" si="21"/>
        <v>262</v>
      </c>
      <c r="B268" s="123" t="s">
        <v>364</v>
      </c>
      <c r="C268" s="10">
        <f>2956196.36+2569858.89+138820.29</f>
        <v>5664875.54</v>
      </c>
      <c r="D268" s="19">
        <f>C268</f>
        <v>5664875.54</v>
      </c>
      <c r="E268" s="16">
        <f>C268-D268</f>
        <v>0</v>
      </c>
      <c r="F268" s="10">
        <f>'Sch 5'!C255</f>
        <v>0</v>
      </c>
      <c r="G268" s="10">
        <f>E268+F268</f>
        <v>0</v>
      </c>
      <c r="H268" s="10"/>
      <c r="I268" s="15" t="s">
        <v>54</v>
      </c>
      <c r="J268" s="38"/>
      <c r="K268" s="38"/>
      <c r="L268" s="408" t="s">
        <v>946</v>
      </c>
    </row>
    <row r="269" spans="1:12" ht="14.15" customHeight="1">
      <c r="A269" s="404">
        <f t="shared" si="21"/>
        <v>263</v>
      </c>
      <c r="B269" s="123" t="s">
        <v>15</v>
      </c>
      <c r="C269" s="10">
        <v>-6574896</v>
      </c>
      <c r="D269" s="19">
        <f>C269</f>
        <v>-6574896</v>
      </c>
      <c r="E269" s="16">
        <f>C269-D269</f>
        <v>0</v>
      </c>
      <c r="F269" s="10"/>
      <c r="G269" s="10"/>
      <c r="H269" s="10"/>
      <c r="I269" s="15"/>
      <c r="J269" s="38"/>
      <c r="K269" s="38"/>
      <c r="L269" s="408" t="s">
        <v>1021</v>
      </c>
    </row>
    <row r="270" spans="1:12" ht="14.15" customHeight="1">
      <c r="A270" s="404">
        <f t="shared" si="21"/>
        <v>264</v>
      </c>
      <c r="B270" s="123"/>
      <c r="C270" s="10"/>
      <c r="D270" s="19"/>
      <c r="E270" s="19"/>
      <c r="G270" s="10"/>
      <c r="H270" s="10"/>
      <c r="I270" s="15"/>
      <c r="J270" s="38"/>
      <c r="K270" s="38"/>
      <c r="L270" s="408"/>
    </row>
    <row r="271" spans="1:12" ht="14.15" customHeight="1">
      <c r="A271" s="404">
        <f t="shared" si="21"/>
        <v>265</v>
      </c>
      <c r="B271" s="3" t="s">
        <v>166</v>
      </c>
      <c r="C271" s="10"/>
      <c r="D271" s="19"/>
      <c r="E271" s="19"/>
      <c r="G271" s="10"/>
      <c r="H271" s="10"/>
      <c r="I271" s="15"/>
      <c r="J271" s="38"/>
      <c r="K271" s="38"/>
      <c r="L271" s="408"/>
    </row>
    <row r="272" spans="1:12" ht="14.15" customHeight="1">
      <c r="A272" s="404">
        <f t="shared" si="21"/>
        <v>266</v>
      </c>
      <c r="B272" s="83" t="s">
        <v>167</v>
      </c>
      <c r="C272" s="10">
        <v>0</v>
      </c>
      <c r="D272" s="19">
        <f>C272-E272</f>
        <v>0</v>
      </c>
      <c r="E272" s="19">
        <v>0</v>
      </c>
      <c r="F272" s="10">
        <f>'Sch 5'!C259</f>
        <v>0</v>
      </c>
      <c r="G272" s="10">
        <f>E272+F272</f>
        <v>0</v>
      </c>
      <c r="H272" s="10"/>
      <c r="I272" s="15"/>
      <c r="J272" s="38"/>
      <c r="K272" s="38"/>
      <c r="L272" s="408"/>
    </row>
    <row r="273" spans="1:13" ht="66.75" customHeight="1">
      <c r="A273" s="404">
        <f t="shared" si="21"/>
        <v>267</v>
      </c>
      <c r="B273" s="83" t="s">
        <v>168</v>
      </c>
      <c r="C273" s="10">
        <f>28268397.94-C268</f>
        <v>22603522.400000002</v>
      </c>
      <c r="D273" s="10">
        <f>C273-E273</f>
        <v>316449.31359999999</v>
      </c>
      <c r="E273" s="43">
        <f>(C273*'Allocation Factors'!G14)</f>
        <v>22287073.086400002</v>
      </c>
      <c r="F273" s="10">
        <f>'Sch 5'!C260</f>
        <v>316449.31359999999</v>
      </c>
      <c r="G273" s="10">
        <f>E273+F273</f>
        <v>22603522.400000002</v>
      </c>
      <c r="H273" s="10"/>
      <c r="I273" s="15" t="s">
        <v>340</v>
      </c>
      <c r="J273" s="38"/>
      <c r="K273" s="38"/>
      <c r="L273" s="410" t="s">
        <v>947</v>
      </c>
    </row>
    <row r="274" spans="1:13" ht="14.15" customHeight="1">
      <c r="A274" s="404">
        <f t="shared" si="21"/>
        <v>268</v>
      </c>
      <c r="B274" s="56" t="s">
        <v>169</v>
      </c>
      <c r="C274" s="10">
        <v>0</v>
      </c>
      <c r="D274" s="19">
        <f>C274-E274</f>
        <v>0</v>
      </c>
      <c r="E274" s="19">
        <v>0</v>
      </c>
      <c r="F274" s="10">
        <f>'Sch 5'!C261</f>
        <v>0</v>
      </c>
      <c r="G274" s="10">
        <f>E274+F274</f>
        <v>0</v>
      </c>
      <c r="H274" s="10"/>
      <c r="I274" s="15"/>
      <c r="J274" s="38"/>
      <c r="K274" s="38"/>
      <c r="L274" s="408"/>
    </row>
    <row r="275" spans="1:13" ht="14.15" customHeight="1">
      <c r="A275" s="404">
        <f t="shared" si="21"/>
        <v>269</v>
      </c>
      <c r="B275" s="20" t="s">
        <v>478</v>
      </c>
      <c r="C275" s="80">
        <f>+C272+C273</f>
        <v>22603522.400000002</v>
      </c>
      <c r="D275" s="80">
        <f>+D272+D273+D274</f>
        <v>316449.31359999999</v>
      </c>
      <c r="E275" s="80">
        <f>+E272+E273</f>
        <v>22287073.086400002</v>
      </c>
      <c r="F275" s="80">
        <f>+F272+F273</f>
        <v>316449.31359999999</v>
      </c>
      <c r="G275" s="47">
        <f>E275+F275</f>
        <v>22603522.400000002</v>
      </c>
      <c r="H275" s="47"/>
      <c r="I275" s="141"/>
      <c r="J275" s="38"/>
      <c r="K275" s="38"/>
      <c r="L275" s="408"/>
    </row>
    <row r="276" spans="1:13" ht="14.15" customHeight="1">
      <c r="A276" s="404">
        <f t="shared" si="21"/>
        <v>270</v>
      </c>
      <c r="B276" s="123"/>
      <c r="C276" s="16"/>
      <c r="D276" s="16"/>
      <c r="E276" s="16"/>
      <c r="F276" s="16"/>
      <c r="G276" s="43"/>
      <c r="H276" s="43"/>
      <c r="I276" s="15"/>
      <c r="J276" s="38"/>
      <c r="K276" s="38"/>
      <c r="L276" s="408"/>
    </row>
    <row r="277" spans="1:13" ht="14.15" customHeight="1">
      <c r="A277" s="404">
        <f t="shared" si="21"/>
        <v>271</v>
      </c>
      <c r="B277" s="13" t="s">
        <v>170</v>
      </c>
      <c r="C277" s="43"/>
      <c r="D277" s="16"/>
      <c r="E277" s="48"/>
      <c r="F277" s="43"/>
      <c r="G277" s="43"/>
      <c r="H277" s="43"/>
      <c r="I277" s="15"/>
      <c r="J277" s="38"/>
      <c r="K277" s="38"/>
      <c r="L277" s="408"/>
    </row>
    <row r="278" spans="1:13" ht="14.15" customHeight="1">
      <c r="A278" s="404">
        <f t="shared" si="21"/>
        <v>272</v>
      </c>
      <c r="B278" s="22" t="s">
        <v>171</v>
      </c>
      <c r="C278" s="10">
        <v>1035101.73</v>
      </c>
      <c r="D278" s="16">
        <f>ROUND(C278-E278,0)</f>
        <v>0</v>
      </c>
      <c r="E278" s="16">
        <f>ROUND(C278*'Allocation Factors'!$G$34,0)</f>
        <v>1035102</v>
      </c>
      <c r="F278" s="10">
        <f>'Sch 5'!C265</f>
        <v>0</v>
      </c>
      <c r="G278" s="10">
        <f>E278+F278</f>
        <v>1035102</v>
      </c>
      <c r="H278" s="10"/>
      <c r="I278" s="15" t="s">
        <v>358</v>
      </c>
      <c r="J278" s="38"/>
      <c r="K278" s="38"/>
      <c r="L278" s="408">
        <v>4500000</v>
      </c>
    </row>
    <row r="279" spans="1:13" ht="14.15" customHeight="1">
      <c r="A279" s="404">
        <f t="shared" si="21"/>
        <v>273</v>
      </c>
      <c r="B279" s="22" t="s">
        <v>172</v>
      </c>
      <c r="C279" s="10">
        <v>98240.16</v>
      </c>
      <c r="D279" s="16">
        <f>ROUND(C279-E279,0)</f>
        <v>0</v>
      </c>
      <c r="E279" s="16">
        <f>ROUND(C279*'Allocation Factors'!$G$34,0)</f>
        <v>98240</v>
      </c>
      <c r="F279" s="10">
        <f>'Sch 5'!C266</f>
        <v>643148</v>
      </c>
      <c r="G279" s="10">
        <f>E279+F279</f>
        <v>741388</v>
      </c>
      <c r="H279" s="10"/>
      <c r="I279" s="15" t="s">
        <v>358</v>
      </c>
      <c r="J279" s="38"/>
      <c r="K279" s="38"/>
      <c r="L279" s="408">
        <v>4510001</v>
      </c>
    </row>
    <row r="280" spans="1:13" ht="14.15" customHeight="1">
      <c r="A280" s="404">
        <f t="shared" si="21"/>
        <v>274</v>
      </c>
      <c r="B280" s="13" t="s">
        <v>173</v>
      </c>
      <c r="C280" s="10"/>
      <c r="D280" s="10"/>
      <c r="E280" s="11"/>
      <c r="F280" s="10"/>
      <c r="G280" s="10"/>
      <c r="H280" s="10"/>
      <c r="I280" s="15"/>
      <c r="J280" s="38"/>
      <c r="K280" s="38"/>
      <c r="L280" s="408"/>
    </row>
    <row r="281" spans="1:13" s="21" customFormat="1" ht="14.15" customHeight="1">
      <c r="A281" s="404">
        <f t="shared" si="21"/>
        <v>275</v>
      </c>
      <c r="B281" s="22" t="s">
        <v>174</v>
      </c>
      <c r="C281" s="10">
        <v>0</v>
      </c>
      <c r="D281" s="10">
        <f t="shared" ref="D281:D289" si="26">C281-E281</f>
        <v>0</v>
      </c>
      <c r="E281" s="10">
        <f>ROUND(C281*'Allocation Factors'!$G$10,0)</f>
        <v>0</v>
      </c>
      <c r="F281" s="10">
        <f>'Sch 5'!C268</f>
        <v>0</v>
      </c>
      <c r="G281" s="10">
        <f t="shared" ref="G281:G289" si="27">E281+F281</f>
        <v>0</v>
      </c>
      <c r="H281" s="10"/>
      <c r="I281" s="25" t="s">
        <v>337</v>
      </c>
      <c r="J281" s="38"/>
      <c r="K281" s="38"/>
      <c r="L281" s="408">
        <v>4540001</v>
      </c>
      <c r="M281" s="83"/>
    </row>
    <row r="282" spans="1:13" ht="14.15" customHeight="1">
      <c r="A282" s="404">
        <f t="shared" si="21"/>
        <v>276</v>
      </c>
      <c r="B282" s="22" t="s">
        <v>175</v>
      </c>
      <c r="C282" s="10">
        <v>501376.26199999999</v>
      </c>
      <c r="D282" s="10">
        <f t="shared" si="26"/>
        <v>7520.2619999999879</v>
      </c>
      <c r="E282" s="16">
        <f>ROUND(C282*'Allocation Factors'!$G$16,0)</f>
        <v>493856</v>
      </c>
      <c r="F282" s="10">
        <f>'Sch 5'!C269</f>
        <v>7520.2619999999879</v>
      </c>
      <c r="G282" s="10">
        <f t="shared" si="27"/>
        <v>501376.26199999999</v>
      </c>
      <c r="H282" s="10"/>
      <c r="I282" s="15" t="s">
        <v>342</v>
      </c>
      <c r="J282" s="38"/>
      <c r="K282" s="38"/>
      <c r="L282" s="408">
        <v>4540001</v>
      </c>
    </row>
    <row r="283" spans="1:13" ht="14.15" customHeight="1">
      <c r="A283" s="404">
        <f t="shared" si="21"/>
        <v>277</v>
      </c>
      <c r="B283" s="22" t="s">
        <v>176</v>
      </c>
      <c r="C283" s="10">
        <v>1021780.748</v>
      </c>
      <c r="D283" s="10">
        <f>C283-E283</f>
        <v>1021.7480000000214</v>
      </c>
      <c r="E283" s="16">
        <f>ROUND(C283*'Allocation Factors'!$G$18,0)</f>
        <v>1020759</v>
      </c>
      <c r="F283" s="10">
        <f>'Sch 5'!C270</f>
        <v>1021.7480000000214</v>
      </c>
      <c r="G283" s="10">
        <f t="shared" si="27"/>
        <v>1021780.748</v>
      </c>
      <c r="H283" s="10"/>
      <c r="I283" s="15" t="s">
        <v>344</v>
      </c>
      <c r="J283" s="38"/>
      <c r="K283" s="38"/>
      <c r="L283" s="408">
        <v>4540001</v>
      </c>
    </row>
    <row r="284" spans="1:13" ht="14.15" customHeight="1">
      <c r="A284" s="404">
        <f t="shared" si="21"/>
        <v>278</v>
      </c>
      <c r="B284" s="22" t="s">
        <v>177</v>
      </c>
      <c r="C284" s="10">
        <v>2489915.27</v>
      </c>
      <c r="D284" s="10">
        <f t="shared" si="26"/>
        <v>37348.270000000019</v>
      </c>
      <c r="E284" s="16">
        <f>ROUND(C284*'Allocation Factors'!$G$10,0)</f>
        <v>2452567</v>
      </c>
      <c r="F284" s="10">
        <f>'Sch 5'!C271</f>
        <v>37348.270000000019</v>
      </c>
      <c r="G284" s="10">
        <f t="shared" si="27"/>
        <v>2489915.27</v>
      </c>
      <c r="H284" s="10"/>
      <c r="I284" s="15" t="s">
        <v>337</v>
      </c>
      <c r="J284" s="38"/>
      <c r="K284" s="38"/>
      <c r="L284" s="408">
        <v>4540002</v>
      </c>
    </row>
    <row r="285" spans="1:13" ht="14.15" customHeight="1">
      <c r="A285" s="404">
        <f t="shared" si="21"/>
        <v>279</v>
      </c>
      <c r="B285" s="22" t="s">
        <v>178</v>
      </c>
      <c r="C285" s="10">
        <v>19425</v>
      </c>
      <c r="D285" s="10">
        <f t="shared" si="26"/>
        <v>291</v>
      </c>
      <c r="E285" s="16">
        <f>ROUND(C285*'Allocation Factors'!$G$16,0)</f>
        <v>19134</v>
      </c>
      <c r="F285" s="10">
        <f>'Sch 5'!C272</f>
        <v>291</v>
      </c>
      <c r="G285" s="10">
        <f t="shared" si="27"/>
        <v>19425</v>
      </c>
      <c r="H285" s="10"/>
      <c r="I285" s="15" t="s">
        <v>342</v>
      </c>
      <c r="J285" s="38"/>
      <c r="K285" s="38"/>
      <c r="L285" s="408">
        <v>4540002</v>
      </c>
    </row>
    <row r="286" spans="1:13" ht="14.15" customHeight="1">
      <c r="A286" s="404">
        <f t="shared" si="21"/>
        <v>280</v>
      </c>
      <c r="B286" s="22" t="s">
        <v>179</v>
      </c>
      <c r="C286" s="241">
        <v>2700</v>
      </c>
      <c r="D286" s="10">
        <f t="shared" si="26"/>
        <v>3</v>
      </c>
      <c r="E286" s="16">
        <f>ROUND(C286*'Allocation Factors'!$G$18,0)</f>
        <v>2697</v>
      </c>
      <c r="F286" s="10">
        <f>'Sch 5'!C273</f>
        <v>3</v>
      </c>
      <c r="G286" s="10">
        <f t="shared" si="27"/>
        <v>2700</v>
      </c>
      <c r="H286" s="10"/>
      <c r="I286" s="15" t="s">
        <v>344</v>
      </c>
      <c r="J286" s="38"/>
      <c r="K286" s="38"/>
      <c r="L286" s="408">
        <v>4540002</v>
      </c>
    </row>
    <row r="287" spans="1:13" ht="14.15" customHeight="1">
      <c r="A287" s="404">
        <f t="shared" si="21"/>
        <v>281</v>
      </c>
      <c r="B287" s="22" t="s">
        <v>1154</v>
      </c>
      <c r="C287" s="241">
        <v>5147622.4000000004</v>
      </c>
      <c r="D287" s="10">
        <f t="shared" si="26"/>
        <v>5147.4000000003725</v>
      </c>
      <c r="E287" s="16">
        <f>ROUND(C287*'Allocation Factors'!$G$18,0)</f>
        <v>5142475</v>
      </c>
      <c r="F287" s="10">
        <f>'Sch 5'!C274</f>
        <v>-266246.58999999962</v>
      </c>
      <c r="G287" s="10">
        <f t="shared" si="27"/>
        <v>4876228.41</v>
      </c>
      <c r="H287" s="10"/>
      <c r="I287" s="15" t="s">
        <v>344</v>
      </c>
      <c r="J287" s="38"/>
      <c r="K287" s="38"/>
      <c r="L287" s="408">
        <v>4540005</v>
      </c>
    </row>
    <row r="288" spans="1:13" ht="14.15" customHeight="1">
      <c r="A288" s="404">
        <f t="shared" si="21"/>
        <v>282</v>
      </c>
      <c r="B288" s="22" t="s">
        <v>180</v>
      </c>
      <c r="C288" s="10">
        <v>18000</v>
      </c>
      <c r="D288" s="10">
        <f t="shared" si="26"/>
        <v>18</v>
      </c>
      <c r="E288" s="16">
        <f>ROUND(C288*'Allocation Factors'!$G$18,0)</f>
        <v>17982</v>
      </c>
      <c r="F288" s="10">
        <f>'Sch 5'!C275</f>
        <v>18</v>
      </c>
      <c r="G288" s="10">
        <f t="shared" si="27"/>
        <v>18000</v>
      </c>
      <c r="H288" s="10"/>
      <c r="I288" s="15" t="s">
        <v>344</v>
      </c>
      <c r="J288" s="38"/>
      <c r="K288" s="38"/>
      <c r="L288" s="408">
        <v>4540004</v>
      </c>
    </row>
    <row r="289" spans="1:16" ht="14.15" customHeight="1">
      <c r="A289" s="404">
        <f t="shared" si="21"/>
        <v>283</v>
      </c>
      <c r="B289" s="56" t="s">
        <v>181</v>
      </c>
      <c r="C289" s="10">
        <v>0</v>
      </c>
      <c r="D289" s="10">
        <f t="shared" si="26"/>
        <v>0</v>
      </c>
      <c r="E289" s="16">
        <f>ROUND(C289*'Allocation Factors'!$G$16,0)</f>
        <v>0</v>
      </c>
      <c r="F289" s="10">
        <f>'Sch 5'!C276</f>
        <v>0</v>
      </c>
      <c r="G289" s="10">
        <f t="shared" si="27"/>
        <v>0</v>
      </c>
      <c r="H289" s="10"/>
      <c r="I289" s="83" t="s">
        <v>342</v>
      </c>
      <c r="J289" s="38"/>
      <c r="K289" s="38"/>
      <c r="L289" s="408">
        <v>4540004</v>
      </c>
    </row>
    <row r="290" spans="1:16" s="21" customFormat="1" ht="14.15" customHeight="1">
      <c r="A290" s="404">
        <f t="shared" si="21"/>
        <v>284</v>
      </c>
      <c r="B290" s="20" t="s">
        <v>479</v>
      </c>
      <c r="C290" s="80">
        <f>SUM(C281:C289)</f>
        <v>9200819.6799999997</v>
      </c>
      <c r="D290" s="80">
        <f>SUM(D281:D289)</f>
        <v>51349.6800000004</v>
      </c>
      <c r="E290" s="80">
        <f>SUM(E281:E289)</f>
        <v>9149470</v>
      </c>
      <c r="F290" s="80">
        <f>SUM(F281:F289)</f>
        <v>-220044.30999999959</v>
      </c>
      <c r="G290" s="80">
        <f>SUM(G281:G289)</f>
        <v>8929425.6900000013</v>
      </c>
      <c r="H290" s="80"/>
      <c r="I290" s="141"/>
      <c r="J290" s="38"/>
      <c r="K290" s="38"/>
      <c r="L290" s="18"/>
    </row>
    <row r="291" spans="1:16" s="21" customFormat="1" ht="14.15" customHeight="1">
      <c r="A291" s="404">
        <f t="shared" si="21"/>
        <v>285</v>
      </c>
      <c r="B291" s="123"/>
      <c r="C291" s="16"/>
      <c r="D291" s="16"/>
      <c r="E291" s="124"/>
      <c r="F291" s="16"/>
      <c r="G291" s="16"/>
      <c r="H291" s="16"/>
      <c r="I291" s="25"/>
      <c r="J291" s="38"/>
      <c r="K291" s="38"/>
      <c r="L291" s="18"/>
    </row>
    <row r="292" spans="1:16" s="21" customFormat="1" ht="14.15" customHeight="1">
      <c r="A292" s="404">
        <f t="shared" si="21"/>
        <v>286</v>
      </c>
      <c r="B292" s="13" t="s">
        <v>182</v>
      </c>
      <c r="C292" s="10"/>
      <c r="D292" s="19"/>
      <c r="E292" s="10"/>
      <c r="F292" s="10"/>
      <c r="G292" s="19"/>
      <c r="H292" s="19"/>
      <c r="I292" s="25"/>
      <c r="J292" s="38"/>
      <c r="K292" s="38"/>
      <c r="L292" s="18"/>
    </row>
    <row r="293" spans="1:16" s="21" customFormat="1" ht="14.15" customHeight="1">
      <c r="A293" s="404">
        <f t="shared" si="21"/>
        <v>287</v>
      </c>
      <c r="B293" s="22" t="s">
        <v>183</v>
      </c>
      <c r="C293" s="10">
        <v>0</v>
      </c>
      <c r="D293" s="10">
        <f t="shared" ref="D293:D301" si="28">C293-E293</f>
        <v>0</v>
      </c>
      <c r="E293" s="10">
        <f>ROUND(C293*'Allocation Factors'!$G$14,0)</f>
        <v>0</v>
      </c>
      <c r="F293" s="10">
        <f>'Sch 5'!C280</f>
        <v>0</v>
      </c>
      <c r="G293" s="10">
        <f>E293+F293</f>
        <v>0</v>
      </c>
      <c r="H293" s="10"/>
      <c r="I293" s="25" t="s">
        <v>340</v>
      </c>
      <c r="J293" s="38"/>
      <c r="K293" s="38"/>
      <c r="L293" s="408" t="s">
        <v>937</v>
      </c>
      <c r="M293" s="83"/>
      <c r="N293" s="83"/>
      <c r="O293" s="83"/>
      <c r="P293" s="83"/>
    </row>
    <row r="294" spans="1:16" ht="14.15" customHeight="1">
      <c r="A294" s="404">
        <f t="shared" si="21"/>
        <v>288</v>
      </c>
      <c r="B294" s="22" t="s">
        <v>765</v>
      </c>
      <c r="C294" s="10">
        <v>573592.78</v>
      </c>
      <c r="D294" s="10">
        <f t="shared" si="28"/>
        <v>0</v>
      </c>
      <c r="E294" s="10">
        <f>C294</f>
        <v>573592.78</v>
      </c>
      <c r="F294" s="10">
        <f>'Sch 5'!C281</f>
        <v>-573589.96</v>
      </c>
      <c r="G294" s="10">
        <f>E294+F294</f>
        <v>2.8200000000651926</v>
      </c>
      <c r="H294" s="10"/>
      <c r="I294" s="15" t="s">
        <v>54</v>
      </c>
      <c r="J294" s="38"/>
      <c r="K294" s="38"/>
      <c r="L294" s="408">
        <v>4560007</v>
      </c>
    </row>
    <row r="295" spans="1:16" ht="14.15" customHeight="1">
      <c r="A295" s="404">
        <f t="shared" si="21"/>
        <v>289</v>
      </c>
      <c r="B295" s="22" t="s">
        <v>762</v>
      </c>
      <c r="C295" s="10">
        <v>54393</v>
      </c>
      <c r="D295" s="10">
        <f t="shared" si="28"/>
        <v>54393</v>
      </c>
      <c r="E295" s="16">
        <v>0</v>
      </c>
      <c r="F295" s="10">
        <f>'Sch 5'!C282</f>
        <v>0</v>
      </c>
      <c r="G295" s="10">
        <f t="shared" ref="G295:G301" si="29">E295+F295</f>
        <v>0</v>
      </c>
      <c r="H295" s="10"/>
      <c r="I295" s="15" t="s">
        <v>54</v>
      </c>
      <c r="J295" s="38"/>
      <c r="K295" s="38"/>
      <c r="L295" s="408">
        <v>4561019</v>
      </c>
    </row>
    <row r="296" spans="1:16" ht="14.15" customHeight="1">
      <c r="A296" s="404">
        <f t="shared" si="21"/>
        <v>290</v>
      </c>
      <c r="B296" s="22" t="s">
        <v>759</v>
      </c>
      <c r="C296" s="10">
        <v>-58423543.249999993</v>
      </c>
      <c r="D296" s="10">
        <f t="shared" si="28"/>
        <v>0</v>
      </c>
      <c r="E296" s="10">
        <f>C296</f>
        <v>-58423543.249999993</v>
      </c>
      <c r="F296" s="10">
        <f>'Sch 5'!C283</f>
        <v>-4256853</v>
      </c>
      <c r="G296" s="10">
        <f>E296+F296</f>
        <v>-62680396.249999993</v>
      </c>
      <c r="H296" s="10"/>
      <c r="I296" s="25" t="s">
        <v>54</v>
      </c>
      <c r="J296" s="38"/>
      <c r="K296" s="38"/>
      <c r="L296" s="408" t="s">
        <v>936</v>
      </c>
    </row>
    <row r="297" spans="1:16" ht="14.15" customHeight="1">
      <c r="A297" s="404">
        <f t="shared" si="21"/>
        <v>291</v>
      </c>
      <c r="B297" s="22" t="s">
        <v>760</v>
      </c>
      <c r="C297" s="10">
        <v>-137135.82</v>
      </c>
      <c r="D297" s="10">
        <f t="shared" si="28"/>
        <v>0</v>
      </c>
      <c r="E297" s="10">
        <f>C297</f>
        <v>-137135.82</v>
      </c>
      <c r="F297" s="10">
        <f>'Sch 5'!C284</f>
        <v>0</v>
      </c>
      <c r="G297" s="10">
        <f t="shared" si="29"/>
        <v>-137135.82</v>
      </c>
      <c r="H297" s="10"/>
      <c r="I297" s="25" t="s">
        <v>54</v>
      </c>
      <c r="J297" s="38"/>
      <c r="K297" s="38"/>
      <c r="L297" s="408">
        <v>4561036</v>
      </c>
    </row>
    <row r="298" spans="1:16" ht="41.25" customHeight="1">
      <c r="A298" s="404">
        <f t="shared" si="21"/>
        <v>292</v>
      </c>
      <c r="B298" s="22" t="s">
        <v>763</v>
      </c>
      <c r="C298" s="10">
        <f>90622.96+11396681.94+4488.69+2695171.34+8323.37+79811742.22+229104.27+21934+1790717.82+1598483.32+53960.71</f>
        <v>97701230.639999971</v>
      </c>
      <c r="D298" s="10">
        <f t="shared" si="28"/>
        <v>1465518.6399999708</v>
      </c>
      <c r="E298" s="10">
        <f>ROUND(C298*'Allocation Factors'!$G$16,0)</f>
        <v>96235712</v>
      </c>
      <c r="F298" s="10">
        <f>'Sch 5'!C285</f>
        <v>1465518.6399999708</v>
      </c>
      <c r="G298" s="10">
        <f t="shared" si="29"/>
        <v>97701230.639999971</v>
      </c>
      <c r="H298" s="10"/>
      <c r="I298" s="15" t="s">
        <v>342</v>
      </c>
      <c r="J298" s="38"/>
      <c r="K298" s="38"/>
      <c r="L298" s="410" t="s">
        <v>1144</v>
      </c>
    </row>
    <row r="299" spans="1:16" ht="14.15" customHeight="1">
      <c r="A299" s="404">
        <f t="shared" si="21"/>
        <v>293</v>
      </c>
      <c r="B299" s="22" t="s">
        <v>761</v>
      </c>
      <c r="C299" s="10">
        <f>1960917+2129704+71610+313718</f>
        <v>4475949</v>
      </c>
      <c r="D299" s="10">
        <f t="shared" si="28"/>
        <v>4475949</v>
      </c>
      <c r="E299" s="10">
        <v>0</v>
      </c>
      <c r="F299" s="10">
        <f>'Sch 5'!C286</f>
        <v>0</v>
      </c>
      <c r="G299" s="10">
        <f t="shared" si="29"/>
        <v>0</v>
      </c>
      <c r="H299" s="10"/>
      <c r="I299" s="25" t="s">
        <v>54</v>
      </c>
      <c r="J299" s="38"/>
      <c r="K299" s="38"/>
      <c r="L299" s="408" t="s">
        <v>938</v>
      </c>
    </row>
    <row r="300" spans="1:16" ht="14.15" customHeight="1">
      <c r="A300" s="404">
        <f t="shared" si="21"/>
        <v>294</v>
      </c>
      <c r="B300" s="22" t="s">
        <v>1155</v>
      </c>
      <c r="C300" s="10">
        <v>111393.83</v>
      </c>
      <c r="D300" s="10">
        <f t="shared" si="28"/>
        <v>1670.8300000000017</v>
      </c>
      <c r="E300" s="16">
        <f>ROUND(C300*'Allocation Factors'!$G$16,0)</f>
        <v>109723</v>
      </c>
      <c r="F300" s="10">
        <f>'Sch 5'!C287</f>
        <v>1670.8300000000017</v>
      </c>
      <c r="G300" s="10">
        <f t="shared" si="29"/>
        <v>111393.83</v>
      </c>
      <c r="H300" s="10"/>
      <c r="I300" s="15" t="s">
        <v>342</v>
      </c>
      <c r="J300" s="38"/>
      <c r="K300" s="38"/>
      <c r="L300" s="408">
        <v>4560015</v>
      </c>
    </row>
    <row r="301" spans="1:16" ht="14.15" customHeight="1">
      <c r="A301" s="404">
        <f t="shared" si="21"/>
        <v>295</v>
      </c>
      <c r="B301" s="22" t="s">
        <v>764</v>
      </c>
      <c r="C301" s="10">
        <v>391867.31</v>
      </c>
      <c r="D301" s="10">
        <f t="shared" si="28"/>
        <v>392.30999999999767</v>
      </c>
      <c r="E301" s="16">
        <f>ROUND(C301*'Allocation Factors'!$G$18,0)</f>
        <v>391475</v>
      </c>
      <c r="F301" s="10">
        <f>'Sch 5'!C288</f>
        <v>392.30999999999767</v>
      </c>
      <c r="G301" s="10">
        <f t="shared" si="29"/>
        <v>391867.31</v>
      </c>
      <c r="H301" s="10"/>
      <c r="I301" s="15" t="s">
        <v>344</v>
      </c>
      <c r="J301" s="38"/>
      <c r="K301" s="38"/>
      <c r="L301" s="408">
        <v>4560015</v>
      </c>
    </row>
    <row r="302" spans="1:16" ht="62.25" customHeight="1">
      <c r="A302" s="404">
        <f t="shared" si="21"/>
        <v>296</v>
      </c>
      <c r="B302" s="20" t="s">
        <v>480</v>
      </c>
      <c r="C302" s="80">
        <f>SUM(C293:C301)</f>
        <v>44747747.48999998</v>
      </c>
      <c r="D302" s="80">
        <f>SUM(D293:D301)</f>
        <v>5997923.7799999705</v>
      </c>
      <c r="E302" s="80">
        <f>SUM(E293:E301)</f>
        <v>38749823.710000008</v>
      </c>
      <c r="F302" s="80">
        <f>SUM(F293:F301)</f>
        <v>-3362861.180000029</v>
      </c>
      <c r="G302" s="80">
        <f>SUM(G293:G301)</f>
        <v>35386962.529999979</v>
      </c>
      <c r="H302" s="80"/>
      <c r="I302" s="141"/>
      <c r="J302" s="38"/>
      <c r="K302" s="38"/>
      <c r="L302" s="410" t="s">
        <v>1125</v>
      </c>
    </row>
    <row r="303" spans="1:16" ht="14.15" customHeight="1">
      <c r="A303" s="404">
        <f t="shared" si="21"/>
        <v>297</v>
      </c>
      <c r="B303" s="57"/>
      <c r="C303" s="145"/>
      <c r="D303" s="145"/>
      <c r="E303" s="58"/>
      <c r="F303" s="145"/>
      <c r="G303" s="64"/>
      <c r="H303" s="64"/>
      <c r="I303" s="129"/>
      <c r="J303" s="38"/>
      <c r="K303" s="38"/>
      <c r="L303" s="408"/>
    </row>
    <row r="304" spans="1:16" ht="14.15" customHeight="1">
      <c r="A304" s="404">
        <f t="shared" si="21"/>
        <v>298</v>
      </c>
      <c r="B304" s="20" t="s">
        <v>481</v>
      </c>
      <c r="C304" s="16">
        <f>SUM(C278:C279,C290,C302)</f>
        <v>55081909.05999998</v>
      </c>
      <c r="D304" s="16">
        <f>SUM(D278:D279,D290,D302)</f>
        <v>6049273.4599999711</v>
      </c>
      <c r="E304" s="16">
        <f>SUM(E278:E279,E290,E302)</f>
        <v>49032635.710000008</v>
      </c>
      <c r="F304" s="16">
        <f>SUM(F278:F279,F290,F302)</f>
        <v>-2939757.4900000286</v>
      </c>
      <c r="G304" s="16">
        <f>G302+G290+G279+G278</f>
        <v>46092878.219999984</v>
      </c>
      <c r="H304" s="16"/>
      <c r="I304" s="17"/>
      <c r="J304" s="38"/>
      <c r="K304" s="38"/>
      <c r="L304" s="408"/>
    </row>
    <row r="305" spans="1:16" ht="14.15" customHeight="1">
      <c r="A305" s="404">
        <f t="shared" si="21"/>
        <v>299</v>
      </c>
      <c r="B305" s="57"/>
      <c r="C305" s="145"/>
      <c r="D305" s="145"/>
      <c r="E305" s="58"/>
      <c r="F305" s="145"/>
      <c r="G305" s="145"/>
      <c r="H305" s="145"/>
      <c r="I305" s="146"/>
      <c r="J305" s="38"/>
      <c r="K305" s="38"/>
      <c r="L305" s="408"/>
    </row>
    <row r="306" spans="1:16" ht="14.15" customHeight="1">
      <c r="A306" s="404">
        <f t="shared" si="21"/>
        <v>300</v>
      </c>
      <c r="B306" s="20" t="s">
        <v>482</v>
      </c>
      <c r="C306" s="50">
        <f>+C267+C268+C269+C275+C304</f>
        <v>727441754.9599998</v>
      </c>
      <c r="D306" s="50">
        <f>+D267+D268+D269+D275+D304</f>
        <v>5455702.3135999711</v>
      </c>
      <c r="E306" s="50">
        <f>+E267+E268+E269+E275+E304</f>
        <v>721986052.75639999</v>
      </c>
      <c r="F306" s="50">
        <f>+F267+F268+F269+F275+F304</f>
        <v>-56520547.41717764</v>
      </c>
      <c r="G306" s="50">
        <f>+G267+G268+G269+G275+G304</f>
        <v>665465505.33922231</v>
      </c>
      <c r="H306" s="94">
        <f>ROUND(E306/C306,3)</f>
        <v>0.99299999999999999</v>
      </c>
      <c r="I306" s="51"/>
      <c r="J306" s="38"/>
      <c r="K306" s="38"/>
      <c r="L306" s="408"/>
    </row>
    <row r="307" spans="1:16" ht="14.15" customHeight="1">
      <c r="A307" s="404">
        <f t="shared" si="21"/>
        <v>301</v>
      </c>
      <c r="B307" s="22"/>
      <c r="C307" s="10"/>
      <c r="D307" s="10"/>
      <c r="E307" s="11"/>
      <c r="F307" s="10"/>
      <c r="G307" s="10"/>
      <c r="H307" s="10"/>
      <c r="I307" s="15"/>
      <c r="J307" s="38"/>
      <c r="K307" s="38"/>
      <c r="L307" s="408"/>
    </row>
    <row r="308" spans="1:16" ht="14.15" customHeight="1">
      <c r="A308" s="404">
        <f t="shared" si="21"/>
        <v>302</v>
      </c>
      <c r="B308" s="42" t="s">
        <v>184</v>
      </c>
      <c r="C308" s="10"/>
      <c r="D308" s="10"/>
      <c r="E308" s="10"/>
      <c r="F308" s="10"/>
      <c r="G308" s="10"/>
      <c r="H308" s="10"/>
      <c r="I308" s="15"/>
      <c r="J308" s="38"/>
      <c r="K308" s="38"/>
      <c r="L308" s="408"/>
    </row>
    <row r="309" spans="1:16" ht="14.15" customHeight="1">
      <c r="A309" s="404">
        <f t="shared" si="21"/>
        <v>303</v>
      </c>
      <c r="B309" s="13" t="s">
        <v>185</v>
      </c>
      <c r="C309" s="10"/>
      <c r="D309" s="10"/>
      <c r="E309" s="10"/>
      <c r="F309" s="10"/>
      <c r="G309" s="10"/>
      <c r="H309" s="10"/>
      <c r="I309" s="15"/>
      <c r="J309" s="38"/>
      <c r="K309" s="38"/>
      <c r="L309" s="408"/>
    </row>
    <row r="310" spans="1:16" ht="14.15" customHeight="1">
      <c r="A310" s="404">
        <f t="shared" si="21"/>
        <v>304</v>
      </c>
      <c r="B310" s="22" t="s">
        <v>186</v>
      </c>
      <c r="C310" s="10">
        <v>4075249.41</v>
      </c>
      <c r="D310" s="10">
        <f t="shared" ref="D310:D322" si="30">C310-E310</f>
        <v>61128.410000000149</v>
      </c>
      <c r="E310" s="10">
        <f>ROUND(J310+(C310-J310)*'Allocation Factors'!$G$10,0)</f>
        <v>4014121</v>
      </c>
      <c r="F310" s="10">
        <f>'Sch 5'!C297</f>
        <v>230517.02000000016</v>
      </c>
      <c r="G310" s="10">
        <f>E310+F310</f>
        <v>4244638.0200000005</v>
      </c>
      <c r="H310" s="10"/>
      <c r="I310" s="15" t="s">
        <v>337</v>
      </c>
      <c r="J310" s="10"/>
      <c r="K310" s="10"/>
      <c r="L310" s="408" t="s">
        <v>930</v>
      </c>
    </row>
    <row r="311" spans="1:16" ht="14.15" customHeight="1">
      <c r="A311" s="404">
        <f t="shared" si="21"/>
        <v>305</v>
      </c>
      <c r="B311" s="22" t="s">
        <v>378</v>
      </c>
      <c r="C311" s="10">
        <f>7396104.18+78036523.32+3622215.17+30564445.2+322229.29</f>
        <v>119941517.16000001</v>
      </c>
      <c r="D311" s="10">
        <f t="shared" si="30"/>
        <v>1679181.1600000113</v>
      </c>
      <c r="E311" s="10">
        <f>ROUND(J311+(C311-J311)*'Allocation Factors'!$G$14,0)</f>
        <v>118262336</v>
      </c>
      <c r="F311" s="10">
        <f>'Sch 5'!C298</f>
        <v>3225138.010000011</v>
      </c>
      <c r="G311" s="10">
        <f>E311+F311</f>
        <v>121487474.01000001</v>
      </c>
      <c r="H311" s="10"/>
      <c r="I311" s="15" t="s">
        <v>340</v>
      </c>
      <c r="J311" s="38"/>
      <c r="K311" s="38"/>
      <c r="L311" s="408" t="s">
        <v>1022</v>
      </c>
    </row>
    <row r="312" spans="1:16" ht="14.15" customHeight="1">
      <c r="A312" s="404">
        <f t="shared" si="21"/>
        <v>306</v>
      </c>
      <c r="B312" s="22" t="s">
        <v>814</v>
      </c>
      <c r="C312" s="10">
        <f>6236172.2+1872076.34</f>
        <v>8108248.54</v>
      </c>
      <c r="D312" s="10">
        <f t="shared" si="30"/>
        <v>121623.54000000004</v>
      </c>
      <c r="E312" s="10">
        <f>ROUND(C312*'Allocation Factors'!$G$10,0)</f>
        <v>7986625</v>
      </c>
      <c r="F312" s="10">
        <f>'Sch 5'!C299</f>
        <v>121623.54000000004</v>
      </c>
      <c r="G312" s="10">
        <f>E312+F312</f>
        <v>8108248.54</v>
      </c>
      <c r="H312" s="10"/>
      <c r="I312" s="15" t="s">
        <v>337</v>
      </c>
      <c r="J312" s="38"/>
      <c r="K312" s="38"/>
      <c r="L312" s="408" t="s">
        <v>901</v>
      </c>
    </row>
    <row r="313" spans="1:16" ht="38.25" customHeight="1">
      <c r="A313" s="404">
        <f t="shared" si="21"/>
        <v>307</v>
      </c>
      <c r="B313" s="22" t="s">
        <v>379</v>
      </c>
      <c r="C313" s="10">
        <f>3772133.28+16131.1+1446384.37-1239079.84</f>
        <v>3995568.91</v>
      </c>
      <c r="D313" s="10">
        <f t="shared" si="30"/>
        <v>55937.910000000149</v>
      </c>
      <c r="E313" s="10">
        <f>ROUND(C313*'Allocation Factors'!$G$14,0)</f>
        <v>3939631</v>
      </c>
      <c r="F313" s="10">
        <f>'Sch 5'!C300</f>
        <v>122617.91000000015</v>
      </c>
      <c r="G313" s="10">
        <f>E313+F313</f>
        <v>4062248.91</v>
      </c>
      <c r="H313" s="10"/>
      <c r="I313" s="15" t="s">
        <v>340</v>
      </c>
      <c r="J313" s="38"/>
      <c r="K313" s="38"/>
      <c r="L313" s="410" t="s">
        <v>933</v>
      </c>
    </row>
    <row r="314" spans="1:16" s="21" customFormat="1" ht="14.15" customHeight="1">
      <c r="A314" s="404">
        <f t="shared" ref="A314:A381" si="31">+A313+1</f>
        <v>308</v>
      </c>
      <c r="B314" s="22" t="s">
        <v>317</v>
      </c>
      <c r="C314" s="10">
        <v>-1066415.0200000005</v>
      </c>
      <c r="D314" s="10">
        <f t="shared" si="30"/>
        <v>-2.0000000484287739E-2</v>
      </c>
      <c r="E314" s="10">
        <f>ROUND(C314*'Allocation Factors'!$G$34,0)</f>
        <v>-1066415</v>
      </c>
      <c r="F314" s="10">
        <f>'Sch 5'!C301</f>
        <v>-42632032.020000003</v>
      </c>
      <c r="G314" s="10">
        <f t="shared" ref="G314:G322" si="32">E314+F314</f>
        <v>-43698447.020000003</v>
      </c>
      <c r="H314" s="10"/>
      <c r="I314" s="15" t="s">
        <v>358</v>
      </c>
      <c r="J314" s="38"/>
      <c r="K314" s="38"/>
      <c r="L314" s="408">
        <v>5010005</v>
      </c>
      <c r="M314" s="83"/>
    </row>
    <row r="315" spans="1:16" ht="30.75" customHeight="1">
      <c r="A315" s="404">
        <f t="shared" si="31"/>
        <v>309</v>
      </c>
      <c r="B315" s="22" t="s">
        <v>657</v>
      </c>
      <c r="C315" s="10">
        <f>1661652.77+1080273.36+2386199.04</f>
        <v>5128125.17</v>
      </c>
      <c r="D315" s="10">
        <f t="shared" si="30"/>
        <v>73537.169999999925</v>
      </c>
      <c r="E315" s="10">
        <f>ROUND(((((C315)*0.34)*'Allocation Factors'!$G$10)+(((C315)*0.66)*'Allocation Factors'!$G$14)),0)</f>
        <v>5054588</v>
      </c>
      <c r="F315" s="10">
        <f>'Sch 5'!C302</f>
        <v>-2006996.53</v>
      </c>
      <c r="G315" s="10">
        <f t="shared" si="32"/>
        <v>3047591.4699999997</v>
      </c>
      <c r="H315" s="10"/>
      <c r="I315" s="15" t="s">
        <v>363</v>
      </c>
      <c r="J315" s="38"/>
      <c r="K315" s="38"/>
      <c r="L315" s="410" t="s">
        <v>931</v>
      </c>
    </row>
    <row r="316" spans="1:16" ht="14.15" customHeight="1">
      <c r="A316" s="404">
        <f t="shared" si="31"/>
        <v>310</v>
      </c>
      <c r="B316" s="22" t="s">
        <v>187</v>
      </c>
      <c r="C316" s="10">
        <v>0</v>
      </c>
      <c r="D316" s="10">
        <f t="shared" si="30"/>
        <v>0</v>
      </c>
      <c r="E316" s="10">
        <f>ROUND(C316*'Allocation Factors'!$G$10,0)</f>
        <v>0</v>
      </c>
      <c r="F316" s="10">
        <f>'Sch 5'!C303</f>
        <v>0</v>
      </c>
      <c r="G316" s="10">
        <f t="shared" si="32"/>
        <v>0</v>
      </c>
      <c r="H316" s="10"/>
      <c r="I316" s="15" t="s">
        <v>337</v>
      </c>
      <c r="J316" s="38"/>
      <c r="K316" s="38"/>
      <c r="L316" s="408"/>
    </row>
    <row r="317" spans="1:16" ht="14.15" customHeight="1">
      <c r="A317" s="404">
        <f t="shared" si="31"/>
        <v>311</v>
      </c>
      <c r="B317" s="22" t="s">
        <v>188</v>
      </c>
      <c r="C317" s="10">
        <v>0</v>
      </c>
      <c r="D317" s="10">
        <f t="shared" si="30"/>
        <v>0</v>
      </c>
      <c r="E317" s="10">
        <f>ROUND(C317*'Allocation Factors'!$G$10,0)</f>
        <v>0</v>
      </c>
      <c r="F317" s="10">
        <f>'Sch 5'!C304</f>
        <v>0</v>
      </c>
      <c r="G317" s="10">
        <f t="shared" si="32"/>
        <v>0</v>
      </c>
      <c r="H317" s="10"/>
      <c r="I317" s="15" t="s">
        <v>337</v>
      </c>
      <c r="J317" s="38"/>
      <c r="K317" s="38"/>
      <c r="L317" s="408"/>
    </row>
    <row r="318" spans="1:16" ht="14.15" customHeight="1">
      <c r="A318" s="404">
        <f t="shared" si="31"/>
        <v>312</v>
      </c>
      <c r="B318" s="22" t="s">
        <v>189</v>
      </c>
      <c r="C318" s="10">
        <v>58098.22</v>
      </c>
      <c r="D318" s="10">
        <f t="shared" si="30"/>
        <v>833.22000000000116</v>
      </c>
      <c r="E318" s="10">
        <f>ROUND(((((C318)*0.34)*'Allocation Factors'!$G$10)+(((C318)*0.66)*'Allocation Factors'!$G$14)),0)</f>
        <v>57265</v>
      </c>
      <c r="F318" s="10">
        <f>'Sch 5'!C305</f>
        <v>7562.4300000000012</v>
      </c>
      <c r="G318" s="10">
        <f t="shared" si="32"/>
        <v>64827.43</v>
      </c>
      <c r="H318" s="10"/>
      <c r="I318" s="15" t="s">
        <v>363</v>
      </c>
      <c r="J318" s="38"/>
      <c r="K318" s="38"/>
      <c r="L318" s="408">
        <v>5050000</v>
      </c>
    </row>
    <row r="319" spans="1:16" s="21" customFormat="1" ht="14.15" customHeight="1">
      <c r="A319" s="404">
        <f t="shared" si="31"/>
        <v>313</v>
      </c>
      <c r="B319" s="22" t="s">
        <v>190</v>
      </c>
      <c r="C319" s="10">
        <f>6024638.35+53008.49-1.1</f>
        <v>6077645.7400000002</v>
      </c>
      <c r="D319" s="10">
        <f t="shared" si="30"/>
        <v>91164.740000000224</v>
      </c>
      <c r="E319" s="10">
        <f>ROUND(J319+(C319-J319)*'Allocation Factors'!$G$10,0)</f>
        <v>5986481</v>
      </c>
      <c r="F319" s="10">
        <f>'Sch 5'!C306</f>
        <v>-452844.98999999976</v>
      </c>
      <c r="G319" s="10">
        <f t="shared" si="32"/>
        <v>5533636.0099999998</v>
      </c>
      <c r="H319" s="10"/>
      <c r="I319" s="15" t="s">
        <v>337</v>
      </c>
      <c r="J319" s="10"/>
      <c r="K319" s="10"/>
      <c r="L319" s="408" t="s">
        <v>932</v>
      </c>
    </row>
    <row r="320" spans="1:16" s="21" customFormat="1" ht="14.15" customHeight="1">
      <c r="A320" s="404">
        <f t="shared" si="31"/>
        <v>314</v>
      </c>
      <c r="B320" s="22" t="s">
        <v>191</v>
      </c>
      <c r="C320" s="10">
        <v>965.85</v>
      </c>
      <c r="D320" s="10">
        <f>C320-E320</f>
        <v>14.850000000000023</v>
      </c>
      <c r="E320" s="10">
        <f>ROUND(C320*'Allocation Factors'!$G$10,0)</f>
        <v>951</v>
      </c>
      <c r="F320" s="10">
        <f>'Sch 5'!C307</f>
        <v>14.850000000000023</v>
      </c>
      <c r="G320" s="10">
        <f t="shared" si="32"/>
        <v>965.85</v>
      </c>
      <c r="H320" s="10"/>
      <c r="I320" s="15" t="s">
        <v>337</v>
      </c>
      <c r="J320" s="38"/>
      <c r="K320" s="38"/>
      <c r="L320" s="408">
        <v>5070006</v>
      </c>
      <c r="M320" s="83"/>
      <c r="N320" s="83"/>
      <c r="O320" s="83"/>
      <c r="P320" s="83"/>
    </row>
    <row r="321" spans="1:15" ht="14.15" customHeight="1">
      <c r="A321" s="404">
        <f t="shared" si="31"/>
        <v>315</v>
      </c>
      <c r="B321" s="22" t="s">
        <v>813</v>
      </c>
      <c r="C321" s="10">
        <v>0</v>
      </c>
      <c r="D321" s="10">
        <f t="shared" si="30"/>
        <v>0</v>
      </c>
      <c r="E321" s="10">
        <f>ROUND(C321*'Allocation Factors'!$G$10,0)</f>
        <v>0</v>
      </c>
      <c r="F321" s="10">
        <f>'Sch 5'!C308</f>
        <v>0</v>
      </c>
      <c r="G321" s="10">
        <f t="shared" si="32"/>
        <v>0</v>
      </c>
      <c r="H321" s="10"/>
      <c r="I321" s="15" t="s">
        <v>337</v>
      </c>
      <c r="J321" s="38"/>
      <c r="K321" s="38"/>
      <c r="L321" s="408"/>
    </row>
    <row r="322" spans="1:15" ht="14.15" customHeight="1">
      <c r="A322" s="404">
        <f t="shared" si="31"/>
        <v>316</v>
      </c>
      <c r="B322" s="56" t="s">
        <v>192</v>
      </c>
      <c r="C322" s="10">
        <f>36775.01+42857.15+176.85</f>
        <v>79809.010000000009</v>
      </c>
      <c r="D322" s="10">
        <f t="shared" si="30"/>
        <v>1117.0100000000093</v>
      </c>
      <c r="E322" s="10">
        <f>ROUND(C322*'Allocation Factors'!$G$14,0)</f>
        <v>78692</v>
      </c>
      <c r="F322" s="10">
        <f>'Sch 5'!C309</f>
        <v>1117.0100000000093</v>
      </c>
      <c r="G322" s="10">
        <f t="shared" si="32"/>
        <v>79809.010000000009</v>
      </c>
      <c r="H322" s="10"/>
      <c r="I322" s="15" t="s">
        <v>340</v>
      </c>
      <c r="J322" s="38"/>
      <c r="K322" s="38"/>
      <c r="L322" s="408" t="s">
        <v>1024</v>
      </c>
    </row>
    <row r="323" spans="1:15" ht="14.15" customHeight="1">
      <c r="A323" s="404">
        <f t="shared" si="31"/>
        <v>317</v>
      </c>
      <c r="B323" s="20" t="s">
        <v>483</v>
      </c>
      <c r="C323" s="80">
        <f>SUM(C310:C322)</f>
        <v>146398812.98999998</v>
      </c>
      <c r="D323" s="80">
        <f>SUM(D310:D322)</f>
        <v>2084537.9900000114</v>
      </c>
      <c r="E323" s="80">
        <f>SUM(E310:E322)</f>
        <v>144314275</v>
      </c>
      <c r="F323" s="80">
        <f>SUM(F310:F322)</f>
        <v>-41383282.769999996</v>
      </c>
      <c r="G323" s="80">
        <f>SUM(G310:G322)</f>
        <v>102930992.23000002</v>
      </c>
      <c r="H323" s="80"/>
      <c r="I323" s="141"/>
      <c r="J323" s="38"/>
      <c r="K323" s="38"/>
      <c r="L323" s="408"/>
    </row>
    <row r="324" spans="1:15" ht="14.15" customHeight="1">
      <c r="A324" s="404">
        <f t="shared" si="31"/>
        <v>318</v>
      </c>
      <c r="B324" s="23"/>
      <c r="C324" s="16"/>
      <c r="D324" s="136"/>
      <c r="E324" s="124"/>
      <c r="F324" s="16"/>
      <c r="G324" s="43"/>
      <c r="H324" s="43"/>
      <c r="I324" s="15"/>
      <c r="J324" s="38"/>
      <c r="K324" s="38"/>
      <c r="L324" s="408"/>
    </row>
    <row r="325" spans="1:15" ht="14.15" customHeight="1">
      <c r="A325" s="404">
        <f t="shared" si="31"/>
        <v>319</v>
      </c>
      <c r="B325" s="22" t="s">
        <v>194</v>
      </c>
      <c r="C325" s="10">
        <v>1352873.19</v>
      </c>
      <c r="D325" s="10">
        <f>C325-E325</f>
        <v>20293.189999999944</v>
      </c>
      <c r="E325" s="10">
        <f>ROUND(C325*'Allocation Factors'!$G$10,0)</f>
        <v>1332580</v>
      </c>
      <c r="F325" s="10">
        <f>'Sch 5'!C312</f>
        <v>167438.47999999992</v>
      </c>
      <c r="G325" s="10">
        <f>E325+F325</f>
        <v>1500018.48</v>
      </c>
      <c r="H325" s="10"/>
      <c r="I325" s="15" t="s">
        <v>337</v>
      </c>
      <c r="J325" s="38"/>
      <c r="K325" s="38"/>
      <c r="L325" s="408" t="s">
        <v>934</v>
      </c>
    </row>
    <row r="326" spans="1:15" ht="14.15" customHeight="1">
      <c r="A326" s="404">
        <f t="shared" si="31"/>
        <v>320</v>
      </c>
      <c r="B326" s="22" t="s">
        <v>195</v>
      </c>
      <c r="C326" s="10">
        <v>1989377.4100000001</v>
      </c>
      <c r="D326" s="10">
        <f>C326-E326</f>
        <v>29840.410000000149</v>
      </c>
      <c r="E326" s="10">
        <f>ROUND(J326+(C326-J326)*'Allocation Factors'!$G$10,0)</f>
        <v>1959537</v>
      </c>
      <c r="F326" s="10">
        <f>'Sch 5'!C313</f>
        <v>46567.040000000154</v>
      </c>
      <c r="G326" s="10">
        <f>E326+F326</f>
        <v>2006104.04</v>
      </c>
      <c r="H326" s="10"/>
      <c r="I326" s="15" t="s">
        <v>337</v>
      </c>
      <c r="J326" s="10"/>
      <c r="K326" s="10"/>
      <c r="L326" s="408">
        <v>5110000</v>
      </c>
    </row>
    <row r="327" spans="1:15" ht="13.5" customHeight="1">
      <c r="A327" s="404">
        <f t="shared" si="31"/>
        <v>321</v>
      </c>
      <c r="B327" s="22" t="s">
        <v>196</v>
      </c>
      <c r="C327" s="10">
        <f>15573903.48-7671.09-699253.32</f>
        <v>14866979.07</v>
      </c>
      <c r="D327" s="10">
        <f>C327-E327</f>
        <v>213192.0700000003</v>
      </c>
      <c r="E327" s="10">
        <f>ROUND(((((C327-J327)*0.34)*'Allocation Factors'!$G$10)+(((C327-J327)*0.66)*'Allocation Factors'!$G$14)),0)+J327</f>
        <v>14653787</v>
      </c>
      <c r="F327" s="10">
        <f>'Sch 5'!C314</f>
        <v>-896434.07999999961</v>
      </c>
      <c r="G327" s="10">
        <f>E327+F327</f>
        <v>13757352.92</v>
      </c>
      <c r="H327" s="10"/>
      <c r="I327" s="15" t="s">
        <v>363</v>
      </c>
      <c r="J327" s="10"/>
      <c r="K327" s="358">
        <f>E327/C327</f>
        <v>0.98566002756873461</v>
      </c>
      <c r="L327" s="408" t="s">
        <v>1025</v>
      </c>
    </row>
    <row r="328" spans="1:15" ht="14.15" customHeight="1">
      <c r="A328" s="404">
        <f t="shared" si="31"/>
        <v>322</v>
      </c>
      <c r="B328" s="22" t="s">
        <v>197</v>
      </c>
      <c r="C328" s="10">
        <f>4352733.86+27069.95+1124.18</f>
        <v>4380927.99</v>
      </c>
      <c r="D328" s="10">
        <f>C328-E328</f>
        <v>65713.990000000224</v>
      </c>
      <c r="E328" s="10">
        <f>ROUND(J328+(C328-J328)*'Allocation Factors'!$G$10,0)</f>
        <v>4315214</v>
      </c>
      <c r="F328" s="10">
        <f>'Sch 5'!C315</f>
        <v>155546.83000000022</v>
      </c>
      <c r="G328" s="10">
        <f>E328+F328</f>
        <v>4470760.83</v>
      </c>
      <c r="H328" s="10"/>
      <c r="I328" s="15" t="s">
        <v>337</v>
      </c>
      <c r="J328" s="10"/>
      <c r="K328" s="10"/>
      <c r="L328" s="408" t="s">
        <v>1026</v>
      </c>
    </row>
    <row r="329" spans="1:15" ht="14.15" customHeight="1">
      <c r="A329" s="404">
        <f t="shared" si="31"/>
        <v>323</v>
      </c>
      <c r="B329" s="56" t="s">
        <v>198</v>
      </c>
      <c r="C329" s="10">
        <v>1406936.23</v>
      </c>
      <c r="D329" s="10">
        <f>C329-E329</f>
        <v>21104.229999999981</v>
      </c>
      <c r="E329" s="10">
        <f>ROUND(J329+(C329-J329)*'Allocation Factors'!$G$10,0)</f>
        <v>1385832</v>
      </c>
      <c r="F329" s="10">
        <f>'Sch 5'!C316</f>
        <v>39187.069999999978</v>
      </c>
      <c r="G329" s="10">
        <f>E329+F329</f>
        <v>1425019.07</v>
      </c>
      <c r="H329" s="10"/>
      <c r="I329" s="15" t="s">
        <v>337</v>
      </c>
      <c r="J329" s="38"/>
      <c r="K329" s="38"/>
      <c r="L329" s="408" t="s">
        <v>935</v>
      </c>
    </row>
    <row r="330" spans="1:15" ht="14.15" customHeight="1">
      <c r="A330" s="404">
        <f t="shared" si="31"/>
        <v>324</v>
      </c>
      <c r="B330" s="20" t="s">
        <v>484</v>
      </c>
      <c r="C330" s="80">
        <f>SUM(C325:C329)</f>
        <v>23997093.890000004</v>
      </c>
      <c r="D330" s="80">
        <f>SUM(D325:D329)</f>
        <v>350143.8900000006</v>
      </c>
      <c r="E330" s="80">
        <f>SUM(E325:E329)</f>
        <v>23646950</v>
      </c>
      <c r="F330" s="80">
        <f>SUM(F325:F329)</f>
        <v>-487694.65999999945</v>
      </c>
      <c r="G330" s="80">
        <f>SUM(G325:G329)</f>
        <v>23159255.340000004</v>
      </c>
      <c r="H330" s="80"/>
      <c r="I330" s="141"/>
      <c r="J330" s="38"/>
      <c r="K330" s="38"/>
      <c r="L330" s="408"/>
    </row>
    <row r="331" spans="1:15" ht="14.15" customHeight="1">
      <c r="A331" s="404">
        <f t="shared" si="31"/>
        <v>325</v>
      </c>
      <c r="B331" s="57"/>
      <c r="C331" s="145"/>
      <c r="D331" s="145"/>
      <c r="E331" s="58"/>
      <c r="F331" s="145"/>
      <c r="G331" s="64"/>
      <c r="H331" s="64"/>
      <c r="I331" s="129"/>
      <c r="J331" s="38"/>
      <c r="K331" s="38"/>
      <c r="L331" s="408"/>
    </row>
    <row r="332" spans="1:15" ht="14.15" customHeight="1">
      <c r="A332" s="404">
        <f t="shared" si="31"/>
        <v>326</v>
      </c>
      <c r="B332" s="20" t="s">
        <v>199</v>
      </c>
      <c r="C332" s="16">
        <f>+C330+C323</f>
        <v>170395906.88</v>
      </c>
      <c r="D332" s="16">
        <f>+D330+D323</f>
        <v>2434681.880000012</v>
      </c>
      <c r="E332" s="16">
        <f>+E330+E323</f>
        <v>167961225</v>
      </c>
      <c r="F332" s="16">
        <f>+F330+F323</f>
        <v>-41870977.429999992</v>
      </c>
      <c r="G332" s="16">
        <f>+G330+G323</f>
        <v>126090247.57000002</v>
      </c>
      <c r="H332" s="16"/>
      <c r="I332" s="17"/>
      <c r="J332" s="38"/>
      <c r="K332" s="38"/>
      <c r="L332" s="408"/>
    </row>
    <row r="333" spans="1:15" ht="14.15" customHeight="1">
      <c r="A333" s="404">
        <f t="shared" si="31"/>
        <v>327</v>
      </c>
      <c r="B333" s="123"/>
      <c r="C333" s="16"/>
      <c r="D333" s="16"/>
      <c r="E333" s="12"/>
      <c r="F333" s="16"/>
      <c r="G333" s="43"/>
      <c r="H333" s="43"/>
      <c r="I333" s="15"/>
      <c r="J333" s="38"/>
      <c r="K333" s="38"/>
      <c r="L333" s="408"/>
    </row>
    <row r="334" spans="1:15" ht="14.15" customHeight="1">
      <c r="A334" s="404">
        <f t="shared" si="31"/>
        <v>328</v>
      </c>
      <c r="B334" s="13" t="s">
        <v>200</v>
      </c>
      <c r="C334" s="43"/>
      <c r="D334" s="43"/>
      <c r="E334" s="43"/>
      <c r="F334" s="43"/>
      <c r="G334" s="43"/>
      <c r="H334" s="43"/>
      <c r="I334" s="15"/>
      <c r="J334" s="38"/>
      <c r="K334" s="38"/>
      <c r="L334" s="408"/>
    </row>
    <row r="335" spans="1:15" ht="14.15" customHeight="1">
      <c r="A335" s="404">
        <f t="shared" si="31"/>
        <v>329</v>
      </c>
      <c r="B335" s="22" t="s">
        <v>954</v>
      </c>
      <c r="C335" s="43">
        <v>0</v>
      </c>
      <c r="D335" s="10">
        <f>C335-E335</f>
        <v>0</v>
      </c>
      <c r="E335" s="10">
        <f>ROUND(C335*'Allocation Factors'!$G$10,0)</f>
        <v>0</v>
      </c>
      <c r="F335" s="10">
        <f>'Sch 5'!C322</f>
        <v>0</v>
      </c>
      <c r="G335" s="10">
        <f>E335+F335</f>
        <v>0</v>
      </c>
      <c r="H335" s="43"/>
      <c r="I335" s="15" t="s">
        <v>337</v>
      </c>
      <c r="J335" s="38"/>
      <c r="K335" s="38"/>
      <c r="L335" s="408"/>
    </row>
    <row r="336" spans="1:15" ht="33" customHeight="1">
      <c r="A336" s="404">
        <f t="shared" si="31"/>
        <v>330</v>
      </c>
      <c r="B336" s="22" t="s">
        <v>201</v>
      </c>
      <c r="C336" s="10">
        <f>'Sch 7'!D12</f>
        <v>7033579.0000000009</v>
      </c>
      <c r="D336" s="10">
        <f>C336-E336</f>
        <v>105504.00000000093</v>
      </c>
      <c r="E336" s="10">
        <f>ROUND(C336*'Allocation Factors'!$G$10,0)</f>
        <v>6928075</v>
      </c>
      <c r="F336" s="10">
        <f>'Sch 5'!C323</f>
        <v>-1919782.4796493505</v>
      </c>
      <c r="G336" s="10">
        <f>E336+F336</f>
        <v>5008292.52035065</v>
      </c>
      <c r="H336" s="10"/>
      <c r="I336" s="15" t="s">
        <v>337</v>
      </c>
      <c r="J336" s="10"/>
      <c r="K336" s="10"/>
      <c r="L336" s="410" t="s">
        <v>1142</v>
      </c>
      <c r="O336" s="404"/>
    </row>
    <row r="337" spans="1:12" ht="40.5" customHeight="1">
      <c r="A337" s="404">
        <f t="shared" si="31"/>
        <v>331</v>
      </c>
      <c r="B337" s="22" t="s">
        <v>202</v>
      </c>
      <c r="C337" s="10">
        <f>'Sch 7'!B12</f>
        <v>125459372.98999999</v>
      </c>
      <c r="D337" s="10">
        <f>C337-E337</f>
        <v>1764993.9899999946</v>
      </c>
      <c r="E337" s="10">
        <f>ROUND(J337+(C337-J337)*'Allocation Factors'!$G$14,0)</f>
        <v>123694379</v>
      </c>
      <c r="F337" s="10">
        <f>'Sch 5'!C324</f>
        <v>2368029.9899999946</v>
      </c>
      <c r="G337" s="10">
        <f>E337+F337</f>
        <v>126062408.98999999</v>
      </c>
      <c r="H337" s="10"/>
      <c r="I337" s="15" t="s">
        <v>340</v>
      </c>
      <c r="J337" s="10">
        <f>-3880379+3268780</f>
        <v>-611599</v>
      </c>
      <c r="K337" s="410" t="s">
        <v>1060</v>
      </c>
      <c r="L337" s="410" t="s">
        <v>1143</v>
      </c>
    </row>
    <row r="338" spans="1:12" ht="14.15" customHeight="1">
      <c r="A338" s="404">
        <f t="shared" si="31"/>
        <v>332</v>
      </c>
      <c r="B338" s="22" t="s">
        <v>203</v>
      </c>
      <c r="C338" s="10">
        <v>63261.100000000006</v>
      </c>
      <c r="D338" s="10">
        <f>C338-E338</f>
        <v>949.10000000000582</v>
      </c>
      <c r="E338" s="10">
        <f>ROUND(C338*'Allocation Factors'!$G$10,0)</f>
        <v>62312</v>
      </c>
      <c r="F338" s="10">
        <f>'Sch 5'!C325</f>
        <v>949.10000000000582</v>
      </c>
      <c r="G338" s="10">
        <f>E338+F338</f>
        <v>63261.100000000006</v>
      </c>
      <c r="H338" s="10"/>
      <c r="I338" s="15" t="s">
        <v>337</v>
      </c>
      <c r="J338" s="38"/>
      <c r="K338" s="38"/>
      <c r="L338" s="408">
        <v>5560000</v>
      </c>
    </row>
    <row r="339" spans="1:12" ht="14.15" customHeight="1">
      <c r="A339" s="404">
        <f t="shared" si="31"/>
        <v>333</v>
      </c>
      <c r="B339" s="56" t="s">
        <v>204</v>
      </c>
      <c r="C339" s="10">
        <f>793360.1+243.15+5.68+0.93</f>
        <v>793609.8600000001</v>
      </c>
      <c r="D339" s="10">
        <f>C339-E339</f>
        <v>11903.860000000102</v>
      </c>
      <c r="E339" s="10">
        <f>ROUND(C339*'Allocation Factors'!$G$10,0)</f>
        <v>781706</v>
      </c>
      <c r="F339" s="10">
        <f>'Sch 5'!C326</f>
        <v>11903.860000000102</v>
      </c>
      <c r="G339" s="10">
        <f>E339+F339</f>
        <v>793609.8600000001</v>
      </c>
      <c r="H339" s="10"/>
      <c r="I339" s="15" t="s">
        <v>337</v>
      </c>
      <c r="J339" s="38"/>
      <c r="K339" s="38"/>
      <c r="L339" s="408" t="s">
        <v>1126</v>
      </c>
    </row>
    <row r="340" spans="1:12" s="21" customFormat="1" ht="14.15" customHeight="1">
      <c r="A340" s="404">
        <f t="shared" si="31"/>
        <v>334</v>
      </c>
      <c r="B340" s="20" t="s">
        <v>485</v>
      </c>
      <c r="C340" s="80">
        <f>SUM(C335:C339)</f>
        <v>133349822.94999999</v>
      </c>
      <c r="D340" s="80">
        <f t="shared" ref="D340:G340" si="33">SUM(D335:D339)</f>
        <v>1883350.9499999958</v>
      </c>
      <c r="E340" s="80">
        <f t="shared" si="33"/>
        <v>131466472</v>
      </c>
      <c r="F340" s="80">
        <f t="shared" si="33"/>
        <v>461100.4703506442</v>
      </c>
      <c r="G340" s="80">
        <f t="shared" si="33"/>
        <v>131927572.47035064</v>
      </c>
      <c r="H340" s="80"/>
      <c r="I340" s="141"/>
      <c r="J340" s="38"/>
      <c r="K340" s="38"/>
      <c r="L340" s="18"/>
    </row>
    <row r="341" spans="1:12" s="21" customFormat="1" ht="14.15" customHeight="1">
      <c r="A341" s="404">
        <f t="shared" si="31"/>
        <v>335</v>
      </c>
      <c r="B341" s="20"/>
      <c r="C341" s="16"/>
      <c r="D341" s="16"/>
      <c r="E341" s="16"/>
      <c r="F341" s="16"/>
      <c r="G341" s="16"/>
      <c r="H341" s="16"/>
      <c r="I341" s="17"/>
      <c r="J341" s="38"/>
      <c r="K341" s="38"/>
      <c r="L341" s="18"/>
    </row>
    <row r="342" spans="1:12" ht="14.15" customHeight="1">
      <c r="A342" s="404">
        <f t="shared" si="31"/>
        <v>336</v>
      </c>
      <c r="B342" s="56" t="s">
        <v>1033</v>
      </c>
      <c r="C342" s="10">
        <f>146.29+2335.05+410.78+2.07+3.51</f>
        <v>2897.7000000000003</v>
      </c>
      <c r="D342" s="10">
        <f>+C342-E342</f>
        <v>43.700000000000273</v>
      </c>
      <c r="E342" s="10">
        <f>ROUND(C342*'Allocation Factors'!$G$10,0)</f>
        <v>2854</v>
      </c>
      <c r="F342" s="10">
        <f>+'Sch 5'!C330</f>
        <v>43.700000000000273</v>
      </c>
      <c r="G342" s="10">
        <f>E342+F342</f>
        <v>2897.7000000000003</v>
      </c>
      <c r="H342" s="10"/>
      <c r="I342" s="15" t="s">
        <v>337</v>
      </c>
      <c r="J342" s="38"/>
      <c r="K342" s="38"/>
      <c r="L342" s="408" t="s">
        <v>1034</v>
      </c>
    </row>
    <row r="343" spans="1:12" s="21" customFormat="1" ht="14.15" customHeight="1">
      <c r="A343" s="404">
        <f t="shared" si="31"/>
        <v>337</v>
      </c>
      <c r="B343" s="20" t="s">
        <v>1035</v>
      </c>
      <c r="C343" s="80">
        <f>+C342</f>
        <v>2897.7000000000003</v>
      </c>
      <c r="D343" s="80">
        <f t="shared" ref="D343:G343" si="34">+D342</f>
        <v>43.700000000000273</v>
      </c>
      <c r="E343" s="80">
        <f t="shared" si="34"/>
        <v>2854</v>
      </c>
      <c r="F343" s="80">
        <f t="shared" si="34"/>
        <v>43.700000000000273</v>
      </c>
      <c r="G343" s="80">
        <f t="shared" si="34"/>
        <v>2897.7000000000003</v>
      </c>
      <c r="H343" s="80"/>
      <c r="I343" s="141"/>
      <c r="J343" s="38"/>
      <c r="K343" s="38"/>
      <c r="L343" s="18"/>
    </row>
    <row r="344" spans="1:12" s="21" customFormat="1" ht="14.15" customHeight="1">
      <c r="A344" s="404">
        <f t="shared" si="31"/>
        <v>338</v>
      </c>
      <c r="B344" s="57"/>
      <c r="C344" s="145"/>
      <c r="D344" s="145"/>
      <c r="E344" s="58"/>
      <c r="F344" s="145"/>
      <c r="G344" s="64"/>
      <c r="H344" s="64"/>
      <c r="I344" s="52"/>
      <c r="J344" s="38"/>
      <c r="K344" s="38"/>
      <c r="L344" s="18"/>
    </row>
    <row r="345" spans="1:12" ht="14.15" customHeight="1">
      <c r="A345" s="404">
        <f t="shared" si="31"/>
        <v>339</v>
      </c>
      <c r="B345" s="20" t="s">
        <v>486</v>
      </c>
      <c r="C345" s="16">
        <f>C340+C332+C343</f>
        <v>303748627.52999997</v>
      </c>
      <c r="D345" s="16">
        <f t="shared" ref="D345:F345" si="35">D340+D332+D343</f>
        <v>4318076.5300000077</v>
      </c>
      <c r="E345" s="16">
        <f t="shared" si="35"/>
        <v>299430551</v>
      </c>
      <c r="F345" s="16">
        <f t="shared" si="35"/>
        <v>-41409833.259649344</v>
      </c>
      <c r="G345" s="16">
        <f>G340+G332+G343</f>
        <v>258020717.74035066</v>
      </c>
      <c r="H345" s="16"/>
      <c r="I345" s="149"/>
      <c r="J345" s="38"/>
      <c r="K345" s="38"/>
      <c r="L345" s="408"/>
    </row>
    <row r="346" spans="1:12" ht="14.15" customHeight="1">
      <c r="A346" s="404">
        <f t="shared" si="31"/>
        <v>340</v>
      </c>
      <c r="B346" s="123"/>
      <c r="C346" s="12"/>
      <c r="D346" s="16"/>
      <c r="E346" s="12"/>
      <c r="F346" s="16"/>
      <c r="G346" s="10"/>
      <c r="H346" s="10"/>
      <c r="I346" s="15"/>
      <c r="J346" s="38"/>
      <c r="K346" s="38"/>
      <c r="L346" s="408"/>
    </row>
    <row r="347" spans="1:12" ht="14.15" customHeight="1">
      <c r="A347" s="404">
        <f t="shared" si="31"/>
        <v>341</v>
      </c>
      <c r="B347" s="13" t="s">
        <v>207</v>
      </c>
      <c r="C347" s="10"/>
      <c r="D347" s="10"/>
      <c r="E347" s="10"/>
      <c r="F347" s="10"/>
      <c r="G347" s="10"/>
      <c r="H347" s="10"/>
      <c r="I347" s="15"/>
      <c r="J347" s="38"/>
      <c r="K347" s="38"/>
      <c r="L347" s="408"/>
    </row>
    <row r="348" spans="1:12" ht="14.15" customHeight="1">
      <c r="A348" s="404">
        <f t="shared" si="31"/>
        <v>342</v>
      </c>
      <c r="B348" s="22" t="s">
        <v>208</v>
      </c>
      <c r="C348" s="10">
        <v>2017555.06</v>
      </c>
      <c r="D348" s="10">
        <f t="shared" ref="D348:D359" si="36">C348-E348</f>
        <v>30263.060000000056</v>
      </c>
      <c r="E348" s="10">
        <f>ROUND(C348*'Allocation Factors'!$G$16,0)</f>
        <v>1987292</v>
      </c>
      <c r="F348" s="10">
        <f>'Sch 5'!C335</f>
        <v>29211.870000000057</v>
      </c>
      <c r="G348" s="10">
        <f t="shared" ref="G348:G353" si="37">E348+F348</f>
        <v>2016503.87</v>
      </c>
      <c r="H348" s="10"/>
      <c r="I348" s="15" t="s">
        <v>342</v>
      </c>
      <c r="J348" s="38"/>
      <c r="K348" s="38"/>
      <c r="L348" s="408">
        <v>5600000</v>
      </c>
    </row>
    <row r="349" spans="1:12" ht="14.15" customHeight="1">
      <c r="A349" s="404">
        <f t="shared" si="31"/>
        <v>343</v>
      </c>
      <c r="B349" s="22" t="s">
        <v>777</v>
      </c>
      <c r="C349" s="10">
        <f>487528.19+96613.53</f>
        <v>584141.72</v>
      </c>
      <c r="D349" s="10">
        <f t="shared" si="36"/>
        <v>8761.7199999999721</v>
      </c>
      <c r="E349" s="10">
        <f>ROUND(C349*'Allocation Factors'!$G$16,0)</f>
        <v>575380</v>
      </c>
      <c r="F349" s="10">
        <f>'Sch 5'!C336</f>
        <v>8761.7199999999721</v>
      </c>
      <c r="G349" s="10">
        <f t="shared" si="37"/>
        <v>584141.72</v>
      </c>
      <c r="H349" s="10"/>
      <c r="I349" s="15" t="s">
        <v>342</v>
      </c>
      <c r="J349" s="38"/>
      <c r="K349" s="38"/>
      <c r="L349" s="408" t="s">
        <v>926</v>
      </c>
    </row>
    <row r="350" spans="1:12" s="21" customFormat="1" ht="15.5">
      <c r="A350" s="18">
        <f t="shared" si="31"/>
        <v>344</v>
      </c>
      <c r="B350" s="123" t="s">
        <v>776</v>
      </c>
      <c r="C350" s="19">
        <f>75.09+83453.25+1326798.33+25723.23+393195.59</f>
        <v>1829245.4900000002</v>
      </c>
      <c r="D350" s="19">
        <f t="shared" si="36"/>
        <v>27438.490000000224</v>
      </c>
      <c r="E350" s="19">
        <f>ROUND(C350*'Allocation Factors'!$G$16,0)</f>
        <v>1801807</v>
      </c>
      <c r="F350" s="19">
        <f>'Sch 5'!C337</f>
        <v>27438.490000000224</v>
      </c>
      <c r="G350" s="19">
        <f t="shared" si="37"/>
        <v>1829245.4900000002</v>
      </c>
      <c r="H350" s="19"/>
      <c r="I350" s="25" t="s">
        <v>342</v>
      </c>
      <c r="J350" s="139"/>
      <c r="K350" s="139"/>
      <c r="L350" s="476" t="s">
        <v>1127</v>
      </c>
    </row>
    <row r="351" spans="1:12" ht="14.15" customHeight="1">
      <c r="A351" s="404">
        <f t="shared" si="31"/>
        <v>345</v>
      </c>
      <c r="B351" s="22" t="s">
        <v>209</v>
      </c>
      <c r="C351" s="10">
        <v>244494.76</v>
      </c>
      <c r="D351" s="10">
        <f t="shared" si="36"/>
        <v>3667.7600000000093</v>
      </c>
      <c r="E351" s="10">
        <f>ROUND(C351*'Allocation Factors'!$G$16,0)</f>
        <v>240827</v>
      </c>
      <c r="F351" s="10">
        <f>'Sch 5'!C338</f>
        <v>3667.7600000000093</v>
      </c>
      <c r="G351" s="10">
        <f t="shared" si="37"/>
        <v>244494.76</v>
      </c>
      <c r="H351" s="10"/>
      <c r="I351" s="15" t="s">
        <v>342</v>
      </c>
      <c r="J351" s="38"/>
      <c r="K351" s="38"/>
      <c r="L351" s="408">
        <v>5620001</v>
      </c>
    </row>
    <row r="352" spans="1:12" s="21" customFormat="1" ht="14.15" customHeight="1">
      <c r="A352" s="404">
        <f t="shared" si="31"/>
        <v>346</v>
      </c>
      <c r="B352" s="22" t="s">
        <v>210</v>
      </c>
      <c r="C352" s="10">
        <v>21867.99</v>
      </c>
      <c r="D352" s="10">
        <f t="shared" si="36"/>
        <v>327.9900000000016</v>
      </c>
      <c r="E352" s="10">
        <f>ROUND(C352*'Allocation Factors'!$G$16,0)</f>
        <v>21540</v>
      </c>
      <c r="F352" s="10">
        <f>'Sch 5'!C339</f>
        <v>327.9900000000016</v>
      </c>
      <c r="G352" s="10">
        <f t="shared" si="37"/>
        <v>21867.99</v>
      </c>
      <c r="H352" s="10"/>
      <c r="I352" s="15" t="s">
        <v>342</v>
      </c>
      <c r="J352" s="38"/>
      <c r="K352" s="38"/>
      <c r="L352" s="408">
        <v>5630000</v>
      </c>
    </row>
    <row r="353" spans="1:12" s="21" customFormat="1" ht="14.15" customHeight="1">
      <c r="A353" s="404">
        <f t="shared" si="31"/>
        <v>347</v>
      </c>
      <c r="B353" s="22" t="s">
        <v>211</v>
      </c>
      <c r="C353" s="10">
        <v>15.85</v>
      </c>
      <c r="D353" s="10">
        <f t="shared" si="36"/>
        <v>-0.15000000000000036</v>
      </c>
      <c r="E353" s="10">
        <f>ROUND(C353*'Allocation Factors'!$G$16,0)</f>
        <v>16</v>
      </c>
      <c r="F353" s="10">
        <f>'Sch 5'!C340</f>
        <v>-0.15000000000000036</v>
      </c>
      <c r="G353" s="10">
        <f t="shared" si="37"/>
        <v>15.85</v>
      </c>
      <c r="H353" s="10"/>
      <c r="I353" s="15" t="s">
        <v>342</v>
      </c>
      <c r="J353" s="38"/>
      <c r="K353" s="38"/>
      <c r="L353" s="408">
        <v>5640000</v>
      </c>
    </row>
    <row r="354" spans="1:12" s="21" customFormat="1" ht="14.15" customHeight="1">
      <c r="A354" s="404">
        <f t="shared" si="31"/>
        <v>348</v>
      </c>
      <c r="B354" s="22" t="s">
        <v>837</v>
      </c>
      <c r="C354" s="10">
        <v>83552774.820000023</v>
      </c>
      <c r="D354" s="10">
        <f t="shared" si="36"/>
        <v>-0.17999997735023499</v>
      </c>
      <c r="E354" s="10">
        <f>ROUND((C354-J354)*'Allocation Factors'!$G$34,0)</f>
        <v>83552775</v>
      </c>
      <c r="F354" s="10">
        <f>'Sch 5'!C341</f>
        <v>5725019.8200000226</v>
      </c>
      <c r="G354" s="10">
        <f t="shared" ref="G354:G359" si="38">E354+F354</f>
        <v>89277794.820000023</v>
      </c>
      <c r="H354" s="10"/>
      <c r="I354" s="25" t="s">
        <v>358</v>
      </c>
      <c r="J354" s="38"/>
      <c r="K354" s="38"/>
      <c r="L354" s="408" t="s">
        <v>1023</v>
      </c>
    </row>
    <row r="355" spans="1:12" s="21" customFormat="1" ht="14.15" customHeight="1">
      <c r="A355" s="404">
        <f t="shared" si="31"/>
        <v>349</v>
      </c>
      <c r="B355" s="22" t="s">
        <v>811</v>
      </c>
      <c r="C355" s="10">
        <v>167304.17000000001</v>
      </c>
      <c r="D355" s="10">
        <f t="shared" si="36"/>
        <v>0.17000000001280569</v>
      </c>
      <c r="E355" s="10">
        <f>ROUND((C355-J355)*'Allocation Factors'!$G$34,0)</f>
        <v>167304</v>
      </c>
      <c r="F355" s="10">
        <f>'Sch 5'!C342</f>
        <v>0.17000000001280569</v>
      </c>
      <c r="G355" s="10">
        <f t="shared" si="38"/>
        <v>167304.17000000001</v>
      </c>
      <c r="H355" s="10"/>
      <c r="I355" s="25" t="s">
        <v>358</v>
      </c>
      <c r="J355" s="38"/>
      <c r="K355" s="38"/>
      <c r="L355" s="408">
        <v>5650015</v>
      </c>
    </row>
    <row r="356" spans="1:12" s="21" customFormat="1" ht="14.15" customHeight="1">
      <c r="A356" s="404">
        <f t="shared" si="31"/>
        <v>350</v>
      </c>
      <c r="B356" s="22" t="s">
        <v>766</v>
      </c>
      <c r="C356" s="10">
        <v>98580</v>
      </c>
      <c r="D356" s="10">
        <f t="shared" si="36"/>
        <v>1479</v>
      </c>
      <c r="E356" s="10">
        <f>ROUND(C356*'Allocation Factors'!$G$16,0)</f>
        <v>97101</v>
      </c>
      <c r="F356" s="10">
        <f>'Sch 5'!C343</f>
        <v>1479</v>
      </c>
      <c r="G356" s="10">
        <f t="shared" si="38"/>
        <v>98580</v>
      </c>
      <c r="H356" s="10"/>
      <c r="I356" s="25" t="s">
        <v>342</v>
      </c>
      <c r="J356" s="38"/>
      <c r="K356" s="38"/>
      <c r="L356" s="408">
        <v>5650002</v>
      </c>
    </row>
    <row r="357" spans="1:12" s="21" customFormat="1" ht="14.15" customHeight="1">
      <c r="A357" s="404">
        <f t="shared" si="31"/>
        <v>351</v>
      </c>
      <c r="B357" s="22" t="s">
        <v>1063</v>
      </c>
      <c r="C357" s="10">
        <v>-688801.43000000017</v>
      </c>
      <c r="D357" s="10">
        <f t="shared" si="36"/>
        <v>-688801.43000000017</v>
      </c>
      <c r="E357" s="10">
        <v>0</v>
      </c>
      <c r="F357" s="10">
        <f>'Sch 5'!C344</f>
        <v>0</v>
      </c>
      <c r="G357" s="10">
        <f t="shared" si="38"/>
        <v>0</v>
      </c>
      <c r="H357" s="10"/>
      <c r="I357" s="25" t="s">
        <v>54</v>
      </c>
      <c r="J357" s="38"/>
      <c r="K357" s="38"/>
      <c r="L357" s="102" t="s">
        <v>929</v>
      </c>
    </row>
    <row r="358" spans="1:12" s="21" customFormat="1" ht="24.75" customHeight="1">
      <c r="A358" s="404">
        <f t="shared" si="31"/>
        <v>352</v>
      </c>
      <c r="B358" s="22" t="s">
        <v>212</v>
      </c>
      <c r="C358" s="10">
        <f>1102636.5+3416.25</f>
        <v>1106052.75</v>
      </c>
      <c r="D358" s="10">
        <f>C358-E358</f>
        <v>-46025.25</v>
      </c>
      <c r="E358" s="10">
        <f>ROUND(J358+(C358-J358)*'Allocation Factors'!$G$16,0)</f>
        <v>1152078</v>
      </c>
      <c r="F358" s="10">
        <f>'Sch 5'!C345</f>
        <v>-4154449.85</v>
      </c>
      <c r="G358" s="10">
        <f t="shared" si="38"/>
        <v>-3002371.85</v>
      </c>
      <c r="H358" s="10"/>
      <c r="I358" s="15" t="s">
        <v>342</v>
      </c>
      <c r="J358" s="38">
        <v>4174374.15</v>
      </c>
      <c r="K358" s="410" t="s">
        <v>1059</v>
      </c>
      <c r="L358" s="102" t="s">
        <v>927</v>
      </c>
    </row>
    <row r="359" spans="1:12" ht="14.15" customHeight="1">
      <c r="A359" s="404">
        <f t="shared" si="31"/>
        <v>353</v>
      </c>
      <c r="B359" s="56" t="s">
        <v>213</v>
      </c>
      <c r="C359" s="10">
        <v>250</v>
      </c>
      <c r="D359" s="10">
        <f t="shared" si="36"/>
        <v>4</v>
      </c>
      <c r="E359" s="10">
        <f>ROUND(C359*'Allocation Factors'!$G$16,0)</f>
        <v>246</v>
      </c>
      <c r="F359" s="10">
        <f>'Sch 5'!C346</f>
        <v>4</v>
      </c>
      <c r="G359" s="10">
        <f t="shared" si="38"/>
        <v>250</v>
      </c>
      <c r="H359" s="10"/>
      <c r="I359" s="15" t="s">
        <v>342</v>
      </c>
      <c r="J359" s="38"/>
      <c r="K359" s="38"/>
      <c r="L359" s="408" t="s">
        <v>928</v>
      </c>
    </row>
    <row r="360" spans="1:12" ht="14.15" customHeight="1">
      <c r="A360" s="404">
        <f t="shared" si="31"/>
        <v>354</v>
      </c>
      <c r="B360" s="20" t="s">
        <v>487</v>
      </c>
      <c r="C360" s="80">
        <f>SUM(C348:C359)</f>
        <v>88933481.180000022</v>
      </c>
      <c r="D360" s="80">
        <f>SUM(D348:D359)</f>
        <v>-662884.81999997725</v>
      </c>
      <c r="E360" s="80">
        <f>SUM(E348:E359)</f>
        <v>89596366</v>
      </c>
      <c r="F360" s="80">
        <f>SUM(F348:F359)</f>
        <v>1641460.8200000231</v>
      </c>
      <c r="G360" s="80">
        <f>SUM(G348:G359)</f>
        <v>91237826.820000038</v>
      </c>
      <c r="H360" s="80"/>
      <c r="I360" s="141"/>
      <c r="J360" s="38"/>
      <c r="K360" s="38"/>
      <c r="L360" s="408"/>
    </row>
    <row r="361" spans="1:12" ht="14.15" customHeight="1">
      <c r="A361" s="404">
        <f t="shared" si="31"/>
        <v>355</v>
      </c>
      <c r="B361" s="123"/>
      <c r="C361" s="16"/>
      <c r="D361" s="16"/>
      <c r="E361" s="16"/>
      <c r="F361" s="16"/>
      <c r="G361" s="43"/>
      <c r="H361" s="43"/>
      <c r="I361" s="15"/>
      <c r="J361" s="38"/>
      <c r="K361" s="38"/>
      <c r="L361" s="408"/>
    </row>
    <row r="362" spans="1:12" ht="14.15" customHeight="1">
      <c r="A362" s="404">
        <f t="shared" si="31"/>
        <v>356</v>
      </c>
      <c r="B362" s="20" t="s">
        <v>215</v>
      </c>
      <c r="C362" s="16"/>
      <c r="D362" s="16"/>
      <c r="E362" s="16"/>
      <c r="F362" s="16"/>
      <c r="G362" s="10"/>
      <c r="H362" s="10"/>
      <c r="I362" s="15"/>
      <c r="J362" s="38"/>
      <c r="K362" s="38"/>
      <c r="L362" s="408"/>
    </row>
    <row r="363" spans="1:12" ht="14.15" customHeight="1">
      <c r="A363" s="404">
        <f t="shared" si="31"/>
        <v>357</v>
      </c>
      <c r="B363" s="22" t="s">
        <v>216</v>
      </c>
      <c r="C363" s="10">
        <v>15020.86</v>
      </c>
      <c r="D363" s="10">
        <f t="shared" ref="D363:D369" si="39">C363-E363</f>
        <v>224.86000000000058</v>
      </c>
      <c r="E363" s="10">
        <f>ROUND(C363*'Allocation Factors'!$G$16,0)</f>
        <v>14796</v>
      </c>
      <c r="F363" s="10">
        <f>'Sch 5'!C350</f>
        <v>224.86000000000058</v>
      </c>
      <c r="G363" s="10">
        <f t="shared" ref="G363:G369" si="40">E363+F363</f>
        <v>15020.86</v>
      </c>
      <c r="H363" s="10"/>
      <c r="I363" s="15" t="s">
        <v>342</v>
      </c>
      <c r="J363" s="38"/>
      <c r="K363" s="38"/>
      <c r="L363" s="408">
        <v>5680000</v>
      </c>
    </row>
    <row r="364" spans="1:12" ht="14.15" customHeight="1">
      <c r="A364" s="404">
        <f t="shared" si="31"/>
        <v>358</v>
      </c>
      <c r="B364" s="22" t="s">
        <v>217</v>
      </c>
      <c r="C364" s="10">
        <f>28312.61+7007.11+183984+4217.9</f>
        <v>223521.62</v>
      </c>
      <c r="D364" s="10">
        <f t="shared" si="39"/>
        <v>3352.6199999999953</v>
      </c>
      <c r="E364" s="10">
        <f>ROUND(C364*'Allocation Factors'!$G$16,0)</f>
        <v>220169</v>
      </c>
      <c r="F364" s="10">
        <f>'Sch 5'!C351</f>
        <v>3352.6199999999953</v>
      </c>
      <c r="G364" s="10">
        <f t="shared" si="40"/>
        <v>223521.62</v>
      </c>
      <c r="H364" s="10"/>
      <c r="I364" s="15" t="s">
        <v>342</v>
      </c>
      <c r="J364" s="38"/>
      <c r="K364" s="38"/>
      <c r="L364" s="408" t="s">
        <v>924</v>
      </c>
    </row>
    <row r="365" spans="1:12" ht="14.15" customHeight="1">
      <c r="A365" s="404">
        <f t="shared" si="31"/>
        <v>359</v>
      </c>
      <c r="B365" s="22" t="s">
        <v>218</v>
      </c>
      <c r="C365" s="10">
        <v>513673.12</v>
      </c>
      <c r="D365" s="10">
        <f t="shared" si="39"/>
        <v>7705.1199999999953</v>
      </c>
      <c r="E365" s="10">
        <f>ROUND(C365*'Allocation Factors'!$G$16,0)</f>
        <v>505968</v>
      </c>
      <c r="F365" s="10">
        <f>'Sch 5'!C352</f>
        <v>7705.1199999999953</v>
      </c>
      <c r="G365" s="10">
        <f t="shared" si="40"/>
        <v>513673.12</v>
      </c>
      <c r="H365" s="10"/>
      <c r="I365" s="15" t="s">
        <v>342</v>
      </c>
      <c r="J365" s="38"/>
      <c r="K365" s="38"/>
      <c r="L365" s="408">
        <v>5700000</v>
      </c>
    </row>
    <row r="366" spans="1:12" ht="14.15" customHeight="1">
      <c r="A366" s="404">
        <f t="shared" si="31"/>
        <v>360</v>
      </c>
      <c r="B366" s="22" t="s">
        <v>219</v>
      </c>
      <c r="C366" s="10">
        <v>5877447.3799999999</v>
      </c>
      <c r="D366" s="10">
        <f t="shared" si="39"/>
        <v>88161.379999999888</v>
      </c>
      <c r="E366" s="10">
        <f>ROUND(C366*'Allocation Factors'!$G$16,0)</f>
        <v>5789286</v>
      </c>
      <c r="F366" s="10">
        <f>'Sch 5'!C353</f>
        <v>88581.909999999887</v>
      </c>
      <c r="G366" s="10">
        <f t="shared" si="40"/>
        <v>5877867.9100000001</v>
      </c>
      <c r="H366" s="10"/>
      <c r="I366" s="15" t="s">
        <v>342</v>
      </c>
      <c r="J366" s="38"/>
      <c r="K366" s="38"/>
      <c r="L366" s="408">
        <v>5710000</v>
      </c>
    </row>
    <row r="367" spans="1:12" ht="14.15" customHeight="1">
      <c r="A367" s="404">
        <f t="shared" si="31"/>
        <v>361</v>
      </c>
      <c r="B367" s="22" t="s">
        <v>220</v>
      </c>
      <c r="C367" s="10">
        <v>117.13999999999999</v>
      </c>
      <c r="D367" s="10">
        <f t="shared" si="39"/>
        <v>2.1399999999999864</v>
      </c>
      <c r="E367" s="10">
        <f>ROUND(C367*'Allocation Factors'!$G$16,0)</f>
        <v>115</v>
      </c>
      <c r="F367" s="10">
        <f>'Sch 5'!C354</f>
        <v>2.1399999999999864</v>
      </c>
      <c r="G367" s="10">
        <f t="shared" si="40"/>
        <v>117.13999999999999</v>
      </c>
      <c r="H367" s="10"/>
      <c r="I367" s="15" t="s">
        <v>342</v>
      </c>
      <c r="J367" s="38"/>
      <c r="K367" s="38"/>
      <c r="L367" s="408">
        <v>5720000</v>
      </c>
    </row>
    <row r="368" spans="1:12" ht="14.15" customHeight="1">
      <c r="A368" s="404">
        <f t="shared" si="31"/>
        <v>362</v>
      </c>
      <c r="B368" s="22" t="s">
        <v>221</v>
      </c>
      <c r="C368" s="10">
        <v>9240.2800000000007</v>
      </c>
      <c r="D368" s="10">
        <f t="shared" si="39"/>
        <v>138.28000000000065</v>
      </c>
      <c r="E368" s="10">
        <f>ROUND(C368*'Allocation Factors'!$G$16,0)</f>
        <v>9102</v>
      </c>
      <c r="F368" s="10">
        <f>'Sch 5'!C355</f>
        <v>138.28000000000065</v>
      </c>
      <c r="G368" s="10">
        <f t="shared" si="40"/>
        <v>9240.2800000000007</v>
      </c>
      <c r="H368" s="10"/>
      <c r="I368" s="15" t="s">
        <v>342</v>
      </c>
      <c r="J368" s="38"/>
      <c r="K368" s="38"/>
      <c r="L368" s="408">
        <v>5730000</v>
      </c>
    </row>
    <row r="369" spans="1:18" ht="14.15" customHeight="1">
      <c r="A369" s="404">
        <f t="shared" si="31"/>
        <v>363</v>
      </c>
      <c r="B369" s="56" t="s">
        <v>222</v>
      </c>
      <c r="C369" s="10">
        <f>75523.92+1323541.1</f>
        <v>1399065.02</v>
      </c>
      <c r="D369" s="10">
        <f t="shared" si="39"/>
        <v>20986.020000000019</v>
      </c>
      <c r="E369" s="10">
        <f>ROUND(C369*'Allocation Factors'!$G$16,0)</f>
        <v>1378079</v>
      </c>
      <c r="F369" s="64">
        <f>'Sch 5'!C356</f>
        <v>20986.020000000019</v>
      </c>
      <c r="G369" s="10">
        <f t="shared" si="40"/>
        <v>1399065.02</v>
      </c>
      <c r="H369" s="10"/>
      <c r="I369" s="15" t="s">
        <v>342</v>
      </c>
      <c r="J369" s="38"/>
      <c r="K369" s="38"/>
      <c r="L369" s="408" t="s">
        <v>925</v>
      </c>
    </row>
    <row r="370" spans="1:18" ht="14.15" customHeight="1">
      <c r="A370" s="404">
        <f t="shared" si="31"/>
        <v>364</v>
      </c>
      <c r="B370" s="20" t="s">
        <v>488</v>
      </c>
      <c r="C370" s="154">
        <f>SUM(C363:C369)</f>
        <v>8038085.4199999999</v>
      </c>
      <c r="D370" s="154">
        <f>SUM(D363:D369)</f>
        <v>120570.4199999999</v>
      </c>
      <c r="E370" s="154">
        <f>SUM(E363:E369)</f>
        <v>7917515</v>
      </c>
      <c r="F370" s="10">
        <f>SUM(F363:F369)</f>
        <v>120990.9499999999</v>
      </c>
      <c r="G370" s="155">
        <f>SUM(G363:G369)</f>
        <v>8038505.9499999993</v>
      </c>
      <c r="H370" s="155"/>
      <c r="I370" s="141"/>
      <c r="J370" s="38"/>
      <c r="K370" s="38"/>
      <c r="L370" s="408"/>
    </row>
    <row r="371" spans="1:18" ht="14.15" customHeight="1">
      <c r="A371" s="404">
        <f t="shared" si="31"/>
        <v>365</v>
      </c>
      <c r="B371" s="57"/>
      <c r="C371" s="145"/>
      <c r="D371" s="145"/>
      <c r="E371" s="145"/>
      <c r="F371" s="145"/>
      <c r="G371" s="64"/>
      <c r="H371" s="64"/>
      <c r="I371" s="129"/>
      <c r="J371" s="38"/>
      <c r="K371" s="38"/>
      <c r="L371" s="408"/>
    </row>
    <row r="372" spans="1:18" ht="14.15" customHeight="1">
      <c r="A372" s="404">
        <f t="shared" si="31"/>
        <v>366</v>
      </c>
      <c r="B372" s="20" t="s">
        <v>489</v>
      </c>
      <c r="C372" s="156">
        <f>C360+C370</f>
        <v>96971566.600000024</v>
      </c>
      <c r="D372" s="156">
        <f>D360+D370</f>
        <v>-542314.39999997732</v>
      </c>
      <c r="E372" s="156">
        <f>E360+E370</f>
        <v>97513881</v>
      </c>
      <c r="F372" s="10">
        <f>F360+F370</f>
        <v>1762451.7700000231</v>
      </c>
      <c r="G372" s="156">
        <f>G360+G370</f>
        <v>99276332.770000041</v>
      </c>
      <c r="H372" s="12"/>
      <c r="I372" s="17"/>
      <c r="J372" s="38"/>
      <c r="K372" s="38"/>
      <c r="L372" s="408"/>
    </row>
    <row r="373" spans="1:18" ht="14.15" customHeight="1">
      <c r="A373" s="404">
        <f t="shared" si="31"/>
        <v>367</v>
      </c>
      <c r="B373" s="123"/>
      <c r="C373" s="16"/>
      <c r="D373" s="16"/>
      <c r="E373" s="12"/>
      <c r="F373" s="16"/>
      <c r="G373" s="43"/>
      <c r="H373" s="43"/>
      <c r="I373" s="15"/>
      <c r="J373" s="38"/>
      <c r="K373" s="38"/>
      <c r="L373" s="408"/>
      <c r="Q373" s="21"/>
      <c r="R373" s="21"/>
    </row>
    <row r="374" spans="1:18" ht="14.15" customHeight="1">
      <c r="A374" s="404">
        <f t="shared" si="31"/>
        <v>368</v>
      </c>
      <c r="B374" s="13" t="s">
        <v>225</v>
      </c>
      <c r="C374" s="43"/>
      <c r="D374" s="43"/>
      <c r="E374" s="43"/>
      <c r="F374" s="10"/>
      <c r="G374" s="10"/>
      <c r="H374" s="10"/>
      <c r="I374" s="15"/>
      <c r="J374" s="38"/>
      <c r="K374" s="38"/>
      <c r="L374" s="408"/>
      <c r="Q374" s="21"/>
      <c r="R374" s="21"/>
    </row>
    <row r="375" spans="1:18" ht="14.15" customHeight="1">
      <c r="A375" s="404">
        <f t="shared" si="31"/>
        <v>369</v>
      </c>
      <c r="B375" s="22" t="s">
        <v>226</v>
      </c>
      <c r="C375" s="10">
        <v>1451741.1800000002</v>
      </c>
      <c r="D375" s="43">
        <f t="shared" ref="D375:D384" si="41">C375-E375</f>
        <v>1452.1800000001676</v>
      </c>
      <c r="E375" s="43">
        <f>ROUND(C375*'Allocation Factors'!$G$18,0)</f>
        <v>1450289</v>
      </c>
      <c r="F375" s="10">
        <f>'Sch 5'!C362</f>
        <v>29762.210000000166</v>
      </c>
      <c r="G375" s="10">
        <f t="shared" ref="G375:G384" si="42">E375+F375</f>
        <v>1480051.2100000002</v>
      </c>
      <c r="H375" s="10"/>
      <c r="I375" s="193" t="s">
        <v>344</v>
      </c>
      <c r="J375" s="38"/>
      <c r="K375" s="38"/>
      <c r="L375" s="408">
        <v>5800000</v>
      </c>
      <c r="Q375" s="21"/>
      <c r="R375" s="21"/>
    </row>
    <row r="376" spans="1:18" ht="14.15" customHeight="1">
      <c r="A376" s="404">
        <f t="shared" si="31"/>
        <v>370</v>
      </c>
      <c r="B376" s="22" t="s">
        <v>227</v>
      </c>
      <c r="C376" s="10">
        <v>2863.7200000000003</v>
      </c>
      <c r="D376" s="43">
        <f t="shared" si="41"/>
        <v>2.7200000000002547</v>
      </c>
      <c r="E376" s="43">
        <f>ROUND(C376*'Allocation Factors'!$G$18,0)</f>
        <v>2861</v>
      </c>
      <c r="F376" s="10">
        <f>'Sch 5'!C363</f>
        <v>2.7200000000002547</v>
      </c>
      <c r="G376" s="10">
        <f t="shared" si="42"/>
        <v>2863.7200000000003</v>
      </c>
      <c r="H376" s="10"/>
      <c r="I376" s="193" t="s">
        <v>344</v>
      </c>
      <c r="J376" s="38"/>
      <c r="K376" s="38"/>
      <c r="L376" s="408">
        <v>5810000</v>
      </c>
      <c r="Q376" s="21"/>
      <c r="R376" s="21"/>
    </row>
    <row r="377" spans="1:18" ht="14.15" customHeight="1">
      <c r="A377" s="404">
        <f t="shared" si="31"/>
        <v>371</v>
      </c>
      <c r="B377" s="22" t="s">
        <v>228</v>
      </c>
      <c r="C377" s="10">
        <v>370025.66000000003</v>
      </c>
      <c r="D377" s="43">
        <f t="shared" si="41"/>
        <v>369.6600000000326</v>
      </c>
      <c r="E377" s="43">
        <f>ROUND(C377*'Allocation Factors'!$G$18,0)</f>
        <v>369656</v>
      </c>
      <c r="F377" s="10">
        <f>'Sch 5'!C364</f>
        <v>369.6600000000326</v>
      </c>
      <c r="G377" s="10">
        <f t="shared" si="42"/>
        <v>370025.66000000003</v>
      </c>
      <c r="H377" s="10"/>
      <c r="I377" s="193" t="s">
        <v>344</v>
      </c>
      <c r="J377" s="38"/>
      <c r="K377" s="38"/>
      <c r="L377" s="408">
        <v>5820000</v>
      </c>
      <c r="Q377" s="21"/>
      <c r="R377" s="21"/>
    </row>
    <row r="378" spans="1:18" ht="14.15" customHeight="1">
      <c r="A378" s="404">
        <f t="shared" si="31"/>
        <v>372</v>
      </c>
      <c r="B378" s="22" t="s">
        <v>229</v>
      </c>
      <c r="C378" s="10">
        <v>723606.94000000006</v>
      </c>
      <c r="D378" s="43">
        <f t="shared" si="41"/>
        <v>723.94000000006054</v>
      </c>
      <c r="E378" s="43">
        <f>ROUND(C378*'Allocation Factors'!$G$18,0)</f>
        <v>722883</v>
      </c>
      <c r="F378" s="10">
        <f>'Sch 5'!C365</f>
        <v>30095.290000000066</v>
      </c>
      <c r="G378" s="10">
        <f t="shared" si="42"/>
        <v>752978.29</v>
      </c>
      <c r="H378" s="10"/>
      <c r="I378" s="193" t="s">
        <v>344</v>
      </c>
      <c r="J378" s="38"/>
      <c r="K378" s="38"/>
      <c r="L378" s="408">
        <v>5830000</v>
      </c>
      <c r="Q378" s="21"/>
      <c r="R378" s="21"/>
    </row>
    <row r="379" spans="1:18" ht="14.15" customHeight="1">
      <c r="A379" s="404">
        <f t="shared" si="31"/>
        <v>373</v>
      </c>
      <c r="B379" s="22" t="s">
        <v>230</v>
      </c>
      <c r="C379" s="10">
        <v>362840.37</v>
      </c>
      <c r="D379" s="43">
        <f t="shared" si="41"/>
        <v>362.36999999999534</v>
      </c>
      <c r="E379" s="43">
        <f>ROUND(C379*'Allocation Factors'!$G$18,0)</f>
        <v>362478</v>
      </c>
      <c r="F379" s="10">
        <f>'Sch 5'!C366</f>
        <v>432.5399999999953</v>
      </c>
      <c r="G379" s="10">
        <f t="shared" si="42"/>
        <v>362910.54</v>
      </c>
      <c r="H379" s="10"/>
      <c r="I379" s="193" t="s">
        <v>344</v>
      </c>
      <c r="J379" s="38"/>
      <c r="K379" s="38"/>
      <c r="L379" s="408">
        <v>5840000</v>
      </c>
      <c r="Q379" s="21"/>
      <c r="R379" s="21"/>
    </row>
    <row r="380" spans="1:18" ht="14.15" customHeight="1">
      <c r="A380" s="404">
        <f t="shared" si="31"/>
        <v>374</v>
      </c>
      <c r="B380" s="22" t="s">
        <v>231</v>
      </c>
      <c r="C380" s="10">
        <v>32898.18</v>
      </c>
      <c r="D380" s="43">
        <f t="shared" si="41"/>
        <v>33.180000000000291</v>
      </c>
      <c r="E380" s="43">
        <f>ROUND(C380*'Allocation Factors'!$G$18,0)</f>
        <v>32865</v>
      </c>
      <c r="F380" s="10">
        <f>'Sch 5'!C367</f>
        <v>561.38000000000022</v>
      </c>
      <c r="G380" s="10">
        <f t="shared" si="42"/>
        <v>33426.379999999997</v>
      </c>
      <c r="H380" s="10"/>
      <c r="I380" s="193" t="s">
        <v>344</v>
      </c>
      <c r="J380" s="38"/>
      <c r="K380" s="38"/>
      <c r="L380" s="408">
        <v>5850000</v>
      </c>
      <c r="Q380" s="21"/>
      <c r="R380" s="21"/>
    </row>
    <row r="381" spans="1:18" ht="14.15" customHeight="1">
      <c r="A381" s="404">
        <f t="shared" si="31"/>
        <v>375</v>
      </c>
      <c r="B381" s="22" t="s">
        <v>232</v>
      </c>
      <c r="C381" s="10">
        <v>1216051.4099999999</v>
      </c>
      <c r="D381" s="43">
        <f t="shared" si="41"/>
        <v>1216.4099999999162</v>
      </c>
      <c r="E381" s="43">
        <f>ROUND(C381*'Allocation Factors'!$G$18,0)</f>
        <v>1214835</v>
      </c>
      <c r="F381" s="10">
        <f>'Sch 5'!C368</f>
        <v>139907.47999999992</v>
      </c>
      <c r="G381" s="10">
        <f t="shared" si="42"/>
        <v>1354742.48</v>
      </c>
      <c r="H381" s="10"/>
      <c r="I381" s="193" t="s">
        <v>344</v>
      </c>
      <c r="J381" s="38"/>
      <c r="K381" s="38"/>
      <c r="L381" s="408">
        <v>5860000</v>
      </c>
      <c r="Q381" s="21"/>
      <c r="R381" s="21"/>
    </row>
    <row r="382" spans="1:18" ht="14.15" customHeight="1">
      <c r="A382" s="404">
        <f t="shared" ref="A382:A445" si="43">+A381+1</f>
        <v>376</v>
      </c>
      <c r="B382" s="22" t="s">
        <v>233</v>
      </c>
      <c r="C382" s="10">
        <v>159098.14000000001</v>
      </c>
      <c r="D382" s="43">
        <f t="shared" si="41"/>
        <v>159.14000000001397</v>
      </c>
      <c r="E382" s="43">
        <f>ROUND(C382*'Allocation Factors'!$G$18,0)</f>
        <v>158939</v>
      </c>
      <c r="F382" s="10">
        <f>'Sch 5'!C369</f>
        <v>17927.960000000014</v>
      </c>
      <c r="G382" s="10">
        <f t="shared" si="42"/>
        <v>176866.96000000002</v>
      </c>
      <c r="H382" s="10"/>
      <c r="I382" s="193" t="s">
        <v>344</v>
      </c>
      <c r="J382" s="38"/>
      <c r="K382" s="38"/>
      <c r="L382" s="408">
        <v>5870000</v>
      </c>
      <c r="Q382" s="21"/>
      <c r="R382" s="21"/>
    </row>
    <row r="383" spans="1:18" s="21" customFormat="1" ht="14.15" customHeight="1">
      <c r="A383" s="404">
        <f t="shared" si="43"/>
        <v>377</v>
      </c>
      <c r="B383" s="22" t="s">
        <v>234</v>
      </c>
      <c r="C383" s="10">
        <v>5777410.3990000002</v>
      </c>
      <c r="D383" s="43">
        <f t="shared" si="41"/>
        <v>5777.3990000002086</v>
      </c>
      <c r="E383" s="43">
        <f>ROUND(C383*'Allocation Factors'!$G$18,0)</f>
        <v>5771633</v>
      </c>
      <c r="F383" s="10">
        <f>'Sch 5'!C370</f>
        <v>-1947796.9309999996</v>
      </c>
      <c r="G383" s="10">
        <f t="shared" si="42"/>
        <v>3823836.0690000001</v>
      </c>
      <c r="H383" s="10"/>
      <c r="I383" s="193" t="s">
        <v>344</v>
      </c>
      <c r="J383" s="38"/>
      <c r="K383" s="38"/>
      <c r="L383" s="408">
        <v>5880000</v>
      </c>
      <c r="M383" s="83"/>
      <c r="N383" s="83"/>
      <c r="O383" s="83"/>
      <c r="P383" s="83"/>
    </row>
    <row r="384" spans="1:18" s="21" customFormat="1" ht="14.15" customHeight="1">
      <c r="A384" s="404">
        <f t="shared" si="43"/>
        <v>378</v>
      </c>
      <c r="B384" s="56" t="s">
        <v>235</v>
      </c>
      <c r="C384" s="10">
        <f>1048774.45+56509.7</f>
        <v>1105284.1499999999</v>
      </c>
      <c r="D384" s="43">
        <f t="shared" si="41"/>
        <v>1105.1499999999069</v>
      </c>
      <c r="E384" s="43">
        <f>ROUND(C384*'Allocation Factors'!$G$18,0)</f>
        <v>1104179</v>
      </c>
      <c r="F384" s="10">
        <f>'Sch 5'!C371</f>
        <v>22253.229999999909</v>
      </c>
      <c r="G384" s="10">
        <f t="shared" si="42"/>
        <v>1126432.23</v>
      </c>
      <c r="H384" s="10"/>
      <c r="I384" s="193" t="s">
        <v>344</v>
      </c>
      <c r="J384" s="38"/>
      <c r="K384" s="38"/>
      <c r="L384" s="408" t="s">
        <v>923</v>
      </c>
      <c r="M384" s="83"/>
      <c r="N384" s="83"/>
      <c r="O384" s="83"/>
      <c r="P384" s="83"/>
    </row>
    <row r="385" spans="1:15" ht="14.15" customHeight="1">
      <c r="A385" s="404">
        <f t="shared" si="43"/>
        <v>379</v>
      </c>
      <c r="B385" s="20" t="s">
        <v>490</v>
      </c>
      <c r="C385" s="80">
        <f>SUM(C375:C384)</f>
        <v>11201820.149</v>
      </c>
      <c r="D385" s="80">
        <f>SUM(D375:D384)</f>
        <v>11202.149000000303</v>
      </c>
      <c r="E385" s="80">
        <f>SUM(E375:E384)</f>
        <v>11190618</v>
      </c>
      <c r="F385" s="80">
        <f>SUM(F375:F384)</f>
        <v>-1706484.4609999994</v>
      </c>
      <c r="G385" s="47">
        <f>SUM(G375:G384)</f>
        <v>9484133.5390000008</v>
      </c>
      <c r="H385" s="47"/>
      <c r="I385" s="153"/>
      <c r="J385" s="38"/>
      <c r="K385" s="38"/>
      <c r="L385" s="408"/>
    </row>
    <row r="386" spans="1:15" ht="14.15" customHeight="1">
      <c r="A386" s="404">
        <f t="shared" si="43"/>
        <v>380</v>
      </c>
      <c r="B386" s="157"/>
      <c r="C386" s="16"/>
      <c r="D386" s="16"/>
      <c r="E386" s="124"/>
      <c r="F386" s="16"/>
      <c r="G386" s="43"/>
      <c r="H386" s="43"/>
      <c r="I386" s="15"/>
      <c r="J386" s="38"/>
      <c r="K386" s="38"/>
      <c r="L386" s="408"/>
    </row>
    <row r="387" spans="1:15" ht="14.15" customHeight="1">
      <c r="A387" s="404">
        <f t="shared" si="43"/>
        <v>381</v>
      </c>
      <c r="B387" s="22" t="s">
        <v>236</v>
      </c>
      <c r="C387" s="10">
        <v>57090.82</v>
      </c>
      <c r="D387" s="43">
        <f t="shared" ref="D387:D397" si="44">C387-E387</f>
        <v>56.819999999999709</v>
      </c>
      <c r="E387" s="43">
        <f>ROUND(C387*'Allocation Factors'!$G$18,0)</f>
        <v>57034</v>
      </c>
      <c r="F387" s="10">
        <f>'Sch 5'!C374</f>
        <v>3680.16</v>
      </c>
      <c r="G387" s="10">
        <f t="shared" ref="G387:G397" si="45">E387+F387</f>
        <v>60714.16</v>
      </c>
      <c r="H387" s="10"/>
      <c r="I387" s="193" t="s">
        <v>344</v>
      </c>
      <c r="J387" s="38"/>
      <c r="K387" s="38"/>
      <c r="L387" s="408">
        <v>5900000</v>
      </c>
    </row>
    <row r="388" spans="1:15" ht="14.15" customHeight="1">
      <c r="A388" s="404">
        <f t="shared" si="43"/>
        <v>382</v>
      </c>
      <c r="B388" s="22" t="s">
        <v>237</v>
      </c>
      <c r="C388" s="10">
        <v>14905.810000000001</v>
      </c>
      <c r="D388" s="43">
        <f t="shared" si="44"/>
        <v>14.81000000000131</v>
      </c>
      <c r="E388" s="43">
        <f>ROUND(C388*'Allocation Factors'!$G$18,0)</f>
        <v>14891</v>
      </c>
      <c r="F388" s="10">
        <f>'Sch 5'!C375</f>
        <v>14.81000000000131</v>
      </c>
      <c r="G388" s="10">
        <f t="shared" si="45"/>
        <v>14905.810000000001</v>
      </c>
      <c r="H388" s="10"/>
      <c r="I388" s="193" t="s">
        <v>344</v>
      </c>
      <c r="J388" s="38"/>
      <c r="K388" s="38"/>
      <c r="L388" s="408">
        <v>5910000</v>
      </c>
    </row>
    <row r="389" spans="1:15" ht="13.15" customHeight="1">
      <c r="A389" s="482">
        <f t="shared" si="43"/>
        <v>383</v>
      </c>
      <c r="B389" s="22" t="s">
        <v>238</v>
      </c>
      <c r="C389" s="10">
        <f>531696.83+46259.81+374865.34</f>
        <v>952821.98</v>
      </c>
      <c r="D389" s="43">
        <f t="shared" si="44"/>
        <v>952.97999999998137</v>
      </c>
      <c r="E389" s="43">
        <f>ROUND(C389*'Allocation Factors'!$G$18,0)</f>
        <v>951869</v>
      </c>
      <c r="F389" s="10">
        <f>'Sch 5'!C376</f>
        <v>1025.5799999999813</v>
      </c>
      <c r="G389" s="10">
        <f t="shared" si="45"/>
        <v>952894.58</v>
      </c>
      <c r="H389" s="10"/>
      <c r="I389" s="193" t="s">
        <v>344</v>
      </c>
      <c r="J389" s="38"/>
      <c r="K389" s="38"/>
      <c r="L389" s="482" t="s">
        <v>1128</v>
      </c>
    </row>
    <row r="390" spans="1:15" ht="14.15" customHeight="1">
      <c r="A390" s="482">
        <f t="shared" si="43"/>
        <v>384</v>
      </c>
      <c r="B390" s="22" t="s">
        <v>239</v>
      </c>
      <c r="C390" s="10">
        <v>29277229.737999998</v>
      </c>
      <c r="D390" s="43">
        <f t="shared" si="44"/>
        <v>29276.737999998033</v>
      </c>
      <c r="E390" s="43">
        <f>ROUND(C390*'Allocation Factors'!$G$18,0)</f>
        <v>29247953</v>
      </c>
      <c r="F390" s="10">
        <f>'Sch 5'!C377</f>
        <v>1043496.0479999976</v>
      </c>
      <c r="G390" s="10">
        <f t="shared" si="45"/>
        <v>30291449.047999997</v>
      </c>
      <c r="H390" s="10"/>
      <c r="I390" s="193" t="s">
        <v>344</v>
      </c>
      <c r="J390" s="38"/>
      <c r="K390" s="38"/>
      <c r="L390" s="482">
        <v>5930000</v>
      </c>
    </row>
    <row r="391" spans="1:15" ht="12.75" customHeight="1">
      <c r="A391" s="482">
        <f t="shared" si="43"/>
        <v>385</v>
      </c>
      <c r="B391" s="22" t="s">
        <v>319</v>
      </c>
      <c r="C391" s="10">
        <v>0</v>
      </c>
      <c r="D391" s="43">
        <v>0</v>
      </c>
      <c r="E391" s="43">
        <f>C391</f>
        <v>0</v>
      </c>
      <c r="F391" s="10">
        <f>'Sch 5'!C378</f>
        <v>0</v>
      </c>
      <c r="G391" s="10">
        <f t="shared" si="45"/>
        <v>0</v>
      </c>
      <c r="H391" s="10"/>
      <c r="I391" s="193" t="s">
        <v>1009</v>
      </c>
      <c r="J391" s="38"/>
      <c r="K391" s="38"/>
      <c r="L391" s="482">
        <v>5930010</v>
      </c>
    </row>
    <row r="392" spans="1:15" ht="14.15" customHeight="1">
      <c r="A392" s="482">
        <f t="shared" si="43"/>
        <v>386</v>
      </c>
      <c r="B392" s="22" t="s">
        <v>1013</v>
      </c>
      <c r="C392" s="10">
        <v>400808.07</v>
      </c>
      <c r="D392" s="43">
        <f t="shared" si="44"/>
        <v>401.07000000000698</v>
      </c>
      <c r="E392" s="43">
        <f>ROUND(C392*'Allocation Factors'!$G$18,0)</f>
        <v>400407</v>
      </c>
      <c r="F392" s="10">
        <f>'Sch 5'!C379</f>
        <v>-6159560.7300000004</v>
      </c>
      <c r="G392" s="10">
        <f t="shared" si="45"/>
        <v>-5759153.7300000004</v>
      </c>
      <c r="H392" s="10"/>
      <c r="I392" s="193" t="s">
        <v>344</v>
      </c>
      <c r="J392" s="38"/>
      <c r="K392" s="38"/>
      <c r="L392" s="482">
        <v>5930001</v>
      </c>
    </row>
    <row r="393" spans="1:15" ht="14.15" customHeight="1">
      <c r="A393" s="482">
        <f t="shared" si="43"/>
        <v>387</v>
      </c>
      <c r="B393" s="22" t="s">
        <v>241</v>
      </c>
      <c r="C393" s="10">
        <v>33645.07</v>
      </c>
      <c r="D393" s="43">
        <f t="shared" si="44"/>
        <v>34.069999999999709</v>
      </c>
      <c r="E393" s="43">
        <f>ROUND(C393*'Allocation Factors'!$G$18,0)</f>
        <v>33611</v>
      </c>
      <c r="F393" s="10">
        <f>'Sch 5'!C380</f>
        <v>774.66999999999985</v>
      </c>
      <c r="G393" s="10">
        <f t="shared" si="45"/>
        <v>34385.67</v>
      </c>
      <c r="H393" s="10"/>
      <c r="I393" s="193" t="s">
        <v>344</v>
      </c>
      <c r="J393" s="38"/>
      <c r="K393" s="38"/>
      <c r="L393" s="482">
        <v>5940000</v>
      </c>
    </row>
    <row r="394" spans="1:15" ht="14.15" customHeight="1">
      <c r="A394" s="404">
        <f t="shared" si="43"/>
        <v>388</v>
      </c>
      <c r="B394" s="22" t="s">
        <v>242</v>
      </c>
      <c r="C394" s="10">
        <v>7710.4000000000005</v>
      </c>
      <c r="D394" s="43">
        <f t="shared" si="44"/>
        <v>7.4000000000005457</v>
      </c>
      <c r="E394" s="43">
        <f>ROUND(C394*'Allocation Factors'!$G$18,0)</f>
        <v>7703</v>
      </c>
      <c r="F394" s="10">
        <f>'Sch 5'!C381</f>
        <v>385.67000000000053</v>
      </c>
      <c r="G394" s="10">
        <f t="shared" si="45"/>
        <v>8088.67</v>
      </c>
      <c r="H394" s="10"/>
      <c r="I394" s="193" t="s">
        <v>344</v>
      </c>
      <c r="J394" s="38"/>
      <c r="K394" s="38"/>
      <c r="L394" s="408">
        <v>5950000</v>
      </c>
    </row>
    <row r="395" spans="1:15" s="21" customFormat="1" ht="14.15" customHeight="1">
      <c r="A395" s="404">
        <f t="shared" si="43"/>
        <v>389</v>
      </c>
      <c r="B395" s="22" t="s">
        <v>243</v>
      </c>
      <c r="C395" s="10">
        <v>7686.97</v>
      </c>
      <c r="D395" s="43">
        <f t="shared" si="44"/>
        <v>7.9700000000002547</v>
      </c>
      <c r="E395" s="43">
        <f>ROUND(C395*'Allocation Factors'!$G$18,0)</f>
        <v>7679</v>
      </c>
      <c r="F395" s="10">
        <f>'Sch 5'!C382</f>
        <v>439.25000000000028</v>
      </c>
      <c r="G395" s="10">
        <f t="shared" si="45"/>
        <v>8118.25</v>
      </c>
      <c r="H395" s="10"/>
      <c r="I395" s="193" t="s">
        <v>344</v>
      </c>
      <c r="J395" s="38"/>
      <c r="K395" s="38"/>
      <c r="L395" s="408">
        <v>5960000</v>
      </c>
      <c r="M395" s="83"/>
      <c r="N395" s="83"/>
      <c r="O395" s="83"/>
    </row>
    <row r="396" spans="1:15" ht="14.15" customHeight="1">
      <c r="A396" s="404">
        <f t="shared" si="43"/>
        <v>390</v>
      </c>
      <c r="B396" s="22" t="s">
        <v>244</v>
      </c>
      <c r="C396" s="10">
        <v>41552.770000000004</v>
      </c>
      <c r="D396" s="43">
        <f t="shared" si="44"/>
        <v>41.770000000004075</v>
      </c>
      <c r="E396" s="43">
        <f>ROUND(C396*'Allocation Factors'!$G$18,0)</f>
        <v>41511</v>
      </c>
      <c r="F396" s="10">
        <f>'Sch 5'!C383</f>
        <v>6075.9300000000039</v>
      </c>
      <c r="G396" s="10">
        <f t="shared" si="45"/>
        <v>47586.930000000008</v>
      </c>
      <c r="H396" s="10"/>
      <c r="I396" s="193" t="s">
        <v>344</v>
      </c>
      <c r="J396" s="38"/>
      <c r="K396" s="38"/>
      <c r="L396" s="408">
        <v>5970000</v>
      </c>
    </row>
    <row r="397" spans="1:15" ht="14.15" customHeight="1">
      <c r="A397" s="404">
        <f t="shared" si="43"/>
        <v>391</v>
      </c>
      <c r="B397" s="56" t="s">
        <v>245</v>
      </c>
      <c r="C397" s="10">
        <v>27546.43</v>
      </c>
      <c r="D397" s="43">
        <f t="shared" si="44"/>
        <v>27.430000000000291</v>
      </c>
      <c r="E397" s="43">
        <f>ROUND(C397*'Allocation Factors'!$G$18,0)</f>
        <v>27519</v>
      </c>
      <c r="F397" s="10">
        <f>'Sch 5'!C384</f>
        <v>48.58000000000029</v>
      </c>
      <c r="G397" s="10">
        <f t="shared" si="45"/>
        <v>27567.58</v>
      </c>
      <c r="H397" s="10"/>
      <c r="I397" s="193" t="s">
        <v>344</v>
      </c>
      <c r="J397" s="38"/>
      <c r="K397" s="38"/>
      <c r="L397" s="408">
        <v>5980000</v>
      </c>
    </row>
    <row r="398" spans="1:15" ht="14.15" customHeight="1">
      <c r="A398" s="404">
        <f t="shared" si="43"/>
        <v>392</v>
      </c>
      <c r="B398" s="20" t="s">
        <v>491</v>
      </c>
      <c r="C398" s="47">
        <f>SUM(C387:C397)</f>
        <v>30820998.057999995</v>
      </c>
      <c r="D398" s="80">
        <f>SUM(D387:D397)</f>
        <v>30821.057999998029</v>
      </c>
      <c r="E398" s="80">
        <f>SUM(E387:E397)</f>
        <v>30790177</v>
      </c>
      <c r="F398" s="80">
        <f>SUM(F387:F397)</f>
        <v>-5103620.0320000034</v>
      </c>
      <c r="G398" s="80">
        <f>SUM(G387:G397)</f>
        <v>25686556.967999998</v>
      </c>
      <c r="H398" s="80"/>
      <c r="I398" s="141"/>
      <c r="J398" s="38"/>
      <c r="K398" s="38"/>
      <c r="L398" s="408"/>
    </row>
    <row r="399" spans="1:15" ht="14.15" customHeight="1">
      <c r="A399" s="404">
        <f t="shared" si="43"/>
        <v>393</v>
      </c>
      <c r="B399" s="158"/>
      <c r="C399" s="64"/>
      <c r="D399" s="145"/>
      <c r="E399" s="58"/>
      <c r="F399" s="145"/>
      <c r="G399" s="64"/>
      <c r="H399" s="64"/>
      <c r="I399" s="129"/>
      <c r="J399" s="38"/>
      <c r="K399" s="38"/>
      <c r="L399" s="408"/>
    </row>
    <row r="400" spans="1:15" ht="14.15" customHeight="1">
      <c r="A400" s="404">
        <f t="shared" si="43"/>
        <v>394</v>
      </c>
      <c r="B400" s="20" t="s">
        <v>246</v>
      </c>
      <c r="C400" s="16">
        <f>C385+C398</f>
        <v>42022818.206999995</v>
      </c>
      <c r="D400" s="16">
        <f>D385+D398</f>
        <v>42023.206999998336</v>
      </c>
      <c r="E400" s="16">
        <f>E385+E398</f>
        <v>41980795</v>
      </c>
      <c r="F400" s="16">
        <f>F385+F398</f>
        <v>-6810104.4930000026</v>
      </c>
      <c r="G400" s="16">
        <f>G385+G398</f>
        <v>35170690.506999999</v>
      </c>
      <c r="H400" s="16"/>
      <c r="I400" s="17"/>
      <c r="J400" s="38"/>
      <c r="K400" s="38"/>
      <c r="L400" s="408"/>
    </row>
    <row r="401" spans="1:16" ht="14.15" customHeight="1">
      <c r="A401" s="404">
        <f t="shared" si="43"/>
        <v>395</v>
      </c>
      <c r="B401" s="123"/>
      <c r="C401" s="16">
        <f>C330+C370+C398+C442+C443-C369</f>
        <v>63722354.997999996</v>
      </c>
      <c r="D401" s="16">
        <f>D330+D370+D398+D442+D443-D369</f>
        <v>512262.74509999878</v>
      </c>
      <c r="E401" s="16">
        <f>E330+E370+E398+E442+E443-E369</f>
        <v>63210092.252899997</v>
      </c>
      <c r="F401" s="16">
        <f>F330+F370+F398+F442+F443-F369</f>
        <v>-5423356.1849000026</v>
      </c>
      <c r="G401" s="16">
        <f>G330+G370+G398+G442+G443-G369</f>
        <v>57786736.067999996</v>
      </c>
      <c r="H401" s="16"/>
      <c r="I401" s="17"/>
      <c r="J401" s="38"/>
      <c r="K401" s="38"/>
      <c r="L401" s="408"/>
    </row>
    <row r="402" spans="1:16" ht="14.15" customHeight="1">
      <c r="A402" s="404">
        <f t="shared" si="43"/>
        <v>396</v>
      </c>
      <c r="B402" s="13" t="s">
        <v>247</v>
      </c>
      <c r="C402" s="43"/>
      <c r="D402" s="43"/>
      <c r="E402" s="43"/>
      <c r="F402" s="43"/>
      <c r="G402" s="10"/>
      <c r="H402" s="10"/>
      <c r="I402" s="15"/>
      <c r="J402" s="38"/>
      <c r="K402" s="38"/>
      <c r="L402" s="408"/>
    </row>
    <row r="403" spans="1:16" ht="14.15" customHeight="1">
      <c r="A403" s="404">
        <f t="shared" si="43"/>
        <v>397</v>
      </c>
      <c r="B403" s="22" t="s">
        <v>248</v>
      </c>
      <c r="C403" s="10">
        <v>19725.86</v>
      </c>
      <c r="D403" s="43">
        <f t="shared" ref="D403:D408" si="46">C403-E403</f>
        <v>-0.13999999999941792</v>
      </c>
      <c r="E403" s="10">
        <f>ROUND(C403*'Allocation Factors'!$G$36,0)</f>
        <v>19726</v>
      </c>
      <c r="F403" s="10">
        <f>'Sch 5'!C390</f>
        <v>-0.13999999999941792</v>
      </c>
      <c r="G403" s="10">
        <f t="shared" ref="G403:G408" si="47">E403+F403</f>
        <v>19725.86</v>
      </c>
      <c r="H403" s="10"/>
      <c r="I403" s="15" t="s">
        <v>753</v>
      </c>
      <c r="J403" s="38"/>
      <c r="K403" s="38"/>
      <c r="L403" s="408" t="s">
        <v>918</v>
      </c>
    </row>
    <row r="404" spans="1:16" ht="14.15" customHeight="1">
      <c r="A404" s="404">
        <f t="shared" si="43"/>
        <v>398</v>
      </c>
      <c r="B404" s="22" t="s">
        <v>249</v>
      </c>
      <c r="C404" s="10">
        <f>31778.14+328060.96+17993.34</f>
        <v>377832.44000000006</v>
      </c>
      <c r="D404" s="43">
        <f t="shared" si="46"/>
        <v>4.440000000060536</v>
      </c>
      <c r="E404" s="10">
        <f>ROUND(C404*'Allocation Factors'!$G$36,0)</f>
        <v>377828</v>
      </c>
      <c r="F404" s="10">
        <f>'Sch 5'!C391</f>
        <v>30898.460000000057</v>
      </c>
      <c r="G404" s="10">
        <f t="shared" si="47"/>
        <v>408726.46000000008</v>
      </c>
      <c r="H404" s="10"/>
      <c r="I404" s="15" t="s">
        <v>753</v>
      </c>
      <c r="J404" s="65"/>
      <c r="K404" s="65"/>
      <c r="L404" s="409" t="s">
        <v>919</v>
      </c>
    </row>
    <row r="405" spans="1:16" ht="12.5">
      <c r="A405" s="404">
        <f t="shared" si="43"/>
        <v>399</v>
      </c>
      <c r="B405" s="22" t="s">
        <v>250</v>
      </c>
      <c r="C405" s="10">
        <f>329110.12+2767355.99+6866.15+634657.49+54422.83+4105.42+526223.12+304216.44+20118.52</f>
        <v>4647076.08</v>
      </c>
      <c r="D405" s="43">
        <f t="shared" si="46"/>
        <v>57.080000000074506</v>
      </c>
      <c r="E405" s="10">
        <f>ROUND(C405*'Allocation Factors'!$G$36,0)</f>
        <v>4647019</v>
      </c>
      <c r="F405" s="10">
        <f>'Sch 5'!C392</f>
        <v>78715.400000000067</v>
      </c>
      <c r="G405" s="10">
        <f t="shared" si="47"/>
        <v>4725734.4000000004</v>
      </c>
      <c r="H405" s="10"/>
      <c r="I405" s="15" t="s">
        <v>753</v>
      </c>
      <c r="J405" s="65"/>
      <c r="K405" s="65"/>
      <c r="L405" s="478" t="s">
        <v>920</v>
      </c>
    </row>
    <row r="406" spans="1:16" ht="14.15" customHeight="1">
      <c r="A406" s="404">
        <f t="shared" si="43"/>
        <v>400</v>
      </c>
      <c r="B406" s="22" t="s">
        <v>251</v>
      </c>
      <c r="C406" s="10">
        <v>0</v>
      </c>
      <c r="D406" s="43">
        <f t="shared" si="46"/>
        <v>0</v>
      </c>
      <c r="E406" s="10">
        <f>ROUND(C406*'Allocation Factors'!$G$36,0)</f>
        <v>0</v>
      </c>
      <c r="F406" s="10">
        <f>'Sch 5'!C393</f>
        <v>0</v>
      </c>
      <c r="G406" s="10">
        <f t="shared" si="47"/>
        <v>0</v>
      </c>
      <c r="H406" s="10"/>
      <c r="I406" s="15" t="s">
        <v>753</v>
      </c>
      <c r="J406" s="159"/>
      <c r="K406" s="159"/>
      <c r="L406" s="409">
        <v>9040000</v>
      </c>
    </row>
    <row r="407" spans="1:16" s="21" customFormat="1" ht="14.15" customHeight="1">
      <c r="A407" s="404">
        <f t="shared" si="43"/>
        <v>401</v>
      </c>
      <c r="B407" s="22" t="s">
        <v>252</v>
      </c>
      <c r="C407" s="10">
        <v>-57939.54</v>
      </c>
      <c r="D407" s="43">
        <f t="shared" si="46"/>
        <v>-0.54000000000087311</v>
      </c>
      <c r="E407" s="10">
        <f>ROUND(C407*'Allocation Factors'!$G$36,0)</f>
        <v>-57939</v>
      </c>
      <c r="F407" s="10">
        <f>'Sch 5'!C394</f>
        <v>-0.54000000000087311</v>
      </c>
      <c r="G407" s="10">
        <f t="shared" si="47"/>
        <v>-57939.54</v>
      </c>
      <c r="H407" s="10"/>
      <c r="I407" s="15" t="s">
        <v>753</v>
      </c>
      <c r="J407" s="66"/>
      <c r="K407" s="66"/>
      <c r="L407" s="81" t="s">
        <v>921</v>
      </c>
      <c r="M407" s="83"/>
      <c r="N407" s="83"/>
      <c r="O407" s="83"/>
    </row>
    <row r="408" spans="1:16" ht="14.15" customHeight="1">
      <c r="A408" s="404">
        <f t="shared" si="43"/>
        <v>402</v>
      </c>
      <c r="B408" s="56" t="s">
        <v>253</v>
      </c>
      <c r="C408" s="10">
        <v>23591.24</v>
      </c>
      <c r="D408" s="43">
        <f t="shared" si="46"/>
        <v>0.24000000000160071</v>
      </c>
      <c r="E408" s="10">
        <f>ROUND(C408*'Allocation Factors'!$G$36,0)</f>
        <v>23591</v>
      </c>
      <c r="F408" s="10">
        <f>'Sch 5'!C395</f>
        <v>0.24000000000160071</v>
      </c>
      <c r="G408" s="10">
        <f t="shared" si="47"/>
        <v>23591.24</v>
      </c>
      <c r="H408" s="10"/>
      <c r="I408" s="15" t="s">
        <v>753</v>
      </c>
      <c r="J408" s="65"/>
      <c r="K408" s="65"/>
      <c r="L408" s="81" t="s">
        <v>922</v>
      </c>
    </row>
    <row r="409" spans="1:16" ht="14.15" customHeight="1">
      <c r="A409" s="404">
        <f t="shared" si="43"/>
        <v>403</v>
      </c>
      <c r="B409" s="20" t="s">
        <v>492</v>
      </c>
      <c r="C409" s="80">
        <f>SUM(C403:C408)</f>
        <v>5010286.08</v>
      </c>
      <c r="D409" s="80">
        <f>SUM(D403:D408)</f>
        <v>61.080000000136351</v>
      </c>
      <c r="E409" s="80">
        <f>SUM(E403:E408)</f>
        <v>5010225</v>
      </c>
      <c r="F409" s="80">
        <f>SUM(F403:F408)</f>
        <v>109613.42000000011</v>
      </c>
      <c r="G409" s="80">
        <f>SUM(G403:G408)</f>
        <v>5119838.4200000009</v>
      </c>
      <c r="H409" s="80"/>
      <c r="I409" s="141"/>
      <c r="J409" s="38"/>
      <c r="K409" s="38"/>
      <c r="L409" s="408"/>
    </row>
    <row r="410" spans="1:16" ht="14.15" customHeight="1">
      <c r="A410" s="404">
        <f t="shared" si="43"/>
        <v>404</v>
      </c>
      <c r="B410" s="123"/>
      <c r="C410" s="16"/>
      <c r="D410" s="16"/>
      <c r="E410" s="124"/>
      <c r="F410" s="16"/>
      <c r="G410" s="43"/>
      <c r="H410" s="43"/>
      <c r="I410" s="15"/>
      <c r="J410" s="38"/>
      <c r="K410" s="38"/>
      <c r="L410" s="408"/>
    </row>
    <row r="411" spans="1:16" ht="14.15" customHeight="1">
      <c r="A411" s="404">
        <f t="shared" si="43"/>
        <v>405</v>
      </c>
      <c r="B411" s="13" t="s">
        <v>254</v>
      </c>
      <c r="C411" s="43"/>
      <c r="D411" s="43"/>
      <c r="E411" s="43"/>
      <c r="F411" s="43"/>
      <c r="G411" s="10"/>
      <c r="H411" s="10"/>
      <c r="I411" s="15"/>
      <c r="J411" s="38"/>
      <c r="K411" s="38"/>
      <c r="L411" s="408"/>
    </row>
    <row r="412" spans="1:16" ht="14.15" customHeight="1">
      <c r="A412" s="404">
        <f t="shared" si="43"/>
        <v>406</v>
      </c>
      <c r="B412" s="22" t="s">
        <v>255</v>
      </c>
      <c r="C412" s="10">
        <v>33552.620000000003</v>
      </c>
      <c r="D412" s="43">
        <f>C412-E412</f>
        <v>0.62000000000261934</v>
      </c>
      <c r="E412" s="10">
        <f>ROUND(C412*'Allocation Factors'!$G$36,0)</f>
        <v>33552</v>
      </c>
      <c r="F412" s="10">
        <f>'Sch 5'!C399</f>
        <v>1994.3300000000024</v>
      </c>
      <c r="G412" s="10">
        <f>E412+F412</f>
        <v>35546.33</v>
      </c>
      <c r="H412" s="10"/>
      <c r="I412" s="15" t="s">
        <v>753</v>
      </c>
      <c r="J412" s="38"/>
      <c r="K412" s="38"/>
      <c r="L412" s="408" t="s">
        <v>916</v>
      </c>
    </row>
    <row r="413" spans="1:16" ht="13.5" customHeight="1">
      <c r="A413" s="404">
        <f t="shared" si="43"/>
        <v>407</v>
      </c>
      <c r="B413" s="22" t="s">
        <v>256</v>
      </c>
      <c r="C413" s="10">
        <f>1197517.17+21.5+521395.12</f>
        <v>1718933.79</v>
      </c>
      <c r="D413" s="43">
        <f>C413-E413</f>
        <v>2.7900000000372529</v>
      </c>
      <c r="E413" s="10">
        <f>ROUND((J413)+(C413-J413)*'Allocation Factors'!$G$36,0)</f>
        <v>1718931</v>
      </c>
      <c r="F413" s="10">
        <f>'Sch 5'!C400</f>
        <v>-1489654.74</v>
      </c>
      <c r="G413" s="10">
        <f>E413+F413</f>
        <v>229276.26</v>
      </c>
      <c r="H413" s="10"/>
      <c r="I413" s="15" t="s">
        <v>753</v>
      </c>
      <c r="J413" s="10">
        <f>515763.12+628079.1+373893.79</f>
        <v>1517736.01</v>
      </c>
      <c r="K413" s="523" t="s">
        <v>1067</v>
      </c>
      <c r="L413" s="523"/>
      <c r="P413" s="404"/>
    </row>
    <row r="414" spans="1:16" ht="14.15" customHeight="1">
      <c r="A414" s="404">
        <f t="shared" si="43"/>
        <v>408</v>
      </c>
      <c r="B414" s="22" t="s">
        <v>257</v>
      </c>
      <c r="C414" s="10">
        <v>0</v>
      </c>
      <c r="D414" s="43">
        <f>C414-E414</f>
        <v>0</v>
      </c>
      <c r="E414" s="10">
        <f>ROUND(C414*'Allocation Factors'!$G$36,0)</f>
        <v>0</v>
      </c>
      <c r="F414" s="10">
        <f>'Sch 5'!C401</f>
        <v>0</v>
      </c>
      <c r="G414" s="10">
        <f>E414+F414</f>
        <v>0</v>
      </c>
      <c r="H414" s="10"/>
      <c r="I414" s="15" t="s">
        <v>753</v>
      </c>
      <c r="J414" s="38"/>
      <c r="K414" s="38"/>
      <c r="L414" s="408">
        <v>9090000</v>
      </c>
    </row>
    <row r="415" spans="1:16" ht="14.15" customHeight="1">
      <c r="A415" s="404">
        <f t="shared" si="43"/>
        <v>409</v>
      </c>
      <c r="B415" s="56" t="s">
        <v>258</v>
      </c>
      <c r="C415" s="10">
        <v>23919.599999999999</v>
      </c>
      <c r="D415" s="43">
        <f>C415-E415</f>
        <v>0.59999999999854481</v>
      </c>
      <c r="E415" s="10">
        <f>ROUND(C415*'Allocation Factors'!$G$36,0)</f>
        <v>23919</v>
      </c>
      <c r="F415" s="10">
        <f>'Sch 5'!C402</f>
        <v>-7886.8900000000012</v>
      </c>
      <c r="G415" s="10">
        <f>E415+F415</f>
        <v>16032.109999999999</v>
      </c>
      <c r="H415" s="10"/>
      <c r="I415" s="15" t="s">
        <v>753</v>
      </c>
      <c r="J415" s="38"/>
      <c r="K415" s="38"/>
      <c r="L415" s="408" t="s">
        <v>917</v>
      </c>
    </row>
    <row r="416" spans="1:16" ht="14.15" customHeight="1">
      <c r="A416" s="404">
        <f t="shared" si="43"/>
        <v>410</v>
      </c>
      <c r="B416" s="20" t="s">
        <v>493</v>
      </c>
      <c r="C416" s="80">
        <f>SUM(C412:C415)</f>
        <v>1776406.0100000002</v>
      </c>
      <c r="D416" s="80">
        <f>SUM(D411:D415)</f>
        <v>4.0100000000384171</v>
      </c>
      <c r="E416" s="80">
        <f>SUM(E411:E415)</f>
        <v>1776402</v>
      </c>
      <c r="F416" s="80">
        <f>SUM(F411:F415)</f>
        <v>-1495547.2999999998</v>
      </c>
      <c r="G416" s="80">
        <f>SUM(G412:G415)</f>
        <v>280854.7</v>
      </c>
      <c r="H416" s="80"/>
      <c r="I416" s="141"/>
      <c r="J416" s="38"/>
      <c r="K416" s="38"/>
      <c r="L416" s="408"/>
    </row>
    <row r="417" spans="1:12" ht="14.15" customHeight="1">
      <c r="A417" s="404">
        <f t="shared" si="43"/>
        <v>411</v>
      </c>
      <c r="B417" s="123"/>
      <c r="C417" s="16"/>
      <c r="D417" s="16"/>
      <c r="E417" s="124"/>
      <c r="F417" s="16"/>
      <c r="G417" s="43"/>
      <c r="H417" s="43"/>
      <c r="I417" s="15"/>
      <c r="J417" s="38"/>
      <c r="K417" s="38"/>
      <c r="L417" s="408"/>
    </row>
    <row r="418" spans="1:12" ht="14.15" customHeight="1">
      <c r="A418" s="404">
        <f t="shared" si="43"/>
        <v>412</v>
      </c>
      <c r="B418" s="13" t="s">
        <v>259</v>
      </c>
      <c r="C418" s="43"/>
      <c r="D418" s="43"/>
      <c r="E418" s="43"/>
      <c r="F418" s="43"/>
      <c r="G418" s="10"/>
      <c r="H418" s="10"/>
      <c r="I418" s="15"/>
      <c r="J418" s="38"/>
      <c r="K418" s="38"/>
      <c r="L418" s="408"/>
    </row>
    <row r="419" spans="1:12" ht="14.15" customHeight="1">
      <c r="A419" s="404">
        <f t="shared" si="43"/>
        <v>413</v>
      </c>
      <c r="B419" s="22" t="s">
        <v>260</v>
      </c>
      <c r="C419" s="10">
        <v>0</v>
      </c>
      <c r="D419" s="43">
        <f>C419-E419</f>
        <v>0</v>
      </c>
      <c r="E419" s="43">
        <f>C419*'Allocation Factors'!$G$36</f>
        <v>0</v>
      </c>
      <c r="F419" s="10">
        <f>'Sch 5'!C406</f>
        <v>0</v>
      </c>
      <c r="G419" s="10">
        <f>E419+F419</f>
        <v>0</v>
      </c>
      <c r="H419" s="10"/>
      <c r="I419" s="15" t="s">
        <v>753</v>
      </c>
      <c r="J419" s="38"/>
      <c r="K419" s="38"/>
      <c r="L419" s="408" t="s">
        <v>913</v>
      </c>
    </row>
    <row r="420" spans="1:12" ht="14.15" customHeight="1">
      <c r="A420" s="404">
        <f t="shared" si="43"/>
        <v>414</v>
      </c>
      <c r="B420" s="22" t="s">
        <v>261</v>
      </c>
      <c r="C420" s="10">
        <f>9241.85+87.37</f>
        <v>9329.2200000000012</v>
      </c>
      <c r="D420" s="43">
        <f>C420-E420</f>
        <v>0.11421320356203069</v>
      </c>
      <c r="E420" s="43">
        <f>C420*'Allocation Factors'!$G$36</f>
        <v>9329.1057867964391</v>
      </c>
      <c r="F420" s="10">
        <f>'Sch 5'!C407</f>
        <v>0</v>
      </c>
      <c r="G420" s="10">
        <f>E420+F420</f>
        <v>9329.1057867964391</v>
      </c>
      <c r="H420" s="10"/>
      <c r="I420" s="15" t="s">
        <v>753</v>
      </c>
      <c r="J420" s="38"/>
      <c r="K420" s="38"/>
      <c r="L420" s="408" t="s">
        <v>914</v>
      </c>
    </row>
    <row r="421" spans="1:12" ht="14.15" customHeight="1">
      <c r="A421" s="404">
        <f t="shared" si="43"/>
        <v>415</v>
      </c>
      <c r="B421" s="22" t="s">
        <v>262</v>
      </c>
      <c r="C421" s="10">
        <v>0</v>
      </c>
      <c r="D421" s="43">
        <f>C421-E421</f>
        <v>0</v>
      </c>
      <c r="E421" s="43">
        <f>C421*'Allocation Factors'!$G$36</f>
        <v>0</v>
      </c>
      <c r="F421" s="10">
        <f>'Sch 5'!C408</f>
        <v>0</v>
      </c>
      <c r="G421" s="10">
        <f>E421+F421</f>
        <v>0</v>
      </c>
      <c r="H421" s="10"/>
      <c r="I421" s="15" t="s">
        <v>753</v>
      </c>
      <c r="J421" s="38"/>
      <c r="K421" s="38"/>
      <c r="L421" s="408" t="s">
        <v>915</v>
      </c>
    </row>
    <row r="422" spans="1:12" ht="14.15" customHeight="1">
      <c r="A422" s="404">
        <f t="shared" si="43"/>
        <v>416</v>
      </c>
      <c r="B422" s="56" t="s">
        <v>263</v>
      </c>
      <c r="C422" s="10">
        <v>0</v>
      </c>
      <c r="D422" s="43">
        <f>C422-E422</f>
        <v>0</v>
      </c>
      <c r="E422" s="43">
        <f>C422*'Allocation Factors'!$G$36</f>
        <v>0</v>
      </c>
      <c r="F422" s="10">
        <f>'Sch 5'!C409</f>
        <v>0</v>
      </c>
      <c r="G422" s="10">
        <f>E422+F422</f>
        <v>0</v>
      </c>
      <c r="H422" s="10"/>
      <c r="I422" s="15" t="s">
        <v>753</v>
      </c>
      <c r="J422" s="38"/>
      <c r="K422" s="38"/>
      <c r="L422" s="408">
        <v>91600000</v>
      </c>
    </row>
    <row r="423" spans="1:12" ht="14.15" customHeight="1">
      <c r="A423" s="404">
        <f t="shared" si="43"/>
        <v>417</v>
      </c>
      <c r="B423" s="20" t="s">
        <v>494</v>
      </c>
      <c r="C423" s="80">
        <f>SUM(C418:C422)</f>
        <v>9329.2200000000012</v>
      </c>
      <c r="D423" s="80">
        <f>SUM(D418:D422)</f>
        <v>0.11421320356203069</v>
      </c>
      <c r="E423" s="80">
        <f>SUM(E418:E422)</f>
        <v>9329.1057867964391</v>
      </c>
      <c r="F423" s="80">
        <f>SUM(F418:F422)</f>
        <v>0</v>
      </c>
      <c r="G423" s="80">
        <f>SUM(G419:G422)</f>
        <v>9329.1057867964391</v>
      </c>
      <c r="H423" s="80"/>
      <c r="I423" s="141"/>
      <c r="J423" s="38"/>
      <c r="K423" s="38"/>
      <c r="L423" s="408"/>
    </row>
    <row r="424" spans="1:12" ht="14.15" customHeight="1">
      <c r="A424" s="404">
        <f t="shared" si="43"/>
        <v>418</v>
      </c>
      <c r="B424" s="123"/>
      <c r="C424" s="16"/>
      <c r="D424" s="16"/>
      <c r="E424" s="16"/>
      <c r="F424" s="16"/>
      <c r="G424" s="43"/>
      <c r="H424" s="43"/>
      <c r="I424" s="15"/>
      <c r="J424" s="38"/>
      <c r="K424" s="38"/>
      <c r="L424" s="408"/>
    </row>
    <row r="425" spans="1:12" ht="14.15" customHeight="1">
      <c r="A425" s="404">
        <f t="shared" si="43"/>
        <v>419</v>
      </c>
      <c r="B425" s="13" t="s">
        <v>264</v>
      </c>
      <c r="C425" s="43"/>
      <c r="D425" s="43"/>
      <c r="E425" s="240"/>
      <c r="F425" s="43"/>
      <c r="G425" s="10"/>
      <c r="H425" s="10"/>
      <c r="I425" s="15"/>
      <c r="J425" s="38"/>
      <c r="K425" s="38"/>
      <c r="L425" s="408"/>
    </row>
    <row r="426" spans="1:12" ht="14.15" customHeight="1">
      <c r="A426" s="404">
        <f t="shared" si="43"/>
        <v>420</v>
      </c>
      <c r="B426" s="22" t="s">
        <v>265</v>
      </c>
      <c r="C426" s="10">
        <v>12085338.379999999</v>
      </c>
      <c r="D426" s="43">
        <f t="shared" ref="D426:D439" si="48">C426-E426</f>
        <v>169194.37999999896</v>
      </c>
      <c r="E426" s="43">
        <f>ROUND(J426+(C426-J426)*'Allocation Factors'!$G$38,0)</f>
        <v>11916144</v>
      </c>
      <c r="F426" s="10">
        <f>'Sch 5'!C413</f>
        <v>447411.36999999895</v>
      </c>
      <c r="G426" s="10">
        <f t="shared" ref="G426:G439" si="49">E426+F426</f>
        <v>12363555.369999999</v>
      </c>
      <c r="H426" s="10"/>
      <c r="I426" s="15" t="s">
        <v>841</v>
      </c>
      <c r="J426" s="38"/>
      <c r="K426" s="38"/>
      <c r="L426" s="408" t="s">
        <v>909</v>
      </c>
    </row>
    <row r="427" spans="1:12" ht="51" customHeight="1">
      <c r="A427" s="404">
        <f t="shared" si="43"/>
        <v>421</v>
      </c>
      <c r="B427" s="22" t="s">
        <v>266</v>
      </c>
      <c r="C427" s="10">
        <v>851202.11</v>
      </c>
      <c r="D427" s="43">
        <f t="shared" si="48"/>
        <v>11917.109999999986</v>
      </c>
      <c r="E427" s="43">
        <f>ROUND(J427+(C427-J427)*'Allocation Factors'!$G$38,0)</f>
        <v>839285</v>
      </c>
      <c r="F427" s="10">
        <f>'Sch 5'!C414</f>
        <v>8023.5199999999859</v>
      </c>
      <c r="G427" s="10">
        <f t="shared" si="49"/>
        <v>847308.52</v>
      </c>
      <c r="H427" s="10"/>
      <c r="I427" s="15" t="s">
        <v>841</v>
      </c>
      <c r="J427" s="10"/>
      <c r="K427" s="10"/>
      <c r="L427" s="410" t="s">
        <v>1129</v>
      </c>
    </row>
    <row r="428" spans="1:12" ht="14.15" customHeight="1">
      <c r="A428" s="404">
        <f t="shared" si="43"/>
        <v>422</v>
      </c>
      <c r="B428" s="22" t="s">
        <v>267</v>
      </c>
      <c r="C428" s="10">
        <v>-1721098.6</v>
      </c>
      <c r="D428" s="43">
        <f t="shared" si="48"/>
        <v>-24095.380399999907</v>
      </c>
      <c r="E428" s="43">
        <f>C428*'Allocation Factors'!$G$38</f>
        <v>-1697003.2196000002</v>
      </c>
      <c r="F428" s="10">
        <f>'Sch 5'!C415</f>
        <v>-73495.830399999904</v>
      </c>
      <c r="G428" s="10">
        <f t="shared" si="49"/>
        <v>-1770499.05</v>
      </c>
      <c r="H428" s="10"/>
      <c r="I428" s="15" t="s">
        <v>841</v>
      </c>
      <c r="J428" s="38"/>
      <c r="K428" s="38"/>
      <c r="L428" s="408" t="s">
        <v>1130</v>
      </c>
    </row>
    <row r="429" spans="1:12" s="21" customFormat="1" ht="30" customHeight="1">
      <c r="A429" s="404">
        <f t="shared" si="43"/>
        <v>423</v>
      </c>
      <c r="B429" s="22" t="s">
        <v>268</v>
      </c>
      <c r="C429" s="10">
        <v>5942942.2400000002</v>
      </c>
      <c r="D429" s="43">
        <f t="shared" si="48"/>
        <v>83201.191360000521</v>
      </c>
      <c r="E429" s="43">
        <f>C429*'Allocation Factors'!$G$38</f>
        <v>5859741.0486399997</v>
      </c>
      <c r="F429" s="10">
        <f>'Sch 5'!C416</f>
        <v>83201.191360000521</v>
      </c>
      <c r="G429" s="10">
        <f t="shared" si="49"/>
        <v>5942942.2400000002</v>
      </c>
      <c r="H429" s="10"/>
      <c r="I429" s="15" t="s">
        <v>841</v>
      </c>
      <c r="J429" s="38"/>
      <c r="K429" s="38"/>
      <c r="L429" s="410" t="s">
        <v>1131</v>
      </c>
    </row>
    <row r="430" spans="1:12" s="21" customFormat="1" ht="14.15" customHeight="1">
      <c r="A430" s="404">
        <f t="shared" si="43"/>
        <v>424</v>
      </c>
      <c r="B430" s="22" t="s">
        <v>269</v>
      </c>
      <c r="C430" s="10">
        <v>1112072.69</v>
      </c>
      <c r="D430" s="43">
        <f t="shared" si="48"/>
        <v>15569.017660000129</v>
      </c>
      <c r="E430" s="43">
        <f>C430*'Allocation Factors'!$G$38</f>
        <v>1096503.6723399998</v>
      </c>
      <c r="F430" s="10">
        <f>'Sch 5'!C417</f>
        <v>15569.017660000129</v>
      </c>
      <c r="G430" s="10">
        <f t="shared" si="49"/>
        <v>1112072.69</v>
      </c>
      <c r="H430" s="10"/>
      <c r="I430" s="15" t="s">
        <v>841</v>
      </c>
      <c r="J430" s="38"/>
      <c r="K430" s="38"/>
      <c r="L430" s="18">
        <v>9240000</v>
      </c>
    </row>
    <row r="431" spans="1:12" s="21" customFormat="1" ht="32.25" customHeight="1">
      <c r="A431" s="404">
        <f t="shared" si="43"/>
        <v>425</v>
      </c>
      <c r="B431" s="22" t="s">
        <v>270</v>
      </c>
      <c r="C431" s="10">
        <v>1893284.88</v>
      </c>
      <c r="D431" s="43">
        <f t="shared" si="48"/>
        <v>26505.988320000004</v>
      </c>
      <c r="E431" s="43">
        <f>C431*'Allocation Factors'!$G$38</f>
        <v>1866778.8916799999</v>
      </c>
      <c r="F431" s="10">
        <f>'Sch 5'!C418</f>
        <v>26505.988320000004</v>
      </c>
      <c r="G431" s="10">
        <f t="shared" si="49"/>
        <v>1893284.88</v>
      </c>
      <c r="H431" s="10"/>
      <c r="I431" s="15" t="s">
        <v>841</v>
      </c>
      <c r="J431" s="38"/>
      <c r="K431" s="38"/>
      <c r="L431" s="476" t="s">
        <v>910</v>
      </c>
    </row>
    <row r="432" spans="1:12" s="21" customFormat="1" ht="52.5" customHeight="1">
      <c r="A432" s="404">
        <f t="shared" si="43"/>
        <v>426</v>
      </c>
      <c r="B432" s="22" t="s">
        <v>271</v>
      </c>
      <c r="C432" s="10">
        <v>996411.95</v>
      </c>
      <c r="D432" s="43">
        <f t="shared" si="48"/>
        <v>13949.767300000065</v>
      </c>
      <c r="E432" s="43">
        <f>C432*'Allocation Factors'!$G$38</f>
        <v>982462.18269999989</v>
      </c>
      <c r="F432" s="10">
        <f>'Sch 5'!C419</f>
        <v>3382692.5685336012</v>
      </c>
      <c r="G432" s="10">
        <f t="shared" si="49"/>
        <v>4365154.751233601</v>
      </c>
      <c r="H432" s="10"/>
      <c r="I432" s="15" t="s">
        <v>841</v>
      </c>
      <c r="J432" s="38"/>
      <c r="K432" s="38"/>
      <c r="L432" s="476" t="s">
        <v>1132</v>
      </c>
    </row>
    <row r="433" spans="1:15" ht="14.15" customHeight="1">
      <c r="A433" s="404">
        <f t="shared" si="43"/>
        <v>427</v>
      </c>
      <c r="B433" s="83" t="s">
        <v>272</v>
      </c>
      <c r="C433" s="10">
        <v>0</v>
      </c>
      <c r="D433" s="43">
        <f t="shared" si="48"/>
        <v>0</v>
      </c>
      <c r="E433" s="43">
        <f>C433*'Allocation Factors'!$G$38</f>
        <v>0</v>
      </c>
      <c r="F433" s="10">
        <f>'Sch 5'!C420</f>
        <v>0</v>
      </c>
      <c r="G433" s="10">
        <f t="shared" si="49"/>
        <v>0</v>
      </c>
      <c r="H433" s="10"/>
      <c r="I433" s="15" t="s">
        <v>841</v>
      </c>
      <c r="J433" s="38"/>
      <c r="K433" s="38"/>
      <c r="L433" s="408">
        <v>9260057</v>
      </c>
    </row>
    <row r="434" spans="1:15" ht="13.5" customHeight="1">
      <c r="A434" s="404">
        <f t="shared" si="43"/>
        <v>428</v>
      </c>
      <c r="B434" s="22" t="s">
        <v>273</v>
      </c>
      <c r="C434" s="10">
        <v>162570.53</v>
      </c>
      <c r="D434" s="43">
        <f t="shared" si="48"/>
        <v>2275.9874199999904</v>
      </c>
      <c r="E434" s="43">
        <f>C434*'Allocation Factors'!$G$38</f>
        <v>160294.54258000001</v>
      </c>
      <c r="F434" s="10">
        <f>'Sch 5'!C421</f>
        <v>2275.9874199999904</v>
      </c>
      <c r="G434" s="10">
        <f t="shared" si="49"/>
        <v>162570.53</v>
      </c>
      <c r="H434" s="10"/>
      <c r="I434" s="15" t="s">
        <v>841</v>
      </c>
      <c r="J434" s="38"/>
      <c r="K434" s="38"/>
      <c r="L434" s="408">
        <v>9270000</v>
      </c>
    </row>
    <row r="435" spans="1:15" ht="14.15" customHeight="1">
      <c r="A435" s="404">
        <f t="shared" si="43"/>
        <v>429</v>
      </c>
      <c r="B435" s="22" t="s">
        <v>992</v>
      </c>
      <c r="C435" s="10">
        <f>22552.99+4342.74+952810.46</f>
        <v>979706.19</v>
      </c>
      <c r="D435" s="43">
        <f t="shared" si="48"/>
        <v>0.18999999994412065</v>
      </c>
      <c r="E435" s="10">
        <f>ROUND(C435*'Allocation Factors'!$G$34,0)</f>
        <v>979706</v>
      </c>
      <c r="F435" s="10">
        <f>'Sch 5'!C422</f>
        <v>114528.90999999992</v>
      </c>
      <c r="G435" s="10">
        <f t="shared" si="49"/>
        <v>1094234.9099999999</v>
      </c>
      <c r="H435" s="10"/>
      <c r="I435" s="15" t="s">
        <v>358</v>
      </c>
      <c r="J435" s="38"/>
      <c r="K435" s="38"/>
      <c r="L435" s="408" t="s">
        <v>960</v>
      </c>
    </row>
    <row r="436" spans="1:15" ht="22.5" customHeight="1">
      <c r="A436" s="404">
        <f t="shared" si="43"/>
        <v>430</v>
      </c>
      <c r="B436" s="22" t="s">
        <v>320</v>
      </c>
      <c r="C436" s="10">
        <f>2256773.27+49865.17</f>
        <v>2306638.44</v>
      </c>
      <c r="D436" s="43">
        <f>C436-E436</f>
        <v>16594.669999999925</v>
      </c>
      <c r="E436" s="10">
        <f>(C436-J436)</f>
        <v>2290043.77</v>
      </c>
      <c r="F436" s="10">
        <f>'Sch 5'!C423</f>
        <v>262407.95</v>
      </c>
      <c r="G436" s="10">
        <f t="shared" si="49"/>
        <v>2552451.7200000002</v>
      </c>
      <c r="H436" s="10"/>
      <c r="I436" s="15" t="s">
        <v>358</v>
      </c>
      <c r="J436" s="38">
        <v>16594.669999999998</v>
      </c>
      <c r="K436" s="408" t="s">
        <v>953</v>
      </c>
      <c r="L436" s="408" t="s">
        <v>902</v>
      </c>
    </row>
    <row r="437" spans="1:15" ht="26.25" customHeight="1">
      <c r="A437" s="404">
        <f t="shared" si="43"/>
        <v>431</v>
      </c>
      <c r="B437" s="22" t="s">
        <v>275</v>
      </c>
      <c r="C437" s="10">
        <v>105335.46</v>
      </c>
      <c r="D437" s="43">
        <f t="shared" si="48"/>
        <v>1474.6964399999997</v>
      </c>
      <c r="E437" s="43">
        <f>C437*'Allocation Factors'!$G$38</f>
        <v>103860.76356000001</v>
      </c>
      <c r="F437" s="10">
        <f>'Sch 5'!C424</f>
        <v>-52701.833559999999</v>
      </c>
      <c r="G437" s="10">
        <f t="shared" si="49"/>
        <v>51158.930000000008</v>
      </c>
      <c r="H437" s="10"/>
      <c r="I437" s="15" t="s">
        <v>841</v>
      </c>
      <c r="J437" s="38"/>
      <c r="K437" s="38"/>
      <c r="L437" s="410" t="s">
        <v>1133</v>
      </c>
    </row>
    <row r="438" spans="1:15" ht="14.15" customHeight="1">
      <c r="A438" s="404">
        <f t="shared" si="43"/>
        <v>432</v>
      </c>
      <c r="B438" s="22" t="s">
        <v>276</v>
      </c>
      <c r="C438" s="10">
        <v>592234.80000000005</v>
      </c>
      <c r="D438" s="43">
        <f t="shared" si="48"/>
        <v>8291.2872000000207</v>
      </c>
      <c r="E438" s="43">
        <f>C438*'Allocation Factors'!$G$38</f>
        <v>583943.51280000003</v>
      </c>
      <c r="F438" s="10">
        <f>'Sch 5'!C425</f>
        <v>9056.6872000000203</v>
      </c>
      <c r="G438" s="10">
        <f t="shared" si="49"/>
        <v>593000.20000000007</v>
      </c>
      <c r="H438" s="10"/>
      <c r="I438" s="15" t="s">
        <v>841</v>
      </c>
      <c r="J438" s="38"/>
      <c r="K438" s="38"/>
      <c r="L438" s="408" t="s">
        <v>911</v>
      </c>
    </row>
    <row r="439" spans="1:15" ht="14.15" customHeight="1">
      <c r="A439" s="404">
        <f t="shared" si="43"/>
        <v>433</v>
      </c>
      <c r="B439" s="56" t="s">
        <v>277</v>
      </c>
      <c r="C439" s="10">
        <f>18233.71+51276.13</f>
        <v>69509.84</v>
      </c>
      <c r="D439" s="43">
        <f t="shared" si="48"/>
        <v>972.83999999999651</v>
      </c>
      <c r="E439" s="43">
        <f>ROUND(J439+(C439-J439)*'Allocation Factors'!$G$38,0)</f>
        <v>68537</v>
      </c>
      <c r="F439" s="10">
        <f>'Sch 5'!C426</f>
        <v>-175.95000000000346</v>
      </c>
      <c r="G439" s="10">
        <f t="shared" si="49"/>
        <v>68361.05</v>
      </c>
      <c r="H439" s="10"/>
      <c r="I439" s="15" t="s">
        <v>841</v>
      </c>
      <c r="J439" s="38"/>
      <c r="K439" s="38"/>
      <c r="L439" s="408" t="s">
        <v>912</v>
      </c>
    </row>
    <row r="440" spans="1:15" ht="14.15" customHeight="1">
      <c r="A440" s="404">
        <f t="shared" si="43"/>
        <v>434</v>
      </c>
      <c r="B440" s="20" t="s">
        <v>495</v>
      </c>
      <c r="C440" s="80">
        <f>SUM(C426:C439)</f>
        <v>25376148.910000004</v>
      </c>
      <c r="D440" s="80">
        <f>SUM(D426:D439)</f>
        <v>325851.7452999996</v>
      </c>
      <c r="E440" s="80">
        <f>SUM(E426:E439)</f>
        <v>25050297.164699998</v>
      </c>
      <c r="F440" s="80">
        <f>SUM(F426:F439)</f>
        <v>4225299.5765336007</v>
      </c>
      <c r="G440" s="160">
        <f>SUM(G426:G439)</f>
        <v>29275596.741233598</v>
      </c>
      <c r="H440" s="160"/>
      <c r="I440" s="161"/>
      <c r="J440" s="38"/>
      <c r="K440" s="38"/>
      <c r="L440" s="408"/>
    </row>
    <row r="441" spans="1:15" ht="14.15" customHeight="1">
      <c r="A441" s="404">
        <f t="shared" si="43"/>
        <v>435</v>
      </c>
      <c r="B441" s="22"/>
      <c r="C441" s="16"/>
      <c r="D441" s="16"/>
      <c r="E441" s="16"/>
      <c r="F441" s="16"/>
      <c r="G441" s="43"/>
      <c r="H441" s="43"/>
      <c r="I441" s="15"/>
      <c r="J441" s="38"/>
      <c r="K441" s="38"/>
      <c r="L441" s="408"/>
    </row>
    <row r="442" spans="1:15" ht="39" customHeight="1">
      <c r="A442" s="404">
        <f t="shared" si="43"/>
        <v>436</v>
      </c>
      <c r="B442" s="123" t="s">
        <v>278</v>
      </c>
      <c r="C442" s="10">
        <f>2265242.65-C443</f>
        <v>2265242.65</v>
      </c>
      <c r="D442" s="43">
        <f>C442-E442</f>
        <v>31713.397100000177</v>
      </c>
      <c r="E442" s="43">
        <f>C442*'Allocation Factors'!$G$38</f>
        <v>2233529.2528999997</v>
      </c>
      <c r="F442" s="10">
        <f>'Sch 5'!C429</f>
        <v>67953.57710000017</v>
      </c>
      <c r="G442" s="10">
        <f>E442+F442</f>
        <v>2301482.83</v>
      </c>
      <c r="H442" s="10"/>
      <c r="I442" s="15" t="s">
        <v>841</v>
      </c>
      <c r="J442" s="38"/>
      <c r="K442" s="38"/>
      <c r="L442" s="410" t="s">
        <v>1134</v>
      </c>
    </row>
    <row r="443" spans="1:15" ht="14.15" customHeight="1">
      <c r="A443" s="404">
        <f t="shared" si="43"/>
        <v>437</v>
      </c>
      <c r="B443" s="57" t="s">
        <v>1057</v>
      </c>
      <c r="C443" s="10">
        <v>0</v>
      </c>
      <c r="D443" s="16">
        <f>C443-E443</f>
        <v>0</v>
      </c>
      <c r="E443" s="43">
        <f>C443*'Allocation Factors'!$G$38</f>
        <v>0</v>
      </c>
      <c r="F443" s="10">
        <f>'Sch 5'!C430</f>
        <v>0</v>
      </c>
      <c r="G443" s="10">
        <f>E443+F443</f>
        <v>0</v>
      </c>
      <c r="H443" s="10"/>
      <c r="I443" s="15" t="s">
        <v>841</v>
      </c>
      <c r="J443" s="38"/>
      <c r="K443" s="38"/>
      <c r="L443" s="477"/>
    </row>
    <row r="444" spans="1:15" ht="14.15" customHeight="1">
      <c r="A444" s="404">
        <f t="shared" si="43"/>
        <v>438</v>
      </c>
      <c r="B444" s="20" t="s">
        <v>280</v>
      </c>
      <c r="C444" s="80">
        <f>C440+SUM(C442:C443)</f>
        <v>27641391.560000002</v>
      </c>
      <c r="D444" s="80">
        <f>D440+SUM(D442:D443)</f>
        <v>357565.14239999978</v>
      </c>
      <c r="E444" s="80">
        <f>E440+SUM(E442:E443)</f>
        <v>27283826.417599998</v>
      </c>
      <c r="F444" s="80">
        <f>F440+F442+F443</f>
        <v>4293253.153633601</v>
      </c>
      <c r="G444" s="160">
        <f>G440+G442+G443</f>
        <v>31577079.5712336</v>
      </c>
      <c r="H444" s="160"/>
      <c r="I444" s="161"/>
      <c r="J444" s="38"/>
      <c r="K444" s="38"/>
    </row>
    <row r="445" spans="1:15" ht="14.15" customHeight="1">
      <c r="A445" s="404">
        <f t="shared" si="43"/>
        <v>439</v>
      </c>
      <c r="B445" s="57"/>
      <c r="C445" s="145"/>
      <c r="D445" s="145"/>
      <c r="E445" s="58"/>
      <c r="F445" s="145"/>
      <c r="G445" s="64"/>
      <c r="H445" s="64"/>
      <c r="I445" s="129"/>
      <c r="J445" s="38"/>
      <c r="K445" s="38"/>
    </row>
    <row r="446" spans="1:15" s="21" customFormat="1" ht="14.15" customHeight="1">
      <c r="A446" s="404">
        <f t="shared" ref="A446:A511" si="50">+A445+1</f>
        <v>440</v>
      </c>
      <c r="B446" s="20" t="s">
        <v>496</v>
      </c>
      <c r="C446" s="162">
        <f>C444+C423+C416+C409+C400+C372+C345</f>
        <v>477180425.20700002</v>
      </c>
      <c r="D446" s="162">
        <f>D444+D423+D416+D409+D400+D372+D345</f>
        <v>4175415.6836132323</v>
      </c>
      <c r="E446" s="162">
        <f>E444+E423+E416+E409+E400+E372+E345</f>
        <v>473005009.52338678</v>
      </c>
      <c r="F446" s="162">
        <f>F444+F423+F416+F409+F400+F372+F345</f>
        <v>-43550166.70901572</v>
      </c>
      <c r="G446" s="162">
        <f>G444+G423+G416+G409+G400+G372+G345</f>
        <v>429454842.81437111</v>
      </c>
      <c r="H446" s="91">
        <f>ROUND(E446/C446,3)</f>
        <v>0.99099999999999999</v>
      </c>
      <c r="I446" s="163"/>
      <c r="J446" s="38"/>
      <c r="K446" s="38"/>
      <c r="L446" s="469"/>
      <c r="M446" s="83"/>
      <c r="N446" s="83"/>
      <c r="O446" s="83"/>
    </row>
    <row r="447" spans="1:15" s="21" customFormat="1" ht="14.15" customHeight="1">
      <c r="A447" s="404">
        <f t="shared" si="50"/>
        <v>441</v>
      </c>
      <c r="B447" s="123"/>
      <c r="C447" s="156"/>
      <c r="D447" s="156"/>
      <c r="E447" s="164"/>
      <c r="F447" s="156"/>
      <c r="G447" s="165"/>
      <c r="H447" s="165"/>
      <c r="I447" s="163"/>
      <c r="J447" s="38"/>
      <c r="K447" s="38"/>
      <c r="L447" s="469"/>
      <c r="M447" s="83"/>
      <c r="N447" s="83"/>
      <c r="O447" s="83"/>
    </row>
    <row r="448" spans="1:15" s="21" customFormat="1" ht="14.15" customHeight="1">
      <c r="A448" s="404">
        <f t="shared" si="50"/>
        <v>442</v>
      </c>
      <c r="B448" s="85" t="s">
        <v>779</v>
      </c>
      <c r="C448" s="156">
        <f>(C446-(C311+C312+C313+C314+C336+C337))-(C350+C354+C355+C356+C357+C369)</f>
        <v>127350385.55699997</v>
      </c>
      <c r="D448" s="156">
        <f>(D446-(D311+D312+D313+D314+D336+D337))-(D350+D354+D355+D356+D369)</f>
        <v>398271.60361320281</v>
      </c>
      <c r="E448" s="156">
        <f>(E446-(E311+E312+E313+E314+E336+E337))-(E350+E354+E355+E356+E369)</f>
        <v>126263312.52338678</v>
      </c>
      <c r="F448" s="156">
        <f>(F446-(F311+F336+F337))-(F350+F354+F355+F356+F369)</f>
        <v>-52998475.729366399</v>
      </c>
      <c r="G448" s="156">
        <f>(G446-(G311+G336+G337))-(G350+G354+G355+G356+G369)</f>
        <v>84124677.794020459</v>
      </c>
      <c r="H448" s="91">
        <f>ROUND(E448/C448,3)</f>
        <v>0.99099999999999999</v>
      </c>
      <c r="J448" s="38"/>
      <c r="K448" s="38"/>
      <c r="L448" s="469"/>
      <c r="M448" s="83"/>
      <c r="N448" s="83"/>
      <c r="O448" s="83"/>
    </row>
    <row r="449" spans="1:15" s="21" customFormat="1" ht="14.15" customHeight="1">
      <c r="A449" s="404">
        <f t="shared" si="50"/>
        <v>443</v>
      </c>
      <c r="B449" s="123"/>
      <c r="C449" s="156"/>
      <c r="D449" s="156"/>
      <c r="E449" s="164"/>
      <c r="F449" s="156"/>
      <c r="G449" s="165"/>
      <c r="H449" s="165"/>
      <c r="I449" s="163"/>
      <c r="J449" s="38"/>
      <c r="K449" s="38"/>
      <c r="L449" s="469"/>
      <c r="M449" s="83"/>
      <c r="N449" s="83"/>
      <c r="O449" s="83"/>
    </row>
    <row r="450" spans="1:15" s="21" customFormat="1" ht="14.15" customHeight="1">
      <c r="A450" s="404">
        <f t="shared" si="50"/>
        <v>444</v>
      </c>
      <c r="B450" s="20" t="s">
        <v>371</v>
      </c>
      <c r="C450" s="156"/>
      <c r="D450" s="156"/>
      <c r="E450" s="164"/>
      <c r="F450" s="156"/>
      <c r="G450" s="166"/>
      <c r="H450" s="166"/>
      <c r="I450" s="163"/>
      <c r="J450" s="38"/>
      <c r="K450" s="38"/>
      <c r="L450" s="469"/>
      <c r="M450" s="83"/>
      <c r="N450" s="83"/>
      <c r="O450" s="83"/>
    </row>
    <row r="451" spans="1:15" s="21" customFormat="1" ht="14.15" customHeight="1">
      <c r="A451" s="404">
        <f t="shared" si="50"/>
        <v>445</v>
      </c>
      <c r="B451" s="22" t="s">
        <v>385</v>
      </c>
      <c r="C451" s="156">
        <v>0</v>
      </c>
      <c r="D451" s="156">
        <v>0</v>
      </c>
      <c r="E451" s="156">
        <v>0</v>
      </c>
      <c r="F451" s="156">
        <f>'Sch 5'!C436</f>
        <v>0</v>
      </c>
      <c r="G451" s="166">
        <f>E451+F451</f>
        <v>0</v>
      </c>
      <c r="H451" s="166"/>
      <c r="I451" s="163"/>
      <c r="J451" s="38"/>
      <c r="K451" s="38"/>
      <c r="L451" s="469"/>
      <c r="M451" s="83"/>
      <c r="N451" s="83"/>
      <c r="O451" s="83"/>
    </row>
    <row r="452" spans="1:15" s="21" customFormat="1" ht="14.15" customHeight="1">
      <c r="A452" s="404">
        <f t="shared" si="50"/>
        <v>446</v>
      </c>
      <c r="B452" s="22" t="s">
        <v>384</v>
      </c>
      <c r="C452" s="156">
        <v>0</v>
      </c>
      <c r="D452" s="156">
        <v>0</v>
      </c>
      <c r="E452" s="156">
        <v>0</v>
      </c>
      <c r="F452" s="10">
        <f>'Sch 5'!C437</f>
        <v>0</v>
      </c>
      <c r="G452" s="166">
        <f>E452+F452</f>
        <v>0</v>
      </c>
      <c r="H452" s="166"/>
      <c r="I452" s="163"/>
      <c r="J452" s="38"/>
      <c r="K452" s="38"/>
      <c r="L452" s="469"/>
      <c r="M452" s="83"/>
      <c r="N452" s="83"/>
      <c r="O452" s="83"/>
    </row>
    <row r="453" spans="1:15" s="21" customFormat="1" ht="14.15" customHeight="1">
      <c r="A453" s="404">
        <f t="shared" si="50"/>
        <v>447</v>
      </c>
      <c r="B453" s="22" t="s">
        <v>246</v>
      </c>
      <c r="C453" s="156">
        <v>0</v>
      </c>
      <c r="D453" s="156">
        <v>0</v>
      </c>
      <c r="E453" s="156">
        <v>0</v>
      </c>
      <c r="F453" s="156">
        <f>'Sch 5'!C438</f>
        <v>0</v>
      </c>
      <c r="G453" s="166">
        <f>E453+F453</f>
        <v>0</v>
      </c>
      <c r="H453" s="166"/>
      <c r="I453" s="163"/>
      <c r="J453" s="38"/>
      <c r="K453" s="38"/>
      <c r="L453" s="469"/>
      <c r="M453" s="83"/>
      <c r="N453" s="83"/>
      <c r="O453" s="83"/>
    </row>
    <row r="454" spans="1:15" s="21" customFormat="1" ht="14.15" customHeight="1">
      <c r="A454" s="404">
        <f t="shared" si="50"/>
        <v>448</v>
      </c>
      <c r="B454" s="22" t="s">
        <v>376</v>
      </c>
      <c r="C454" s="156">
        <v>0</v>
      </c>
      <c r="D454" s="156">
        <v>0</v>
      </c>
      <c r="E454" s="156">
        <v>0</v>
      </c>
      <c r="F454" s="156">
        <f>'Sch 5'!C439</f>
        <v>0</v>
      </c>
      <c r="G454" s="166">
        <f>E454+F454</f>
        <v>0</v>
      </c>
      <c r="H454" s="166"/>
      <c r="I454" s="163"/>
      <c r="J454" s="38"/>
      <c r="K454" s="38"/>
      <c r="L454" s="469"/>
      <c r="M454" s="83"/>
      <c r="N454" s="83"/>
      <c r="O454" s="83"/>
    </row>
    <row r="455" spans="1:15" s="21" customFormat="1" ht="14.15" customHeight="1">
      <c r="A455" s="404">
        <f t="shared" si="50"/>
        <v>449</v>
      </c>
      <c r="B455" s="56" t="s">
        <v>386</v>
      </c>
      <c r="C455" s="167">
        <v>0</v>
      </c>
      <c r="D455" s="167">
        <v>0</v>
      </c>
      <c r="E455" s="167">
        <v>0</v>
      </c>
      <c r="F455" s="156">
        <f>'Sch 5'!C440</f>
        <v>0</v>
      </c>
      <c r="G455" s="166">
        <f>E455+F455</f>
        <v>0</v>
      </c>
      <c r="H455" s="168"/>
      <c r="I455" s="169"/>
      <c r="J455" s="38"/>
      <c r="K455" s="38"/>
      <c r="L455" s="469"/>
      <c r="M455" s="83"/>
      <c r="N455" s="83"/>
      <c r="O455" s="83"/>
    </row>
    <row r="456" spans="1:15" s="21" customFormat="1" ht="14.15" customHeight="1">
      <c r="A456" s="404">
        <f t="shared" si="50"/>
        <v>450</v>
      </c>
      <c r="B456" s="62" t="s">
        <v>497</v>
      </c>
      <c r="C456" s="170">
        <f>SUM(C451:C455)</f>
        <v>0</v>
      </c>
      <c r="D456" s="171">
        <f>SUM(D451:D455)</f>
        <v>0</v>
      </c>
      <c r="E456" s="170">
        <f>SUM(E451:E455)</f>
        <v>0</v>
      </c>
      <c r="F456" s="170">
        <f>SUM(F451:F455)</f>
        <v>0</v>
      </c>
      <c r="G456" s="170">
        <f>SUM(G451:G455)</f>
        <v>0</v>
      </c>
      <c r="H456" s="172"/>
      <c r="I456" s="173"/>
      <c r="J456" s="38"/>
      <c r="K456" s="38"/>
      <c r="L456" s="469"/>
      <c r="M456" s="83"/>
      <c r="N456" s="83"/>
      <c r="O456" s="83"/>
    </row>
    <row r="457" spans="1:15" s="21" customFormat="1" ht="14.15" customHeight="1" thickBot="1">
      <c r="A457" s="404">
        <f t="shared" si="50"/>
        <v>451</v>
      </c>
      <c r="B457" s="59" t="s">
        <v>498</v>
      </c>
      <c r="C457" s="174"/>
      <c r="D457" s="130"/>
      <c r="E457" s="174"/>
      <c r="F457" s="174">
        <f ca="1">'Sch 5'!C49</f>
        <v>-60772164.879299641</v>
      </c>
      <c r="G457" s="174">
        <f>G456*0.125</f>
        <v>0</v>
      </c>
      <c r="H457" s="175"/>
      <c r="I457" s="176"/>
      <c r="J457" s="38"/>
      <c r="K457" s="38"/>
      <c r="L457" s="469"/>
      <c r="M457" s="83"/>
      <c r="N457" s="83"/>
      <c r="O457" s="83"/>
    </row>
    <row r="458" spans="1:15" s="21" customFormat="1" ht="14.15" customHeight="1" thickTop="1">
      <c r="A458" s="404">
        <f t="shared" si="50"/>
        <v>452</v>
      </c>
      <c r="B458" s="123"/>
      <c r="C458" s="156"/>
      <c r="D458" s="156"/>
      <c r="E458" s="164"/>
      <c r="F458" s="156"/>
      <c r="G458" s="166"/>
      <c r="H458" s="166"/>
      <c r="I458" s="163"/>
      <c r="J458" s="38"/>
      <c r="K458" s="38"/>
      <c r="L458" s="469"/>
      <c r="M458" s="83"/>
      <c r="N458" s="83"/>
      <c r="O458" s="83"/>
    </row>
    <row r="459" spans="1:15" ht="14.15" customHeight="1">
      <c r="A459" s="404">
        <f t="shared" si="50"/>
        <v>453</v>
      </c>
      <c r="B459" s="13" t="s">
        <v>281</v>
      </c>
      <c r="C459" s="43"/>
      <c r="D459" s="43"/>
      <c r="E459" s="43"/>
      <c r="F459" s="43"/>
      <c r="G459" s="10"/>
      <c r="H459" s="10"/>
      <c r="I459" s="15"/>
      <c r="J459" s="38"/>
      <c r="K459" s="38"/>
    </row>
    <row r="460" spans="1:15" ht="14.15" customHeight="1">
      <c r="A460" s="404">
        <f t="shared" si="50"/>
        <v>454</v>
      </c>
      <c r="B460" s="22" t="s">
        <v>134</v>
      </c>
      <c r="C460" s="10">
        <f>38383235.63-2010677.27</f>
        <v>36372558.359999999</v>
      </c>
      <c r="D460" s="43">
        <f>C460-E460</f>
        <v>545588.3599999994</v>
      </c>
      <c r="E460" s="10">
        <f>ROUND(J460+(C460-J460)*'Allocation Factors'!$G$10,0)</f>
        <v>35826970</v>
      </c>
      <c r="F460" s="10">
        <f>'Sch 5'!C445</f>
        <v>-12420976.887533</v>
      </c>
      <c r="G460" s="10">
        <f>E460+F460</f>
        <v>23405993.112466998</v>
      </c>
      <c r="H460" s="10"/>
      <c r="I460" s="15" t="s">
        <v>337</v>
      </c>
      <c r="J460" s="38"/>
      <c r="K460" s="38"/>
    </row>
    <row r="461" spans="1:15" ht="14.15" customHeight="1">
      <c r="A461" s="404">
        <f t="shared" si="50"/>
        <v>455</v>
      </c>
      <c r="B461" s="22" t="s">
        <v>283</v>
      </c>
      <c r="C461" s="10">
        <f>25079616.02</f>
        <v>25079616.02</v>
      </c>
      <c r="D461" s="43">
        <f>C461-E461</f>
        <v>376194.01999999955</v>
      </c>
      <c r="E461" s="43">
        <f>ROUND(C461*'Allocation Factors'!$G$16,0)</f>
        <v>24703422</v>
      </c>
      <c r="F461" s="10">
        <f>'Sch 5'!C446</f>
        <v>-1216149.6064000004</v>
      </c>
      <c r="G461" s="10">
        <f>E461+F461</f>
        <v>23487272.393599998</v>
      </c>
      <c r="H461" s="10"/>
      <c r="I461" s="15" t="s">
        <v>342</v>
      </c>
      <c r="J461" s="38"/>
      <c r="K461" s="38"/>
    </row>
    <row r="462" spans="1:15" ht="14.15" customHeight="1">
      <c r="A462" s="404">
        <f t="shared" si="50"/>
        <v>456</v>
      </c>
      <c r="B462" s="22" t="s">
        <v>284</v>
      </c>
      <c r="C462" s="10">
        <v>279198.36</v>
      </c>
      <c r="D462" s="43">
        <f>C462-E462</f>
        <v>4188.359999999986</v>
      </c>
      <c r="E462" s="43">
        <f>ROUND(C462*'Allocation Factors'!$G$10,0)</f>
        <v>275010</v>
      </c>
      <c r="F462" s="10">
        <f>'Sch 5'!C447</f>
        <v>4188.359999999986</v>
      </c>
      <c r="G462" s="10">
        <f>E462+F462</f>
        <v>279198.36</v>
      </c>
      <c r="H462" s="10"/>
      <c r="I462" s="15" t="s">
        <v>337</v>
      </c>
      <c r="J462" s="38"/>
      <c r="K462" s="38"/>
    </row>
    <row r="463" spans="1:15" ht="14.15" customHeight="1">
      <c r="A463" s="404">
        <f t="shared" si="50"/>
        <v>457</v>
      </c>
      <c r="B463" s="22" t="s">
        <v>136</v>
      </c>
      <c r="C463" s="10">
        <v>41318811.469999999</v>
      </c>
      <c r="D463" s="43">
        <f>C463-E463</f>
        <v>41318.469999998808</v>
      </c>
      <c r="E463" s="43">
        <f>ROUND(C463*'Allocation Factors'!$G$18,0)</f>
        <v>41277493</v>
      </c>
      <c r="F463" s="43">
        <f>'Sch 5'!C448</f>
        <v>5162605.0200999994</v>
      </c>
      <c r="G463" s="43">
        <f>E463+F463</f>
        <v>46440098.020099998</v>
      </c>
      <c r="H463" s="43"/>
      <c r="I463" s="15" t="s">
        <v>344</v>
      </c>
      <c r="J463" s="38"/>
      <c r="K463" s="38"/>
    </row>
    <row r="464" spans="1:15" s="21" customFormat="1" ht="14.15" customHeight="1">
      <c r="A464" s="404">
        <f t="shared" si="50"/>
        <v>458</v>
      </c>
      <c r="B464" s="56" t="s">
        <v>137</v>
      </c>
      <c r="C464" s="64">
        <f>8666811.47</f>
        <v>8666811.4700000007</v>
      </c>
      <c r="D464" s="64">
        <f>C464-E464</f>
        <v>173336.47000000067</v>
      </c>
      <c r="E464" s="145">
        <f>ROUND(C464*'Allocation Factors'!$G$22,0)</f>
        <v>8493475</v>
      </c>
      <c r="F464" s="64">
        <f>'Sch 5'!C449</f>
        <v>6447089.8078000005</v>
      </c>
      <c r="G464" s="64">
        <f>E464+F464</f>
        <v>14940564.807800001</v>
      </c>
      <c r="H464" s="64"/>
      <c r="I464" s="129" t="s">
        <v>348</v>
      </c>
      <c r="J464" s="38"/>
      <c r="K464" s="38"/>
      <c r="L464" s="469"/>
      <c r="M464" s="83"/>
      <c r="N464" s="83"/>
      <c r="O464" s="83"/>
    </row>
    <row r="465" spans="1:14" ht="14.15" customHeight="1">
      <c r="A465" s="404">
        <f t="shared" si="50"/>
        <v>459</v>
      </c>
      <c r="B465" s="20" t="s">
        <v>499</v>
      </c>
      <c r="C465" s="16">
        <f>SUM(C460:C464)</f>
        <v>111716995.67999999</v>
      </c>
      <c r="D465" s="16">
        <f>SUM(D460:D464)</f>
        <v>1140625.6799999983</v>
      </c>
      <c r="E465" s="16">
        <f>SUM(E460:E464)</f>
        <v>110576370</v>
      </c>
      <c r="F465" s="16">
        <f>SUM(F460:F464)</f>
        <v>-2023243.3060330003</v>
      </c>
      <c r="G465" s="16">
        <f>SUM(G460:G464)</f>
        <v>108553126.69396698</v>
      </c>
      <c r="H465" s="16"/>
      <c r="I465" s="17"/>
      <c r="J465" s="38"/>
      <c r="K465" s="38"/>
      <c r="L465" s="469" t="s">
        <v>1124</v>
      </c>
    </row>
    <row r="466" spans="1:14" ht="14.15" customHeight="1">
      <c r="A466" s="404">
        <f t="shared" si="50"/>
        <v>460</v>
      </c>
      <c r="C466" s="43"/>
      <c r="D466" s="43"/>
      <c r="E466" s="43"/>
      <c r="F466" s="43"/>
      <c r="G466" s="43"/>
      <c r="H466" s="43"/>
      <c r="I466" s="15"/>
      <c r="J466" s="38"/>
      <c r="K466" s="38"/>
    </row>
    <row r="467" spans="1:14" ht="14.15" customHeight="1">
      <c r="A467" s="404">
        <f t="shared" si="50"/>
        <v>461</v>
      </c>
      <c r="B467" s="13" t="s">
        <v>285</v>
      </c>
      <c r="C467" s="43"/>
      <c r="D467" s="43"/>
      <c r="E467" s="43"/>
      <c r="F467" s="43"/>
      <c r="G467" s="10"/>
      <c r="H467" s="10"/>
      <c r="I467" s="15"/>
      <c r="J467" s="38"/>
      <c r="K467" s="38"/>
    </row>
    <row r="468" spans="1:14" ht="14.15" customHeight="1">
      <c r="A468" s="404">
        <f t="shared" si="50"/>
        <v>462</v>
      </c>
      <c r="B468" s="22" t="s">
        <v>286</v>
      </c>
      <c r="C468" s="10">
        <f>6362943.01+495522.63-900039.17</f>
        <v>5958426.4699999997</v>
      </c>
      <c r="D468" s="43">
        <f>C468-E468</f>
        <v>119168.46999999974</v>
      </c>
      <c r="E468" s="16">
        <f>ROUND(C468*'Allocation Factors'!$G$22,0)</f>
        <v>5839258</v>
      </c>
      <c r="F468" s="10">
        <f>'Sch 5'!C453</f>
        <v>-6243774.5300000003</v>
      </c>
      <c r="G468" s="10">
        <f>E468+F468</f>
        <v>-404516.53000000026</v>
      </c>
      <c r="H468" s="10"/>
      <c r="I468" s="15" t="s">
        <v>348</v>
      </c>
      <c r="J468" s="38"/>
      <c r="K468" s="38"/>
    </row>
    <row r="469" spans="1:14" ht="14.15" customHeight="1">
      <c r="A469" s="404">
        <f t="shared" si="50"/>
        <v>463</v>
      </c>
      <c r="B469" s="22" t="s">
        <v>147</v>
      </c>
      <c r="C469" s="43">
        <v>0</v>
      </c>
      <c r="D469" s="43">
        <f>C469-E469</f>
        <v>0</v>
      </c>
      <c r="E469" s="43">
        <f>ROUND(C469*'Allocation Factors'!$G$10,0)</f>
        <v>0</v>
      </c>
      <c r="F469" s="10">
        <f>'Sch 5'!C454</f>
        <v>0</v>
      </c>
      <c r="G469" s="10">
        <f>E469+F469</f>
        <v>0</v>
      </c>
      <c r="H469" s="10"/>
      <c r="I469" s="15" t="s">
        <v>337</v>
      </c>
      <c r="J469" s="38"/>
      <c r="K469" s="38"/>
    </row>
    <row r="470" spans="1:14" ht="14.15" customHeight="1">
      <c r="A470" s="404">
        <f t="shared" si="50"/>
        <v>464</v>
      </c>
      <c r="B470" s="22" t="s">
        <v>135</v>
      </c>
      <c r="C470" s="43">
        <v>38616</v>
      </c>
      <c r="D470" s="43">
        <f>C470-E470</f>
        <v>579</v>
      </c>
      <c r="E470" s="43">
        <f>ROUND(C470*'Allocation Factors'!$G$16,0)</f>
        <v>38037</v>
      </c>
      <c r="F470" s="10">
        <f>'Sch 5'!C455</f>
        <v>579</v>
      </c>
      <c r="G470" s="10">
        <f>E470+F470</f>
        <v>38616</v>
      </c>
      <c r="H470" s="10"/>
      <c r="I470" s="15" t="s">
        <v>342</v>
      </c>
      <c r="J470" s="38"/>
      <c r="K470" s="38"/>
    </row>
    <row r="471" spans="1:14" ht="14.15" customHeight="1">
      <c r="A471" s="404">
        <f t="shared" si="50"/>
        <v>465</v>
      </c>
      <c r="B471" s="22" t="s">
        <v>148</v>
      </c>
      <c r="C471" s="43">
        <v>0</v>
      </c>
      <c r="D471" s="43">
        <f>C471-E471</f>
        <v>0</v>
      </c>
      <c r="E471" s="43">
        <f>ROUND(C471*'Allocation Factors'!$G$18,0)</f>
        <v>0</v>
      </c>
      <c r="F471" s="10">
        <f>'Sch 5'!C456</f>
        <v>0</v>
      </c>
      <c r="G471" s="10">
        <f>E471+F471</f>
        <v>0</v>
      </c>
      <c r="H471" s="10"/>
      <c r="I471" s="15" t="s">
        <v>344</v>
      </c>
      <c r="J471" s="38"/>
      <c r="K471" s="38"/>
    </row>
    <row r="472" spans="1:14" ht="14.15" customHeight="1">
      <c r="A472" s="404">
        <f t="shared" si="50"/>
        <v>466</v>
      </c>
      <c r="B472" s="56" t="s">
        <v>149</v>
      </c>
      <c r="C472" s="64">
        <v>0</v>
      </c>
      <c r="D472" s="64">
        <f>C472-E472</f>
        <v>0</v>
      </c>
      <c r="E472" s="145">
        <f>ROUND(C472*'Allocation Factors'!$G$22,0)</f>
        <v>0</v>
      </c>
      <c r="F472" s="64">
        <f>'Sch 5'!C457</f>
        <v>0</v>
      </c>
      <c r="G472" s="64">
        <f>E472+F472</f>
        <v>0</v>
      </c>
      <c r="H472" s="64"/>
      <c r="I472" s="129" t="s">
        <v>348</v>
      </c>
      <c r="J472" s="38"/>
      <c r="K472" s="38"/>
    </row>
    <row r="473" spans="1:14" ht="14.15" customHeight="1">
      <c r="A473" s="404">
        <f t="shared" si="50"/>
        <v>467</v>
      </c>
      <c r="B473" s="20" t="s">
        <v>500</v>
      </c>
      <c r="C473" s="16">
        <f>SUM(C468:C472)</f>
        <v>5997042.4699999997</v>
      </c>
      <c r="D473" s="16">
        <f>SUM(D468:D472)</f>
        <v>119747.46999999974</v>
      </c>
      <c r="E473" s="16">
        <f>SUM(E468:E472)</f>
        <v>5877295</v>
      </c>
      <c r="F473" s="16">
        <f>SUM(F468:F472)</f>
        <v>-6243195.5300000003</v>
      </c>
      <c r="G473" s="16">
        <f>SUM(G468:G472)</f>
        <v>-365900.53000000026</v>
      </c>
      <c r="H473" s="16"/>
      <c r="I473" s="17"/>
      <c r="J473" s="38"/>
      <c r="K473" s="38"/>
      <c r="L473" s="469" t="s">
        <v>1124</v>
      </c>
    </row>
    <row r="474" spans="1:14" ht="14.15" customHeight="1">
      <c r="A474" s="404">
        <f t="shared" si="50"/>
        <v>468</v>
      </c>
      <c r="B474" s="157"/>
      <c r="C474" s="16"/>
      <c r="D474" s="16"/>
      <c r="E474" s="124"/>
      <c r="F474" s="16"/>
      <c r="G474" s="43"/>
      <c r="H474" s="43"/>
      <c r="I474" s="15"/>
      <c r="J474" s="38"/>
      <c r="K474" s="38"/>
    </row>
    <row r="475" spans="1:14" ht="14.15" customHeight="1">
      <c r="A475" s="404">
        <f t="shared" si="50"/>
        <v>469</v>
      </c>
      <c r="B475" s="20" t="s">
        <v>1054</v>
      </c>
      <c r="C475" s="16"/>
      <c r="D475" s="65"/>
      <c r="E475" s="16"/>
      <c r="F475" s="16"/>
      <c r="G475" s="10"/>
      <c r="H475" s="10"/>
      <c r="I475" s="15"/>
      <c r="J475" s="38"/>
      <c r="K475" s="38"/>
    </row>
    <row r="476" spans="1:14" ht="14.15" customHeight="1">
      <c r="A476" s="404">
        <f t="shared" si="50"/>
        <v>470</v>
      </c>
      <c r="B476" s="57" t="s">
        <v>1055</v>
      </c>
      <c r="C476" s="10">
        <f>214594.82+3880652.78+4174373.99</f>
        <v>8269621.5899999999</v>
      </c>
      <c r="D476" s="43">
        <f>C476-E476</f>
        <v>120904.58999999985</v>
      </c>
      <c r="E476" s="10">
        <f>ROUND((J476)+(C476-J476-J477)*'Allocation Factors'!$G$16,0)</f>
        <v>8148717</v>
      </c>
      <c r="F476" s="10">
        <f>'Sch 5'!C461</f>
        <v>-85273.730000000156</v>
      </c>
      <c r="G476" s="10">
        <f>E476+F476</f>
        <v>8063443.2699999996</v>
      </c>
      <c r="H476" s="10"/>
      <c r="I476" s="15" t="s">
        <v>342</v>
      </c>
      <c r="J476" s="38">
        <v>209318.32</v>
      </c>
      <c r="K476" s="404" t="s">
        <v>1066</v>
      </c>
    </row>
    <row r="477" spans="1:14" ht="14.15" customHeight="1">
      <c r="A477" s="404">
        <f t="shared" si="50"/>
        <v>471</v>
      </c>
      <c r="B477" s="20" t="s">
        <v>501</v>
      </c>
      <c r="C477" s="47">
        <f>SUM(C476:C476)</f>
        <v>8269621.5899999999</v>
      </c>
      <c r="D477" s="47">
        <f>SUM(D476:D476)</f>
        <v>120904.58999999985</v>
      </c>
      <c r="E477" s="47">
        <f>SUM(E476:E476)</f>
        <v>8148717</v>
      </c>
      <c r="F477" s="47">
        <f>SUM(F476:F476)</f>
        <v>-85273.730000000156</v>
      </c>
      <c r="G477" s="47">
        <f>SUM(G476:G476)</f>
        <v>8063443.2699999996</v>
      </c>
      <c r="H477" s="47"/>
      <c r="I477" s="140"/>
      <c r="J477" s="38"/>
      <c r="K477" s="404"/>
      <c r="L477" s="408" t="s">
        <v>1135</v>
      </c>
    </row>
    <row r="478" spans="1:14" ht="14.15" customHeight="1">
      <c r="A478" s="404">
        <f t="shared" si="50"/>
        <v>472</v>
      </c>
      <c r="B478" s="57"/>
      <c r="C478" s="64"/>
      <c r="D478" s="64"/>
      <c r="E478" s="58"/>
      <c r="F478" s="145"/>
      <c r="G478" s="64"/>
      <c r="H478" s="64"/>
      <c r="I478" s="129"/>
      <c r="J478" s="38"/>
      <c r="K478" s="38"/>
      <c r="N478" s="404"/>
    </row>
    <row r="479" spans="1:14" ht="14.15" customHeight="1" thickBot="1">
      <c r="A479" s="404">
        <f t="shared" si="50"/>
        <v>473</v>
      </c>
      <c r="B479" s="59" t="s">
        <v>502</v>
      </c>
      <c r="C479" s="132">
        <f>C465+C473+C477</f>
        <v>125983659.73999999</v>
      </c>
      <c r="D479" s="132">
        <f>D465+D473+D477</f>
        <v>1381277.7399999979</v>
      </c>
      <c r="E479" s="132">
        <f>E465+E473+E477</f>
        <v>124602382</v>
      </c>
      <c r="F479" s="132">
        <f>F465+F473+F477</f>
        <v>-8351712.5660330011</v>
      </c>
      <c r="G479" s="132">
        <f>G465+G473+G477</f>
        <v>116250669.43396698</v>
      </c>
      <c r="H479" s="132"/>
      <c r="I479" s="152"/>
      <c r="J479" s="38"/>
      <c r="K479" s="38"/>
    </row>
    <row r="480" spans="1:14" ht="14.15" customHeight="1" thickTop="1">
      <c r="A480" s="404">
        <f t="shared" si="50"/>
        <v>474</v>
      </c>
      <c r="B480" s="123"/>
      <c r="C480" s="16"/>
      <c r="D480" s="16"/>
      <c r="E480" s="16"/>
      <c r="F480" s="16"/>
      <c r="G480" s="19"/>
      <c r="H480" s="19"/>
      <c r="I480" s="17"/>
      <c r="J480" s="38"/>
      <c r="K480" s="38"/>
    </row>
    <row r="481" spans="1:12" ht="14.15" customHeight="1">
      <c r="A481" s="404">
        <f t="shared" si="50"/>
        <v>475</v>
      </c>
      <c r="B481" s="20" t="s">
        <v>288</v>
      </c>
      <c r="C481" s="43"/>
      <c r="D481" s="16"/>
      <c r="E481" s="48"/>
      <c r="F481" s="43"/>
      <c r="G481" s="10"/>
      <c r="H481" s="10"/>
      <c r="I481" s="15"/>
      <c r="J481" s="38"/>
      <c r="K481" s="38"/>
    </row>
    <row r="482" spans="1:12" ht="14.15" customHeight="1">
      <c r="A482" s="404">
        <f t="shared" si="50"/>
        <v>476</v>
      </c>
      <c r="B482" s="13" t="s">
        <v>289</v>
      </c>
      <c r="C482" s="43"/>
      <c r="D482" s="16"/>
      <c r="E482" s="43"/>
      <c r="F482" s="43"/>
      <c r="G482" s="10"/>
      <c r="H482" s="10"/>
      <c r="I482" s="15"/>
      <c r="J482" s="38"/>
      <c r="K482" s="38"/>
    </row>
    <row r="483" spans="1:12" ht="14.15" customHeight="1">
      <c r="A483" s="404">
        <f t="shared" si="50"/>
        <v>477</v>
      </c>
      <c r="B483" s="22" t="s">
        <v>290</v>
      </c>
      <c r="C483" s="10">
        <f>3696111.31-1520481.09</f>
        <v>2175630.2199999997</v>
      </c>
      <c r="D483" s="43">
        <f>C483-E483</f>
        <v>19580.219999999739</v>
      </c>
      <c r="E483" s="43">
        <f>ROUND(C483*'Allocation Factors'!$G$30,0)</f>
        <v>2156050</v>
      </c>
      <c r="F483" s="10">
        <f>'Sch 5'!C468</f>
        <v>266730.63459787978</v>
      </c>
      <c r="G483" s="10">
        <f>E483+F483</f>
        <v>2422780.6345978798</v>
      </c>
      <c r="H483" s="10"/>
      <c r="I483" s="15" t="s">
        <v>366</v>
      </c>
      <c r="J483" s="38"/>
      <c r="K483" s="38"/>
      <c r="L483" s="469" t="s">
        <v>903</v>
      </c>
    </row>
    <row r="484" spans="1:12" ht="14.15" customHeight="1">
      <c r="A484" s="404">
        <f t="shared" si="50"/>
        <v>478</v>
      </c>
      <c r="B484" s="22" t="s">
        <v>291</v>
      </c>
      <c r="C484" s="10">
        <f>17339.19-7497.17</f>
        <v>9842.0199999999986</v>
      </c>
      <c r="D484" s="43">
        <f>C484-E484</f>
        <v>89.019999999998618</v>
      </c>
      <c r="E484" s="43">
        <f>ROUND(C484*'Allocation Factors'!$G$30,0)</f>
        <v>9753</v>
      </c>
      <c r="F484" s="10">
        <f>'Sch 5'!C469</f>
        <v>89.019999999998618</v>
      </c>
      <c r="G484" s="10">
        <f>E484+F484</f>
        <v>9842.0199999999986</v>
      </c>
      <c r="H484" s="10"/>
      <c r="I484" s="15" t="s">
        <v>366</v>
      </c>
      <c r="J484" s="38"/>
      <c r="K484" s="38"/>
      <c r="L484" s="469" t="s">
        <v>904</v>
      </c>
    </row>
    <row r="485" spans="1:12" ht="14.15" customHeight="1">
      <c r="A485" s="404">
        <f t="shared" si="50"/>
        <v>479</v>
      </c>
      <c r="B485" s="56" t="s">
        <v>292</v>
      </c>
      <c r="C485" s="10">
        <f>25112.39-8300.05</f>
        <v>16812.34</v>
      </c>
      <c r="D485" s="43">
        <f>C485-E485</f>
        <v>151.34000000000015</v>
      </c>
      <c r="E485" s="43">
        <f>ROUND(((C485-J485)*'Allocation Factors'!$G$30),0)</f>
        <v>16661</v>
      </c>
      <c r="F485" s="10">
        <f>'Sch 5'!C470</f>
        <v>151.34000000000015</v>
      </c>
      <c r="G485" s="10">
        <f>E485+F485</f>
        <v>16812.34</v>
      </c>
      <c r="H485" s="10"/>
      <c r="I485" s="15" t="s">
        <v>387</v>
      </c>
      <c r="J485" s="38"/>
      <c r="K485" s="38"/>
      <c r="L485" s="469" t="s">
        <v>905</v>
      </c>
    </row>
    <row r="486" spans="1:12" ht="14.15" customHeight="1">
      <c r="A486" s="404">
        <f t="shared" si="50"/>
        <v>480</v>
      </c>
      <c r="B486" s="20" t="s">
        <v>503</v>
      </c>
      <c r="C486" s="80">
        <f>SUM(C483:C485)</f>
        <v>2202284.5799999996</v>
      </c>
      <c r="D486" s="80">
        <f>SUM(D481:D485)</f>
        <v>19820.579999999736</v>
      </c>
      <c r="E486" s="80">
        <f>SUM(E482:E485)</f>
        <v>2182464</v>
      </c>
      <c r="F486" s="80">
        <f>SUM(F482:F485)</f>
        <v>266970.99459787982</v>
      </c>
      <c r="G486" s="80">
        <f>SUM(G483:G485)</f>
        <v>2449434.9945978797</v>
      </c>
      <c r="H486" s="80"/>
      <c r="I486" s="141"/>
      <c r="J486" s="38"/>
      <c r="K486" s="38"/>
    </row>
    <row r="487" spans="1:12" ht="14.15" customHeight="1">
      <c r="A487" s="404">
        <f t="shared" si="50"/>
        <v>481</v>
      </c>
      <c r="B487" s="123"/>
      <c r="C487" s="16"/>
      <c r="D487" s="16"/>
      <c r="E487" s="16"/>
      <c r="F487" s="16"/>
      <c r="G487" s="43"/>
      <c r="H487" s="43"/>
      <c r="I487" s="15"/>
      <c r="J487" s="38"/>
      <c r="K487" s="38"/>
    </row>
    <row r="488" spans="1:12" ht="37.5" customHeight="1">
      <c r="A488" s="404">
        <f t="shared" si="50"/>
        <v>482</v>
      </c>
      <c r="B488" s="22" t="s">
        <v>293</v>
      </c>
      <c r="C488" s="10">
        <f>-25903.25-1054977.68+8399299.56+6243500</f>
        <v>13561918.630000001</v>
      </c>
      <c r="D488" s="43">
        <f>C488-E488</f>
        <v>271238.63000000082</v>
      </c>
      <c r="E488" s="43">
        <f>ROUND((C488-J488)*'Allocation Factors'!$G$24,0)</f>
        <v>13290680</v>
      </c>
      <c r="F488" s="10">
        <f>'Sch 5'!C473</f>
        <v>4345218.9866666663</v>
      </c>
      <c r="G488" s="10">
        <f>E488+F488</f>
        <v>17635898.986666664</v>
      </c>
      <c r="H488" s="10"/>
      <c r="I488" s="15" t="s">
        <v>350</v>
      </c>
      <c r="J488" s="38"/>
      <c r="K488" s="38"/>
      <c r="L488" s="410" t="s">
        <v>1136</v>
      </c>
    </row>
    <row r="489" spans="1:12" ht="14.15" customHeight="1">
      <c r="A489" s="404">
        <f t="shared" si="50"/>
        <v>483</v>
      </c>
      <c r="B489" s="22" t="s">
        <v>322</v>
      </c>
      <c r="C489" s="10">
        <v>0</v>
      </c>
      <c r="D489" s="43">
        <f>C489-E489</f>
        <v>0</v>
      </c>
      <c r="E489" s="43">
        <f>ROUND(C489*'Allocation Factors'!$G$24,0)</f>
        <v>0</v>
      </c>
      <c r="F489" s="10">
        <f>'Sch 5'!C474</f>
        <v>0</v>
      </c>
      <c r="G489" s="10">
        <f>E489+F489</f>
        <v>0</v>
      </c>
      <c r="H489" s="10"/>
      <c r="I489" s="15" t="s">
        <v>350</v>
      </c>
      <c r="J489" s="38"/>
      <c r="K489" s="38"/>
    </row>
    <row r="490" spans="1:12" ht="14.15" customHeight="1">
      <c r="A490" s="404">
        <f t="shared" si="50"/>
        <v>484</v>
      </c>
      <c r="B490" s="22" t="s">
        <v>323</v>
      </c>
      <c r="C490" s="10">
        <v>0</v>
      </c>
      <c r="D490" s="43">
        <f t="shared" ref="D490:D497" si="51">C490-E490</f>
        <v>0</v>
      </c>
      <c r="E490" s="43">
        <f>ROUND(C490*'Allocation Factors'!$G$34,0)</f>
        <v>0</v>
      </c>
      <c r="F490" s="10">
        <f>'Sch 5'!C475</f>
        <v>0</v>
      </c>
      <c r="G490" s="10">
        <f t="shared" ref="G490:G497" si="52">E490+F490</f>
        <v>0</v>
      </c>
      <c r="H490" s="10"/>
      <c r="I490" s="15" t="s">
        <v>358</v>
      </c>
      <c r="J490" s="38"/>
      <c r="K490" s="38"/>
      <c r="L490" s="469" t="s">
        <v>907</v>
      </c>
    </row>
    <row r="491" spans="1:12" ht="33.75" customHeight="1">
      <c r="A491" s="404">
        <f t="shared" si="50"/>
        <v>485</v>
      </c>
      <c r="B491" s="22" t="s">
        <v>295</v>
      </c>
      <c r="C491" s="10">
        <f>31893.6+23957.45</f>
        <v>55851.05</v>
      </c>
      <c r="D491" s="43">
        <f t="shared" si="51"/>
        <v>1117.0500000000029</v>
      </c>
      <c r="E491" s="43">
        <f>ROUND(C491*'Allocation Factors'!$G$24,0)</f>
        <v>54734</v>
      </c>
      <c r="F491" s="10">
        <f>'Sch 5'!C476</f>
        <v>1117.0500000000029</v>
      </c>
      <c r="G491" s="10">
        <f t="shared" si="52"/>
        <v>55851.05</v>
      </c>
      <c r="H491" s="10"/>
      <c r="I491" s="15" t="s">
        <v>350</v>
      </c>
      <c r="J491" s="38"/>
      <c r="K491" s="38"/>
      <c r="L491" s="410" t="s">
        <v>1137</v>
      </c>
    </row>
    <row r="492" spans="1:12" ht="14.15" customHeight="1">
      <c r="A492" s="404">
        <f t="shared" si="50"/>
        <v>486</v>
      </c>
      <c r="B492" s="22" t="s">
        <v>296</v>
      </c>
      <c r="C492" s="10">
        <v>0</v>
      </c>
      <c r="D492" s="43">
        <f t="shared" si="51"/>
        <v>0</v>
      </c>
      <c r="E492" s="43">
        <f>C492</f>
        <v>0</v>
      </c>
      <c r="F492" s="10">
        <f>'Sch 5'!C477</f>
        <v>0</v>
      </c>
      <c r="G492" s="10">
        <f>E492+F492</f>
        <v>0</v>
      </c>
      <c r="H492" s="10"/>
      <c r="I492" s="15" t="s">
        <v>358</v>
      </c>
      <c r="J492" s="38"/>
      <c r="K492" s="38"/>
      <c r="L492" s="469" t="s">
        <v>908</v>
      </c>
    </row>
    <row r="493" spans="1:12" ht="14.15" customHeight="1">
      <c r="A493" s="404">
        <f t="shared" si="50"/>
        <v>487</v>
      </c>
      <c r="B493" s="22" t="s">
        <v>743</v>
      </c>
      <c r="C493" s="10">
        <f>-224843.4-449686.8-534124.77+3748250.55+2935782.15</f>
        <v>5475377.7300000004</v>
      </c>
      <c r="D493" s="43">
        <f t="shared" si="51"/>
        <v>82130.730000000447</v>
      </c>
      <c r="E493" s="43">
        <f>ROUND(C493*'Allocation Factors'!$G$10,0)</f>
        <v>5393247</v>
      </c>
      <c r="F493" s="10">
        <f>'Sch 5'!C478</f>
        <v>1272655.7300000004</v>
      </c>
      <c r="G493" s="10">
        <f>E493+F493</f>
        <v>6665902.7300000004</v>
      </c>
      <c r="H493" s="10"/>
      <c r="I493" s="236" t="s">
        <v>337</v>
      </c>
      <c r="J493" s="38"/>
      <c r="K493" s="38"/>
      <c r="L493" s="408" t="s">
        <v>1138</v>
      </c>
    </row>
    <row r="494" spans="1:12" ht="34.5" customHeight="1">
      <c r="A494" s="404">
        <f t="shared" si="50"/>
        <v>488</v>
      </c>
      <c r="B494" s="22" t="s">
        <v>1150</v>
      </c>
      <c r="C494" s="10">
        <f>11690.17+7706.46</f>
        <v>19396.63</v>
      </c>
      <c r="D494" s="43">
        <f t="shared" si="51"/>
        <v>-0.36999999999898137</v>
      </c>
      <c r="E494" s="43">
        <f>ROUND(C494*'Allocation Factors'!$G$34,0)</f>
        <v>19397</v>
      </c>
      <c r="F494" s="10">
        <f>'Sch 5'!C479</f>
        <v>-0.36999999999898137</v>
      </c>
      <c r="G494" s="10">
        <f t="shared" si="52"/>
        <v>19396.63</v>
      </c>
      <c r="H494" s="10"/>
      <c r="I494" s="15" t="s">
        <v>358</v>
      </c>
      <c r="J494" s="38"/>
      <c r="K494" s="38"/>
      <c r="L494" s="472" t="s">
        <v>1139</v>
      </c>
    </row>
    <row r="495" spans="1:12" ht="13.5" customHeight="1">
      <c r="A495" s="404">
        <f t="shared" si="50"/>
        <v>489</v>
      </c>
      <c r="B495" s="22" t="s">
        <v>297</v>
      </c>
      <c r="C495" s="10">
        <v>0</v>
      </c>
      <c r="D495" s="43">
        <f t="shared" si="51"/>
        <v>0</v>
      </c>
      <c r="E495" s="43">
        <f>ROUND(C495*'Allocation Factors'!$G$34,0)</f>
        <v>0</v>
      </c>
      <c r="F495" s="10">
        <f>'Sch 5'!C480</f>
        <v>0</v>
      </c>
      <c r="G495" s="10">
        <f t="shared" si="52"/>
        <v>0</v>
      </c>
      <c r="H495" s="10"/>
      <c r="I495" s="15" t="s">
        <v>358</v>
      </c>
      <c r="J495" s="38"/>
      <c r="K495" s="38"/>
      <c r="L495" s="469" t="s">
        <v>906</v>
      </c>
    </row>
    <row r="496" spans="1:12" ht="14.15" customHeight="1">
      <c r="A496" s="404">
        <f t="shared" si="50"/>
        <v>490</v>
      </c>
      <c r="B496" s="22" t="s">
        <v>298</v>
      </c>
      <c r="C496" s="10">
        <f>13842.23+871.74</f>
        <v>14713.97</v>
      </c>
      <c r="D496" s="43">
        <f t="shared" si="51"/>
        <v>131.96999999999935</v>
      </c>
      <c r="E496" s="43">
        <f>ROUND(C496*'Allocation Factors'!$G$30,0)</f>
        <v>14582</v>
      </c>
      <c r="F496" s="10">
        <f>'Sch 5'!C481</f>
        <v>131.96999999999935</v>
      </c>
      <c r="G496" s="10">
        <f t="shared" si="52"/>
        <v>14713.97</v>
      </c>
      <c r="H496" s="10"/>
      <c r="I496" s="15" t="s">
        <v>366</v>
      </c>
      <c r="J496" s="38"/>
      <c r="K496" s="38"/>
      <c r="L496" s="408" t="s">
        <v>1140</v>
      </c>
    </row>
    <row r="497" spans="1:12" ht="39" customHeight="1">
      <c r="A497" s="404">
        <f t="shared" si="50"/>
        <v>491</v>
      </c>
      <c r="B497" s="56" t="s">
        <v>299</v>
      </c>
      <c r="C497" s="10">
        <f>-372463.1-832.23+181332+275960+7431.19+8389.44+6250</f>
        <v>106067.30000000005</v>
      </c>
      <c r="D497" s="43">
        <f t="shared" si="51"/>
        <v>2121.3000000000466</v>
      </c>
      <c r="E497" s="43">
        <f>ROUND(C497*'Allocation Factors'!$G$22,0)</f>
        <v>103946</v>
      </c>
      <c r="F497" s="10">
        <f>'Sch 5'!C482</f>
        <v>2121.3000000000466</v>
      </c>
      <c r="G497" s="10">
        <f t="shared" si="52"/>
        <v>106067.30000000005</v>
      </c>
      <c r="H497" s="10"/>
      <c r="I497" s="15" t="s">
        <v>348</v>
      </c>
      <c r="J497" s="38"/>
      <c r="K497" s="38"/>
      <c r="L497" s="469" t="s">
        <v>1141</v>
      </c>
    </row>
    <row r="498" spans="1:12" ht="14.15" customHeight="1">
      <c r="A498" s="404">
        <f t="shared" si="50"/>
        <v>492</v>
      </c>
      <c r="B498" s="20" t="s">
        <v>504</v>
      </c>
      <c r="C498" s="80">
        <f>SUM(C486:C497)</f>
        <v>21435609.890000001</v>
      </c>
      <c r="D498" s="80">
        <f>SUM(D486:D497)</f>
        <v>376559.890000001</v>
      </c>
      <c r="E498" s="80">
        <f>SUM(E486:E497)</f>
        <v>21059050</v>
      </c>
      <c r="F498" s="80">
        <f>SUM(F486:F497)</f>
        <v>5888215.6612645462</v>
      </c>
      <c r="G498" s="80">
        <f>SUM(G486:G497)</f>
        <v>26947265.661264542</v>
      </c>
      <c r="H498" s="80"/>
      <c r="I498" s="141"/>
      <c r="J498" s="38"/>
      <c r="K498" s="38"/>
    </row>
    <row r="499" spans="1:12" ht="14.15" customHeight="1">
      <c r="A499" s="404">
        <f t="shared" si="50"/>
        <v>493</v>
      </c>
      <c r="B499" s="20"/>
      <c r="C499" s="16"/>
      <c r="D499" s="16"/>
      <c r="E499" s="124"/>
      <c r="F499" s="16"/>
      <c r="G499" s="16"/>
      <c r="H499" s="16"/>
      <c r="I499" s="17"/>
      <c r="J499" s="38"/>
      <c r="K499" s="38"/>
    </row>
    <row r="500" spans="1:12" ht="14.15" customHeight="1">
      <c r="A500" s="404">
        <f t="shared" si="50"/>
        <v>494</v>
      </c>
      <c r="B500" s="22" t="s">
        <v>755</v>
      </c>
      <c r="C500" s="43">
        <f>('Sch 8'!E42+'Sch 8'!G42)*-1</f>
        <v>-567697.8600000001</v>
      </c>
      <c r="D500" s="43">
        <f>C500-E500</f>
        <v>-8515.8600000001024</v>
      </c>
      <c r="E500" s="43">
        <f>ROUND(C500*'Allocation Factors'!$G$10,0)</f>
        <v>-559182</v>
      </c>
      <c r="F500" s="10">
        <f>'Sch 5'!C485</f>
        <v>-3948965.8600000003</v>
      </c>
      <c r="G500" s="10">
        <f>E500+F500</f>
        <v>-4508147.8600000003</v>
      </c>
      <c r="H500" s="10"/>
      <c r="I500" s="15" t="s">
        <v>337</v>
      </c>
      <c r="J500" s="38"/>
      <c r="K500" s="38"/>
    </row>
    <row r="501" spans="1:12" ht="14.15" customHeight="1">
      <c r="A501" s="404">
        <f t="shared" si="50"/>
        <v>495</v>
      </c>
      <c r="B501" s="22" t="s">
        <v>756</v>
      </c>
      <c r="C501" s="43">
        <f>('Sch 8'!I42+'Sch 8'!K42)*-1</f>
        <v>-3835072.13</v>
      </c>
      <c r="D501" s="43">
        <f>C501-E501</f>
        <v>-57526.129999999888</v>
      </c>
      <c r="E501" s="43">
        <f>ROUND(C501*'Allocation Factors'!$G$16,0)</f>
        <v>-3777546</v>
      </c>
      <c r="F501" s="10">
        <f>'Sch 5'!C486</f>
        <v>-57526.129999999888</v>
      </c>
      <c r="G501" s="10">
        <f>E501+F501</f>
        <v>-3835072.13</v>
      </c>
      <c r="H501" s="10"/>
      <c r="I501" s="15" t="s">
        <v>342</v>
      </c>
      <c r="J501" s="38"/>
      <c r="K501" s="38"/>
    </row>
    <row r="502" spans="1:12" ht="14.15" customHeight="1">
      <c r="A502" s="404">
        <f t="shared" si="50"/>
        <v>496</v>
      </c>
      <c r="B502" s="22" t="s">
        <v>757</v>
      </c>
      <c r="C502" s="43">
        <f>('Sch 8'!M42+'Sch 8'!O42)*-1</f>
        <v>-1363411.52</v>
      </c>
      <c r="D502" s="43">
        <f>C502-E502</f>
        <v>-1363.5200000000186</v>
      </c>
      <c r="E502" s="43">
        <f>ROUND(C502*'Allocation Factors'!$G$18,0)</f>
        <v>-1362048</v>
      </c>
      <c r="F502" s="10">
        <f>'Sch 5'!C487</f>
        <v>-1363.5200000000186</v>
      </c>
      <c r="G502" s="10">
        <f>E502+F502</f>
        <v>-1363411.52</v>
      </c>
      <c r="H502" s="10"/>
      <c r="I502" s="15" t="s">
        <v>344</v>
      </c>
      <c r="J502" s="38"/>
      <c r="K502" s="38"/>
    </row>
    <row r="503" spans="1:12" ht="14.15" customHeight="1">
      <c r="A503" s="404">
        <f t="shared" si="50"/>
        <v>497</v>
      </c>
      <c r="B503" s="22" t="s">
        <v>758</v>
      </c>
      <c r="C503" s="43">
        <f>('Sch 8'!Q42+'Sch 8'!S42)*-1</f>
        <v>-136388.51</v>
      </c>
      <c r="D503" s="43">
        <f>C503-E503</f>
        <v>-2727.5100000000093</v>
      </c>
      <c r="E503" s="43">
        <f>ROUND(C503*'Allocation Factors'!$G$22,0)</f>
        <v>-133661</v>
      </c>
      <c r="F503" s="10">
        <f>'Sch 5'!C488</f>
        <v>-2727.5100000000093</v>
      </c>
      <c r="G503" s="10">
        <f>E503+F503</f>
        <v>-136388.51</v>
      </c>
      <c r="H503" s="10"/>
      <c r="I503" s="15" t="s">
        <v>348</v>
      </c>
      <c r="J503" s="38"/>
      <c r="K503" s="38"/>
    </row>
    <row r="504" spans="1:12" ht="14.15" customHeight="1">
      <c r="A504" s="404">
        <f t="shared" si="50"/>
        <v>498</v>
      </c>
      <c r="B504" s="22" t="s">
        <v>881</v>
      </c>
      <c r="C504" s="43">
        <f>('Sch 8'!U42+'Sch 8'!W42)*-1</f>
        <v>-136479.04000000001</v>
      </c>
      <c r="D504" s="43">
        <f>C504-E504</f>
        <v>-2730.0400000000081</v>
      </c>
      <c r="E504" s="43">
        <f>ROUND(C504*'Allocation Factors'!$G$22,0)</f>
        <v>-133749</v>
      </c>
      <c r="F504" s="10">
        <f>'Sch 5'!C489</f>
        <v>-2730.0400000000081</v>
      </c>
      <c r="G504" s="10">
        <f>E504+F504</f>
        <v>-136479.04000000001</v>
      </c>
      <c r="H504" s="10"/>
      <c r="I504" s="15" t="s">
        <v>348</v>
      </c>
      <c r="J504" s="38"/>
      <c r="K504" s="38"/>
    </row>
    <row r="505" spans="1:12" ht="14.15" customHeight="1">
      <c r="A505" s="404">
        <f t="shared" si="50"/>
        <v>499</v>
      </c>
      <c r="B505" s="22"/>
      <c r="C505" s="43"/>
      <c r="D505" s="43"/>
      <c r="E505" s="43"/>
      <c r="F505" s="10"/>
      <c r="G505" s="10"/>
      <c r="H505" s="10"/>
      <c r="I505" s="15"/>
      <c r="J505" s="38"/>
      <c r="K505" s="38"/>
    </row>
    <row r="506" spans="1:12" ht="14.15" customHeight="1">
      <c r="A506" s="404">
        <f t="shared" si="50"/>
        <v>500</v>
      </c>
      <c r="B506" s="22" t="s">
        <v>300</v>
      </c>
      <c r="C506" s="10">
        <v>1839861.6099999999</v>
      </c>
      <c r="D506" s="43">
        <f>C506-E506</f>
        <v>-0.39000000013038516</v>
      </c>
      <c r="E506" s="84">
        <f>ROUND(C506*'Allocation Factors'!$G$34,0)</f>
        <v>1839862</v>
      </c>
      <c r="F506" s="10">
        <f>'Sch 5'!C490</f>
        <v>-243878.88847500016</v>
      </c>
      <c r="G506" s="10">
        <f>E506+F506</f>
        <v>1595983.1115249998</v>
      </c>
      <c r="H506" s="10"/>
      <c r="I506" s="15" t="s">
        <v>358</v>
      </c>
      <c r="J506" s="38"/>
      <c r="K506" s="38"/>
      <c r="L506" s="469">
        <v>4310002</v>
      </c>
    </row>
    <row r="507" spans="1:12" ht="14.15" customHeight="1">
      <c r="A507" s="404">
        <f t="shared" si="50"/>
        <v>501</v>
      </c>
      <c r="B507" s="22"/>
      <c r="C507" s="43"/>
      <c r="D507" s="43"/>
      <c r="E507" s="14"/>
      <c r="F507" s="10"/>
      <c r="G507" s="10"/>
      <c r="H507" s="10"/>
      <c r="I507" s="15"/>
      <c r="J507" s="38"/>
      <c r="K507" s="38"/>
    </row>
    <row r="508" spans="1:12" ht="14.15" customHeight="1">
      <c r="A508" s="404">
        <f t="shared" si="50"/>
        <v>502</v>
      </c>
      <c r="B508" s="3" t="s">
        <v>301</v>
      </c>
      <c r="C508" s="43"/>
      <c r="D508" s="24"/>
      <c r="E508" s="11"/>
      <c r="F508" s="43"/>
      <c r="G508" s="10"/>
      <c r="H508" s="10"/>
      <c r="I508" s="15"/>
      <c r="J508" s="38"/>
      <c r="K508" s="38"/>
    </row>
    <row r="509" spans="1:12" ht="13.5" customHeight="1">
      <c r="A509" s="404">
        <f t="shared" si="50"/>
        <v>503</v>
      </c>
      <c r="B509" s="22" t="s">
        <v>302</v>
      </c>
      <c r="C509" s="10">
        <v>-15351</v>
      </c>
      <c r="D509" s="43">
        <f>J509</f>
        <v>0</v>
      </c>
      <c r="E509" s="43">
        <f>C509-D509</f>
        <v>-15351</v>
      </c>
      <c r="F509" s="10">
        <f>'Sch 5'!C493</f>
        <v>0</v>
      </c>
      <c r="G509" s="10">
        <f t="shared" ref="G509:G516" si="53">E509+F509</f>
        <v>-15351</v>
      </c>
      <c r="H509" s="10"/>
      <c r="I509" s="15" t="s">
        <v>358</v>
      </c>
      <c r="J509" s="38"/>
      <c r="K509" s="38"/>
      <c r="L509" s="469">
        <v>4116000</v>
      </c>
    </row>
    <row r="510" spans="1:12" ht="13.5" customHeight="1">
      <c r="A510" s="404">
        <f t="shared" si="50"/>
        <v>504</v>
      </c>
      <c r="B510" s="22" t="s">
        <v>303</v>
      </c>
      <c r="C510" s="10">
        <v>0</v>
      </c>
      <c r="D510" s="43">
        <f t="shared" ref="D510:D516" si="54">C510-E510</f>
        <v>0</v>
      </c>
      <c r="E510" s="43">
        <v>0</v>
      </c>
      <c r="F510" s="10">
        <f>'Sch 5'!C494</f>
        <v>0</v>
      </c>
      <c r="G510" s="10">
        <f t="shared" si="53"/>
        <v>0</v>
      </c>
      <c r="H510" s="10"/>
      <c r="I510" s="15" t="s">
        <v>54</v>
      </c>
      <c r="J510" s="38"/>
      <c r="K510" s="38"/>
      <c r="L510" s="469">
        <v>4117000</v>
      </c>
    </row>
    <row r="511" spans="1:12" ht="13.5" customHeight="1">
      <c r="A511" s="404">
        <f t="shared" si="50"/>
        <v>505</v>
      </c>
      <c r="B511" s="22" t="s">
        <v>744</v>
      </c>
      <c r="C511" s="10">
        <f>-7.2-180714.29</f>
        <v>-180721.49000000002</v>
      </c>
      <c r="D511" s="43">
        <f t="shared" si="54"/>
        <v>-2530.4900000000198</v>
      </c>
      <c r="E511" s="43">
        <f>ROUND(C511*'Allocation Factors'!$G$14,0)</f>
        <v>-178191</v>
      </c>
      <c r="F511" s="10">
        <f>'Sch 5'!C495</f>
        <v>-2530.4900000000198</v>
      </c>
      <c r="G511" s="10">
        <f t="shared" si="53"/>
        <v>-180721.49000000002</v>
      </c>
      <c r="H511" s="10"/>
      <c r="I511" s="15" t="s">
        <v>340</v>
      </c>
      <c r="J511" s="38"/>
      <c r="K511" s="38"/>
      <c r="L511" s="469" t="s">
        <v>1027</v>
      </c>
    </row>
    <row r="512" spans="1:12" ht="14.15" customHeight="1">
      <c r="A512" s="404">
        <f t="shared" ref="A512:A525" si="55">+A511+1</f>
        <v>506</v>
      </c>
      <c r="B512" s="22" t="s">
        <v>754</v>
      </c>
      <c r="C512" s="10">
        <v>2069335.87</v>
      </c>
      <c r="D512" s="43">
        <f t="shared" si="54"/>
        <v>31039.870000000112</v>
      </c>
      <c r="E512" s="43">
        <f>ROUND(C512*'Allocation Factors'!$G$10,0)</f>
        <v>2038296</v>
      </c>
      <c r="F512" s="10">
        <f>'Sch 5'!C496</f>
        <v>155606.52000000011</v>
      </c>
      <c r="G512" s="10">
        <f t="shared" si="53"/>
        <v>2193902.52</v>
      </c>
      <c r="H512" s="10"/>
      <c r="I512" s="15" t="s">
        <v>337</v>
      </c>
      <c r="J512" s="38"/>
      <c r="K512" s="38"/>
      <c r="L512" s="469">
        <v>4111005</v>
      </c>
    </row>
    <row r="513" spans="1:12" ht="13.5" customHeight="1">
      <c r="A513" s="404">
        <f t="shared" si="55"/>
        <v>507</v>
      </c>
      <c r="B513" s="22" t="s">
        <v>305</v>
      </c>
      <c r="C513" s="10">
        <f>3336658.47+1171191.15</f>
        <v>4507849.62</v>
      </c>
      <c r="D513" s="43">
        <f>C513-E513</f>
        <v>0</v>
      </c>
      <c r="E513" s="43">
        <f>J513</f>
        <v>4507849.62</v>
      </c>
      <c r="F513" s="10">
        <f>'Sch 5'!C497</f>
        <v>0</v>
      </c>
      <c r="G513" s="10">
        <f t="shared" si="53"/>
        <v>4507849.62</v>
      </c>
      <c r="H513" s="10"/>
      <c r="I513" s="15" t="s">
        <v>358</v>
      </c>
      <c r="J513" s="38">
        <f>C513</f>
        <v>4507849.62</v>
      </c>
      <c r="K513" s="404" t="s">
        <v>839</v>
      </c>
      <c r="L513" s="469" t="s">
        <v>948</v>
      </c>
    </row>
    <row r="514" spans="1:12" ht="13.5" customHeight="1">
      <c r="A514" s="404">
        <f t="shared" si="55"/>
        <v>508</v>
      </c>
      <c r="B514" s="22" t="s">
        <v>769</v>
      </c>
      <c r="C514" s="10">
        <v>-289.13</v>
      </c>
      <c r="D514" s="43">
        <f t="shared" si="54"/>
        <v>-6.1299999999999955</v>
      </c>
      <c r="E514" s="43">
        <f>ROUND(C514*'Allocation Factors'!$G$26,0)</f>
        <v>-283</v>
      </c>
      <c r="F514" s="10">
        <f>'Sch 5'!C498</f>
        <v>-7.1299999999999955</v>
      </c>
      <c r="G514" s="10">
        <f t="shared" si="53"/>
        <v>-290.13</v>
      </c>
      <c r="H514" s="10"/>
      <c r="I514" s="15" t="s">
        <v>351</v>
      </c>
      <c r="J514" s="38"/>
      <c r="L514" s="469">
        <v>4190005</v>
      </c>
    </row>
    <row r="515" spans="1:12" ht="13.5" customHeight="1">
      <c r="A515" s="404">
        <f t="shared" si="55"/>
        <v>509</v>
      </c>
      <c r="B515" s="22" t="s">
        <v>1101</v>
      </c>
      <c r="C515" s="10">
        <f>290215.27+4932777.06</f>
        <v>5222992.33</v>
      </c>
      <c r="D515" s="43">
        <f>C515</f>
        <v>5222992.33</v>
      </c>
      <c r="E515" s="43">
        <v>0</v>
      </c>
      <c r="F515" s="10">
        <f>'Sch 5'!C499</f>
        <v>0</v>
      </c>
      <c r="G515" s="10">
        <f t="shared" si="53"/>
        <v>0</v>
      </c>
      <c r="H515" s="10"/>
      <c r="I515" s="15" t="s">
        <v>54</v>
      </c>
      <c r="J515" s="38"/>
      <c r="L515" s="469" t="s">
        <v>1100</v>
      </c>
    </row>
    <row r="516" spans="1:12" ht="14.15" customHeight="1">
      <c r="A516" s="404">
        <f t="shared" si="55"/>
        <v>510</v>
      </c>
      <c r="B516" s="56" t="s">
        <v>768</v>
      </c>
      <c r="C516" s="64">
        <v>684535.59000000008</v>
      </c>
      <c r="D516" s="43">
        <f t="shared" si="54"/>
        <v>15059.590000000084</v>
      </c>
      <c r="E516" s="43">
        <f>ROUND((C516-(C516-J516))*'Allocation Factors'!$G$26,0)</f>
        <v>669476</v>
      </c>
      <c r="F516" s="10">
        <f>'Sch 5'!C500</f>
        <v>0</v>
      </c>
      <c r="G516" s="10">
        <f t="shared" si="53"/>
        <v>669476</v>
      </c>
      <c r="H516" s="10"/>
      <c r="I516" s="15" t="s">
        <v>351</v>
      </c>
      <c r="J516" s="43">
        <v>684535.59000000008</v>
      </c>
      <c r="K516" s="404" t="s">
        <v>895</v>
      </c>
      <c r="L516" s="469">
        <v>4310007</v>
      </c>
    </row>
    <row r="517" spans="1:12" ht="14.15" customHeight="1">
      <c r="A517" s="404">
        <f t="shared" si="55"/>
        <v>511</v>
      </c>
      <c r="B517" s="13" t="s">
        <v>307</v>
      </c>
      <c r="C517" s="47">
        <f>SUM(C509:C516)</f>
        <v>12288351.789999999</v>
      </c>
      <c r="D517" s="47">
        <f>SUM(D509:D516)</f>
        <v>5266555.17</v>
      </c>
      <c r="E517" s="47">
        <f>SUM(E509:E516)</f>
        <v>7021796.6200000001</v>
      </c>
      <c r="F517" s="47">
        <f>SUM(F509:F516)</f>
        <v>153068.90000000008</v>
      </c>
      <c r="G517" s="47">
        <f>SUM(G509:G516)</f>
        <v>7174865.5200000005</v>
      </c>
      <c r="H517" s="47"/>
      <c r="I517" s="153"/>
      <c r="J517" s="38"/>
      <c r="K517" s="38"/>
    </row>
    <row r="518" spans="1:12" ht="14.15" customHeight="1">
      <c r="A518" s="404">
        <f t="shared" si="55"/>
        <v>512</v>
      </c>
      <c r="B518" s="22"/>
      <c r="C518" s="43"/>
      <c r="D518" s="16"/>
      <c r="E518" s="43"/>
      <c r="F518" s="43"/>
      <c r="G518" s="43"/>
      <c r="H518" s="43"/>
      <c r="I518" s="15"/>
      <c r="J518" s="38"/>
      <c r="K518" s="38"/>
    </row>
    <row r="519" spans="1:12" ht="14.15" customHeight="1">
      <c r="A519" s="404">
        <f t="shared" si="55"/>
        <v>513</v>
      </c>
      <c r="B519" s="22"/>
      <c r="C519" s="43"/>
      <c r="D519" s="43"/>
      <c r="E519" s="43"/>
      <c r="F519" s="43"/>
      <c r="G519" s="43"/>
      <c r="H519" s="43"/>
      <c r="I519" s="15"/>
      <c r="J519" s="38"/>
      <c r="K519" s="38"/>
    </row>
    <row r="520" spans="1:12" ht="13.9" customHeight="1">
      <c r="A520" s="404">
        <f t="shared" si="55"/>
        <v>514</v>
      </c>
      <c r="B520" s="13" t="s">
        <v>308</v>
      </c>
      <c r="C520" s="43"/>
      <c r="D520" s="43"/>
      <c r="E520" s="43"/>
      <c r="F520" s="43"/>
      <c r="G520" s="10"/>
      <c r="H520" s="10"/>
      <c r="I520" s="15"/>
      <c r="J520" s="38"/>
      <c r="K520" s="38"/>
    </row>
    <row r="521" spans="1:12" ht="13.9" customHeight="1">
      <c r="A521" s="404">
        <f t="shared" si="55"/>
        <v>515</v>
      </c>
      <c r="B521" s="123" t="s">
        <v>324</v>
      </c>
      <c r="C521" s="43">
        <v>-2143873.2999999998</v>
      </c>
      <c r="D521" s="43">
        <f>C521-E521</f>
        <v>-886776.29999999981</v>
      </c>
      <c r="E521" s="194">
        <v>-1257097</v>
      </c>
      <c r="F521" s="10">
        <f>'Sch 5'!C505</f>
        <v>-140918.22003622132</v>
      </c>
      <c r="G521" s="10">
        <f>E521+F521</f>
        <v>-1398015.2200362212</v>
      </c>
      <c r="H521" s="10"/>
      <c r="I521" s="15" t="s">
        <v>54</v>
      </c>
      <c r="J521" s="38"/>
      <c r="K521" s="38"/>
      <c r="L521" s="470"/>
    </row>
    <row r="522" spans="1:12" ht="14.15" customHeight="1">
      <c r="A522" s="404">
        <f t="shared" si="55"/>
        <v>516</v>
      </c>
      <c r="B522" s="123" t="s">
        <v>309</v>
      </c>
      <c r="C522" s="43">
        <v>-4143717</v>
      </c>
      <c r="D522" s="43">
        <f>C522-E522</f>
        <v>-1877580</v>
      </c>
      <c r="E522" s="194">
        <v>-2266137</v>
      </c>
      <c r="F522" s="10">
        <f>'Sch 5'!C506</f>
        <v>-469374.66569704702</v>
      </c>
      <c r="G522" s="10">
        <f>E522+F522</f>
        <v>-2735511.665697047</v>
      </c>
      <c r="H522" s="10"/>
      <c r="I522" s="15" t="s">
        <v>54</v>
      </c>
      <c r="J522" s="38"/>
      <c r="K522" s="38"/>
      <c r="L522" s="470"/>
    </row>
    <row r="523" spans="1:12" ht="14.15" customHeight="1">
      <c r="A523" s="404">
        <f t="shared" si="55"/>
        <v>517</v>
      </c>
      <c r="B523" s="123" t="s">
        <v>310</v>
      </c>
      <c r="C523" s="43">
        <v>8216488.4500000002</v>
      </c>
      <c r="D523" s="43">
        <f>C523-E523</f>
        <v>505682.45000000019</v>
      </c>
      <c r="E523" s="195">
        <v>7710806</v>
      </c>
      <c r="F523" s="10">
        <f>'Sch 5'!C507</f>
        <v>4873835</v>
      </c>
      <c r="G523" s="10">
        <f>E523+F523</f>
        <v>12584641</v>
      </c>
      <c r="H523" s="10"/>
      <c r="I523" s="15" t="s">
        <v>54</v>
      </c>
      <c r="J523" s="38"/>
      <c r="K523" s="38"/>
      <c r="L523" s="470"/>
    </row>
    <row r="524" spans="1:12" ht="14.15" customHeight="1">
      <c r="A524" s="404">
        <f t="shared" si="55"/>
        <v>518</v>
      </c>
      <c r="B524" s="123" t="s">
        <v>311</v>
      </c>
      <c r="C524" s="43">
        <v>0</v>
      </c>
      <c r="D524" s="43">
        <f>C524-E524</f>
        <v>0</v>
      </c>
      <c r="E524" s="195">
        <v>0</v>
      </c>
      <c r="F524" s="10">
        <f>'Sch 5'!C508</f>
        <v>0</v>
      </c>
      <c r="G524" s="10">
        <f>E524+F524</f>
        <v>0</v>
      </c>
      <c r="H524" s="10"/>
      <c r="I524" s="15" t="s">
        <v>54</v>
      </c>
      <c r="J524" s="38"/>
      <c r="K524" s="38"/>
      <c r="L524" s="473"/>
    </row>
    <row r="525" spans="1:12" ht="14.15" customHeight="1">
      <c r="A525" s="404">
        <f t="shared" si="55"/>
        <v>519</v>
      </c>
      <c r="B525" s="57" t="s">
        <v>325</v>
      </c>
      <c r="C525" s="43">
        <v>0</v>
      </c>
      <c r="D525" s="43">
        <f>C525-E525</f>
        <v>0</v>
      </c>
      <c r="E525" s="468">
        <v>0</v>
      </c>
      <c r="F525" s="10">
        <f>'Sch 5'!C509</f>
        <v>0</v>
      </c>
      <c r="G525" s="10">
        <f>E525+F525</f>
        <v>0</v>
      </c>
      <c r="H525" s="10"/>
      <c r="I525" s="15" t="s">
        <v>54</v>
      </c>
      <c r="J525" s="38"/>
      <c r="K525" s="38"/>
      <c r="L525" s="470"/>
    </row>
    <row r="526" spans="1:12" ht="25.5">
      <c r="A526" s="404">
        <f>+A525+1</f>
        <v>520</v>
      </c>
      <c r="B526" s="13" t="s">
        <v>312</v>
      </c>
      <c r="C526" s="47">
        <f>SUM(C520:C525)</f>
        <v>1928898.1500000004</v>
      </c>
      <c r="D526" s="47">
        <f>SUM(D520:D525)</f>
        <v>-2258673.8499999996</v>
      </c>
      <c r="E526" s="47">
        <f>SUM(E520:E525)</f>
        <v>4187572</v>
      </c>
      <c r="F526" s="47">
        <f>SUM(F520:F525)</f>
        <v>4263542.1142667318</v>
      </c>
      <c r="G526" s="47">
        <f>SUM(G520:G525)</f>
        <v>8451114.1142667308</v>
      </c>
      <c r="H526" s="47"/>
      <c r="I526" s="153"/>
      <c r="J526" s="38"/>
      <c r="K526" s="38"/>
      <c r="L526" s="474" t="s">
        <v>949</v>
      </c>
    </row>
    <row r="527" spans="1:12" ht="14.15" customHeight="1">
      <c r="B527" s="22"/>
      <c r="C527" s="122"/>
      <c r="D527" s="122"/>
      <c r="E527" s="122"/>
      <c r="F527" s="122"/>
      <c r="G527" s="43"/>
      <c r="H527" s="43"/>
      <c r="I527" s="15"/>
      <c r="J527" s="38"/>
      <c r="K527" s="38"/>
    </row>
    <row r="528" spans="1:12" s="22" customFormat="1" ht="14.15" customHeight="1">
      <c r="A528" s="403"/>
      <c r="B528" s="13"/>
      <c r="C528" s="122"/>
      <c r="D528" s="177"/>
      <c r="E528" s="178"/>
      <c r="F528" s="178"/>
      <c r="G528" s="43"/>
      <c r="H528" s="43"/>
      <c r="I528" s="15"/>
      <c r="J528" s="65"/>
      <c r="K528" s="65"/>
      <c r="L528" s="469"/>
    </row>
    <row r="529" spans="1:12" s="22" customFormat="1" ht="14.15" customHeight="1">
      <c r="A529" s="403"/>
      <c r="C529" s="179"/>
      <c r="D529" s="177"/>
      <c r="E529" s="178"/>
      <c r="F529" s="178"/>
      <c r="G529" s="43"/>
      <c r="H529" s="243"/>
      <c r="I529" s="15"/>
      <c r="J529" s="65"/>
      <c r="K529" s="65"/>
      <c r="L529" s="469"/>
    </row>
    <row r="530" spans="1:12" s="22" customFormat="1" ht="14.15" customHeight="1">
      <c r="A530" s="403"/>
      <c r="C530" s="43"/>
      <c r="D530" s="178"/>
      <c r="E530" s="178"/>
      <c r="F530" s="178"/>
      <c r="G530" s="43"/>
      <c r="H530" s="243"/>
      <c r="I530" s="15"/>
      <c r="J530" s="65"/>
      <c r="K530" s="65"/>
      <c r="L530" s="469"/>
    </row>
    <row r="531" spans="1:12" s="22" customFormat="1" ht="14.15" customHeight="1">
      <c r="A531" s="403"/>
      <c r="C531" s="43"/>
      <c r="D531" s="178"/>
      <c r="E531" s="178"/>
      <c r="F531" s="178"/>
      <c r="G531" s="43"/>
      <c r="H531" s="43"/>
      <c r="I531" s="15"/>
      <c r="J531" s="65"/>
      <c r="K531" s="65"/>
      <c r="L531" s="469"/>
    </row>
    <row r="532" spans="1:12" s="22" customFormat="1" ht="14.15" customHeight="1">
      <c r="A532" s="403"/>
      <c r="C532" s="43"/>
      <c r="D532" s="178"/>
      <c r="E532" s="178"/>
      <c r="F532" s="178"/>
      <c r="G532" s="43"/>
      <c r="H532" s="43"/>
      <c r="I532" s="15"/>
      <c r="J532" s="65"/>
      <c r="K532" s="65"/>
      <c r="L532" s="469"/>
    </row>
    <row r="533" spans="1:12" s="22" customFormat="1" ht="14.15" customHeight="1">
      <c r="A533" s="403"/>
      <c r="B533" s="13"/>
      <c r="D533" s="122"/>
      <c r="E533" s="122"/>
      <c r="F533" s="178"/>
      <c r="G533" s="43"/>
      <c r="H533" s="43"/>
      <c r="I533" s="15"/>
      <c r="J533" s="65"/>
      <c r="K533" s="65"/>
      <c r="L533" s="469"/>
    </row>
    <row r="534" spans="1:12" s="22" customFormat="1" ht="14.15" customHeight="1">
      <c r="A534" s="403"/>
      <c r="C534" s="178"/>
      <c r="D534" s="177"/>
      <c r="E534" s="178"/>
      <c r="F534" s="178"/>
      <c r="G534" s="43"/>
      <c r="H534" s="43"/>
      <c r="I534" s="15"/>
      <c r="J534" s="65"/>
      <c r="K534" s="65"/>
      <c r="L534" s="469"/>
    </row>
    <row r="535" spans="1:12" s="22" customFormat="1" ht="14.15" customHeight="1">
      <c r="A535" s="403"/>
      <c r="C535" s="43"/>
      <c r="D535" s="178"/>
      <c r="E535" s="178"/>
      <c r="F535" s="178"/>
      <c r="G535" s="43"/>
      <c r="H535" s="43"/>
      <c r="I535" s="15"/>
      <c r="J535" s="65"/>
      <c r="K535" s="65"/>
      <c r="L535" s="469"/>
    </row>
    <row r="536" spans="1:12" s="22" customFormat="1" ht="14.15" customHeight="1">
      <c r="A536" s="403"/>
      <c r="C536" s="43"/>
      <c r="D536" s="178"/>
      <c r="E536" s="178"/>
      <c r="F536" s="178"/>
      <c r="G536" s="43"/>
      <c r="H536" s="43"/>
      <c r="I536" s="15"/>
      <c r="J536" s="65"/>
      <c r="K536" s="65"/>
      <c r="L536" s="469"/>
    </row>
    <row r="537" spans="1:12" s="22" customFormat="1" ht="14.15" customHeight="1">
      <c r="A537" s="403"/>
      <c r="C537" s="43"/>
      <c r="D537" s="178"/>
      <c r="E537" s="178"/>
      <c r="F537" s="178"/>
      <c r="G537" s="43"/>
      <c r="H537" s="43"/>
      <c r="I537" s="15"/>
      <c r="J537" s="65"/>
      <c r="K537" s="65"/>
      <c r="L537" s="469"/>
    </row>
    <row r="538" spans="1:12" s="22" customFormat="1" ht="14.15" customHeight="1">
      <c r="A538" s="403"/>
      <c r="C538" s="43"/>
      <c r="D538" s="178"/>
      <c r="E538" s="178"/>
      <c r="F538" s="178"/>
      <c r="G538" s="43"/>
      <c r="H538" s="43"/>
      <c r="I538" s="15"/>
      <c r="J538" s="180"/>
      <c r="K538" s="180"/>
      <c r="L538" s="469"/>
    </row>
    <row r="539" spans="1:12" s="22" customFormat="1" ht="14.15" customHeight="1">
      <c r="A539" s="403"/>
      <c r="C539" s="43"/>
      <c r="D539" s="178"/>
      <c r="E539" s="178"/>
      <c r="F539" s="178"/>
      <c r="G539" s="43"/>
      <c r="H539" s="43"/>
      <c r="I539" s="15"/>
      <c r="J539" s="65"/>
      <c r="K539" s="65"/>
      <c r="L539" s="469"/>
    </row>
    <row r="540" spans="1:12" s="22" customFormat="1" ht="14.15" customHeight="1">
      <c r="A540" s="403"/>
      <c r="B540" s="13"/>
      <c r="C540" s="178"/>
      <c r="D540" s="178"/>
      <c r="E540" s="178"/>
      <c r="F540" s="178"/>
      <c r="G540" s="43"/>
      <c r="H540" s="43"/>
      <c r="I540" s="181"/>
      <c r="J540" s="65"/>
      <c r="K540" s="65"/>
      <c r="L540" s="469"/>
    </row>
    <row r="541" spans="1:12" s="22" customFormat="1" ht="14.15" customHeight="1">
      <c r="A541" s="403"/>
      <c r="C541" s="43"/>
      <c r="D541" s="178"/>
      <c r="E541" s="178"/>
      <c r="F541" s="178"/>
      <c r="G541" s="43"/>
      <c r="H541" s="43"/>
      <c r="I541" s="15"/>
      <c r="J541" s="182"/>
      <c r="K541" s="182"/>
      <c r="L541" s="469"/>
    </row>
    <row r="542" spans="1:12" s="22" customFormat="1" ht="14.15" customHeight="1">
      <c r="A542" s="403"/>
      <c r="B542" s="13"/>
      <c r="C542" s="178"/>
      <c r="D542" s="178"/>
      <c r="E542" s="178"/>
      <c r="F542" s="178"/>
      <c r="G542" s="43"/>
      <c r="H542" s="43"/>
      <c r="I542" s="15"/>
      <c r="J542" s="178"/>
      <c r="K542" s="178"/>
      <c r="L542" s="469"/>
    </row>
    <row r="543" spans="1:12" s="22" customFormat="1" ht="14.15" customHeight="1">
      <c r="A543" s="403"/>
      <c r="E543" s="183"/>
      <c r="F543" s="183"/>
      <c r="G543" s="43"/>
      <c r="H543" s="43"/>
      <c r="I543" s="15"/>
      <c r="J543" s="182"/>
      <c r="K543" s="182"/>
      <c r="L543" s="469"/>
    </row>
    <row r="544" spans="1:12" s="22" customFormat="1" ht="14.15" customHeight="1">
      <c r="A544" s="403"/>
      <c r="B544" s="13"/>
      <c r="C544" s="78"/>
      <c r="D544" s="79"/>
      <c r="E544" s="79"/>
      <c r="F544" s="184"/>
      <c r="G544" s="43"/>
      <c r="H544" s="43"/>
      <c r="I544" s="15"/>
      <c r="J544" s="182"/>
      <c r="K544" s="182"/>
      <c r="L544" s="469"/>
    </row>
    <row r="545" spans="2:11" ht="14.15" customHeight="1">
      <c r="B545" s="22"/>
      <c r="D545" s="185"/>
      <c r="E545" s="185"/>
      <c r="F545" s="183"/>
      <c r="G545" s="10"/>
      <c r="H545" s="10"/>
      <c r="I545" s="15"/>
      <c r="J545" s="14"/>
      <c r="K545" s="14"/>
    </row>
    <row r="546" spans="2:11" ht="14.15" customHeight="1">
      <c r="B546" s="186"/>
      <c r="C546" s="38"/>
      <c r="D546" s="187"/>
      <c r="E546" s="188"/>
      <c r="F546" s="183"/>
      <c r="G546" s="10"/>
      <c r="H546" s="10"/>
      <c r="I546" s="15"/>
      <c r="J546" s="14"/>
      <c r="K546" s="14"/>
    </row>
    <row r="547" spans="2:11" ht="14.15" customHeight="1">
      <c r="B547" s="22"/>
      <c r="E547" s="189"/>
      <c r="F547" s="189"/>
      <c r="G547" s="10"/>
      <c r="H547" s="10"/>
      <c r="I547" s="181"/>
      <c r="J547" s="14"/>
      <c r="K547" s="14"/>
    </row>
    <row r="548" spans="2:11" ht="14.15" customHeight="1">
      <c r="B548" s="22"/>
      <c r="E548" s="188"/>
      <c r="F548" s="188"/>
      <c r="G548" s="10"/>
      <c r="H548" s="10"/>
      <c r="I548" s="181"/>
      <c r="J548" s="14"/>
      <c r="K548" s="14"/>
    </row>
    <row r="549" spans="2:11" ht="14.15" customHeight="1">
      <c r="B549" s="22"/>
      <c r="E549" s="188"/>
      <c r="F549" s="188"/>
      <c r="G549" s="10"/>
      <c r="H549" s="10"/>
      <c r="I549" s="181"/>
      <c r="J549" s="14"/>
      <c r="K549" s="14"/>
    </row>
    <row r="550" spans="2:11" ht="14.15" customHeight="1">
      <c r="B550" s="22"/>
      <c r="E550" s="190"/>
      <c r="F550" s="190"/>
      <c r="G550" s="10"/>
      <c r="H550" s="10"/>
      <c r="I550" s="181"/>
      <c r="J550" s="14"/>
      <c r="K550" s="14"/>
    </row>
    <row r="551" spans="2:11" ht="14.15" customHeight="1">
      <c r="B551" s="22"/>
      <c r="E551" s="188"/>
      <c r="F551" s="188"/>
      <c r="G551" s="10"/>
      <c r="H551" s="10"/>
      <c r="I551" s="181"/>
      <c r="J551" s="14"/>
      <c r="K551" s="14"/>
    </row>
    <row r="552" spans="2:11" ht="14.15" customHeight="1">
      <c r="B552" s="22"/>
      <c r="E552" s="188"/>
      <c r="F552" s="188"/>
      <c r="G552" s="10"/>
      <c r="H552" s="10"/>
      <c r="I552" s="181"/>
      <c r="J552" s="14"/>
      <c r="K552" s="14"/>
    </row>
    <row r="553" spans="2:11" ht="14.15" customHeight="1">
      <c r="B553" s="22"/>
      <c r="E553" s="188"/>
      <c r="F553" s="188"/>
      <c r="G553" s="10"/>
      <c r="H553" s="10"/>
      <c r="I553" s="181"/>
      <c r="J553" s="14"/>
      <c r="K553" s="14"/>
    </row>
    <row r="554" spans="2:11" ht="14.15" customHeight="1">
      <c r="B554" s="22"/>
      <c r="E554" s="188"/>
      <c r="F554" s="188"/>
      <c r="G554" s="10"/>
      <c r="H554" s="10"/>
      <c r="I554" s="181"/>
      <c r="J554" s="14"/>
      <c r="K554" s="14"/>
    </row>
    <row r="555" spans="2:11" ht="14.15" customHeight="1">
      <c r="B555" s="22"/>
      <c r="E555" s="188"/>
      <c r="F555" s="188"/>
      <c r="G555" s="10"/>
      <c r="H555" s="10"/>
      <c r="I555" s="181"/>
      <c r="J555" s="14"/>
      <c r="K555" s="14"/>
    </row>
    <row r="556" spans="2:11" ht="14.15" customHeight="1">
      <c r="B556" s="22"/>
      <c r="E556" s="188"/>
      <c r="F556" s="188"/>
      <c r="G556" s="10"/>
      <c r="H556" s="10"/>
      <c r="I556" s="181"/>
      <c r="J556" s="14"/>
      <c r="K556" s="14"/>
    </row>
    <row r="557" spans="2:11" ht="14.15" customHeight="1">
      <c r="B557" s="22"/>
      <c r="E557" s="188"/>
      <c r="F557" s="188"/>
      <c r="G557" s="10"/>
      <c r="H557" s="10"/>
      <c r="I557" s="181"/>
      <c r="J557" s="14"/>
      <c r="K557" s="14"/>
    </row>
    <row r="558" spans="2:11" ht="14.15" customHeight="1">
      <c r="B558" s="22"/>
      <c r="E558" s="188"/>
      <c r="F558" s="188"/>
      <c r="G558" s="10"/>
      <c r="H558" s="10"/>
      <c r="I558" s="181"/>
      <c r="J558" s="14"/>
      <c r="K558" s="14"/>
    </row>
    <row r="559" spans="2:11" ht="14.15" customHeight="1">
      <c r="B559" s="22"/>
      <c r="E559" s="188"/>
      <c r="F559" s="188"/>
      <c r="G559" s="10"/>
      <c r="H559" s="10"/>
      <c r="I559" s="181"/>
      <c r="J559" s="14"/>
      <c r="K559" s="14"/>
    </row>
    <row r="560" spans="2:11" ht="14.15" customHeight="1">
      <c r="B560" s="22"/>
      <c r="E560" s="188"/>
      <c r="F560" s="188"/>
      <c r="G560" s="10"/>
      <c r="H560" s="10"/>
      <c r="I560" s="181"/>
      <c r="J560" s="14"/>
      <c r="K560" s="14"/>
    </row>
    <row r="561" spans="2:11" ht="14.15" customHeight="1">
      <c r="B561" s="22"/>
      <c r="E561" s="188"/>
      <c r="F561" s="188"/>
      <c r="G561" s="10"/>
      <c r="H561" s="10"/>
      <c r="I561" s="181"/>
      <c r="J561" s="14"/>
      <c r="K561" s="14"/>
    </row>
    <row r="562" spans="2:11" ht="14.15" customHeight="1">
      <c r="B562" s="22"/>
      <c r="E562" s="188"/>
      <c r="F562" s="188"/>
      <c r="G562" s="10"/>
      <c r="H562" s="10"/>
      <c r="I562" s="181"/>
      <c r="J562" s="14"/>
      <c r="K562" s="14"/>
    </row>
    <row r="563" spans="2:11" ht="14.15" customHeight="1">
      <c r="B563" s="22"/>
      <c r="E563" s="188"/>
      <c r="F563" s="188"/>
      <c r="G563" s="10"/>
      <c r="H563" s="10"/>
      <c r="I563" s="181"/>
      <c r="J563" s="14"/>
      <c r="K563" s="14"/>
    </row>
    <row r="564" spans="2:11" ht="14.15" customHeight="1">
      <c r="B564" s="22"/>
      <c r="E564" s="188"/>
      <c r="F564" s="188"/>
      <c r="G564" s="10"/>
      <c r="H564" s="10"/>
      <c r="I564" s="181"/>
      <c r="J564" s="14"/>
      <c r="K564" s="14"/>
    </row>
    <row r="565" spans="2:11" ht="14.15" customHeight="1">
      <c r="B565" s="22"/>
      <c r="E565" s="188"/>
      <c r="F565" s="188"/>
      <c r="G565" s="10"/>
      <c r="H565" s="10"/>
      <c r="I565" s="181"/>
      <c r="J565" s="14"/>
      <c r="K565" s="14"/>
    </row>
    <row r="566" spans="2:11" ht="14.15" customHeight="1">
      <c r="B566" s="22"/>
      <c r="E566" s="188"/>
      <c r="F566" s="188"/>
      <c r="G566" s="10"/>
      <c r="H566" s="10"/>
      <c r="I566" s="181"/>
      <c r="J566" s="14"/>
      <c r="K566" s="14"/>
    </row>
    <row r="567" spans="2:11" ht="14.15" customHeight="1">
      <c r="B567" s="22"/>
      <c r="E567" s="188"/>
      <c r="F567" s="188"/>
      <c r="G567" s="10"/>
      <c r="H567" s="10"/>
      <c r="I567" s="181"/>
      <c r="J567" s="14"/>
      <c r="K567" s="14"/>
    </row>
    <row r="568" spans="2:11" ht="14.15" customHeight="1">
      <c r="B568" s="22"/>
      <c r="E568" s="188"/>
      <c r="F568" s="188"/>
      <c r="G568" s="10"/>
      <c r="H568" s="10"/>
      <c r="I568" s="181"/>
      <c r="J568" s="14"/>
      <c r="K568" s="14"/>
    </row>
    <row r="569" spans="2:11" ht="14.15" customHeight="1">
      <c r="B569" s="22"/>
      <c r="E569" s="188"/>
      <c r="F569" s="188"/>
      <c r="G569" s="10"/>
      <c r="H569" s="10"/>
      <c r="I569" s="181"/>
      <c r="J569" s="14"/>
      <c r="K569" s="14"/>
    </row>
    <row r="570" spans="2:11" ht="14.15" customHeight="1">
      <c r="B570" s="22"/>
      <c r="E570" s="188"/>
      <c r="F570" s="188"/>
      <c r="G570" s="10"/>
      <c r="H570" s="10"/>
      <c r="I570" s="181"/>
      <c r="J570" s="14"/>
      <c r="K570" s="14"/>
    </row>
    <row r="571" spans="2:11" ht="14.15" customHeight="1">
      <c r="B571" s="22"/>
      <c r="E571" s="188"/>
      <c r="F571" s="188"/>
      <c r="G571" s="10"/>
      <c r="H571" s="10"/>
      <c r="I571" s="181"/>
      <c r="J571" s="14"/>
      <c r="K571" s="14"/>
    </row>
    <row r="572" spans="2:11" ht="14.15" customHeight="1">
      <c r="B572" s="22"/>
      <c r="E572" s="188"/>
      <c r="F572" s="188"/>
      <c r="G572" s="10"/>
      <c r="H572" s="10"/>
      <c r="I572" s="181"/>
      <c r="J572" s="14"/>
      <c r="K572" s="14"/>
    </row>
    <row r="573" spans="2:11" ht="14.15" customHeight="1">
      <c r="B573" s="22"/>
      <c r="E573" s="188"/>
      <c r="F573" s="188"/>
      <c r="G573" s="10"/>
      <c r="H573" s="10"/>
      <c r="I573" s="181"/>
      <c r="J573" s="14"/>
      <c r="K573" s="14"/>
    </row>
    <row r="574" spans="2:11" ht="14.15" customHeight="1">
      <c r="B574" s="22"/>
      <c r="E574" s="188"/>
      <c r="F574" s="188"/>
      <c r="G574" s="10"/>
      <c r="H574" s="10"/>
      <c r="I574" s="181"/>
      <c r="J574" s="14"/>
      <c r="K574" s="14"/>
    </row>
    <row r="575" spans="2:11" ht="14.15" customHeight="1">
      <c r="B575" s="22"/>
      <c r="E575" s="188"/>
      <c r="F575" s="188"/>
      <c r="G575" s="10"/>
      <c r="H575" s="10"/>
      <c r="I575" s="181"/>
      <c r="J575" s="14"/>
      <c r="K575" s="14"/>
    </row>
    <row r="576" spans="2:11" ht="14.15" customHeight="1">
      <c r="B576" s="22"/>
      <c r="E576" s="188"/>
      <c r="F576" s="188"/>
      <c r="G576" s="10"/>
      <c r="H576" s="10"/>
      <c r="I576" s="181"/>
      <c r="J576" s="14"/>
      <c r="K576" s="14"/>
    </row>
    <row r="577" spans="2:11" ht="14.15" customHeight="1">
      <c r="B577" s="22"/>
      <c r="E577" s="188"/>
      <c r="F577" s="188"/>
      <c r="G577" s="10"/>
      <c r="H577" s="10"/>
      <c r="I577" s="181"/>
      <c r="J577" s="14"/>
      <c r="K577" s="14"/>
    </row>
    <row r="578" spans="2:11" ht="14.15" customHeight="1">
      <c r="B578" s="22"/>
      <c r="E578" s="188"/>
      <c r="F578" s="188"/>
      <c r="G578" s="10"/>
      <c r="H578" s="10"/>
      <c r="I578" s="181"/>
      <c r="J578" s="14"/>
      <c r="K578" s="14"/>
    </row>
    <row r="579" spans="2:11" ht="14.15" customHeight="1">
      <c r="B579" s="22"/>
      <c r="E579" s="188"/>
      <c r="F579" s="188"/>
      <c r="G579" s="10"/>
      <c r="H579" s="10"/>
      <c r="I579" s="181"/>
      <c r="J579" s="14"/>
      <c r="K579" s="14"/>
    </row>
    <row r="580" spans="2:11" ht="14.15" customHeight="1">
      <c r="B580" s="22"/>
      <c r="E580" s="188"/>
      <c r="F580" s="188"/>
      <c r="G580" s="10"/>
      <c r="H580" s="10"/>
      <c r="I580" s="181"/>
      <c r="J580" s="14"/>
      <c r="K580" s="14"/>
    </row>
    <row r="581" spans="2:11" ht="14.15" customHeight="1">
      <c r="B581" s="22"/>
      <c r="E581" s="188"/>
      <c r="F581" s="188"/>
      <c r="G581" s="10"/>
      <c r="H581" s="10"/>
      <c r="I581" s="181"/>
      <c r="J581" s="14"/>
      <c r="K581" s="14"/>
    </row>
    <row r="582" spans="2:11" ht="14.15" customHeight="1">
      <c r="B582" s="22"/>
      <c r="E582" s="188"/>
      <c r="F582" s="188"/>
      <c r="G582" s="10"/>
      <c r="H582" s="10"/>
      <c r="I582" s="181"/>
      <c r="J582" s="14"/>
      <c r="K582" s="14"/>
    </row>
    <row r="583" spans="2:11" ht="14.15" customHeight="1">
      <c r="B583" s="22"/>
      <c r="E583" s="188"/>
      <c r="F583" s="188"/>
      <c r="G583" s="10"/>
      <c r="H583" s="10"/>
      <c r="I583" s="181"/>
      <c r="J583" s="14"/>
      <c r="K583" s="14"/>
    </row>
    <row r="584" spans="2:11" ht="14.15" customHeight="1">
      <c r="B584" s="22"/>
      <c r="E584" s="188"/>
      <c r="F584" s="188"/>
      <c r="G584" s="10"/>
      <c r="H584" s="10"/>
      <c r="I584" s="181"/>
      <c r="J584" s="14"/>
      <c r="K584" s="14"/>
    </row>
    <row r="585" spans="2:11" ht="14.15" customHeight="1">
      <c r="B585" s="22"/>
      <c r="E585" s="188"/>
      <c r="F585" s="188"/>
      <c r="G585" s="10"/>
      <c r="H585" s="10"/>
      <c r="I585" s="181"/>
      <c r="J585" s="14"/>
      <c r="K585" s="14"/>
    </row>
    <row r="586" spans="2:11" ht="14.15" customHeight="1">
      <c r="B586" s="22"/>
      <c r="E586" s="188"/>
      <c r="F586" s="188"/>
      <c r="G586" s="10"/>
      <c r="H586" s="10"/>
      <c r="I586" s="181"/>
      <c r="J586" s="14"/>
      <c r="K586" s="14"/>
    </row>
    <row r="587" spans="2:11" ht="14.15" customHeight="1">
      <c r="B587" s="22"/>
      <c r="E587" s="188"/>
      <c r="F587" s="188"/>
      <c r="G587" s="10"/>
      <c r="H587" s="10"/>
      <c r="I587" s="181"/>
      <c r="J587" s="14"/>
      <c r="K587" s="14"/>
    </row>
    <row r="588" spans="2:11" ht="14.15" customHeight="1">
      <c r="B588" s="22"/>
      <c r="E588" s="188"/>
      <c r="F588" s="188"/>
      <c r="G588" s="10"/>
      <c r="H588" s="10"/>
      <c r="I588" s="181"/>
      <c r="J588" s="14"/>
      <c r="K588" s="14"/>
    </row>
    <row r="589" spans="2:11" ht="14.15" customHeight="1">
      <c r="B589" s="22"/>
      <c r="E589" s="188"/>
      <c r="F589" s="188"/>
      <c r="G589" s="10"/>
      <c r="H589" s="10"/>
      <c r="I589" s="181"/>
      <c r="J589" s="14"/>
      <c r="K589" s="14"/>
    </row>
    <row r="590" spans="2:11" ht="14.15" customHeight="1">
      <c r="B590" s="22"/>
      <c r="E590" s="188"/>
      <c r="F590" s="188"/>
      <c r="G590" s="10"/>
      <c r="H590" s="10"/>
      <c r="I590" s="181"/>
      <c r="J590" s="14"/>
      <c r="K590" s="14"/>
    </row>
    <row r="591" spans="2:11" ht="14.15" customHeight="1">
      <c r="B591" s="22"/>
      <c r="E591" s="188"/>
      <c r="F591" s="188"/>
      <c r="G591" s="10"/>
      <c r="H591" s="10"/>
      <c r="I591" s="181"/>
      <c r="J591" s="14"/>
      <c r="K591" s="14"/>
    </row>
    <row r="592" spans="2:11" ht="14.15" customHeight="1">
      <c r="B592" s="22"/>
      <c r="E592" s="188"/>
      <c r="F592" s="188"/>
      <c r="G592" s="10"/>
      <c r="H592" s="10"/>
      <c r="I592" s="181"/>
      <c r="J592" s="14"/>
      <c r="K592" s="14"/>
    </row>
    <row r="593" spans="2:11" ht="14.15" customHeight="1">
      <c r="B593" s="22"/>
      <c r="E593" s="188"/>
      <c r="F593" s="188"/>
      <c r="G593" s="10"/>
      <c r="H593" s="10"/>
      <c r="I593" s="181"/>
      <c r="J593" s="14"/>
      <c r="K593" s="14"/>
    </row>
    <row r="594" spans="2:11" ht="14.15" customHeight="1">
      <c r="B594" s="22"/>
      <c r="E594" s="188"/>
      <c r="F594" s="188"/>
      <c r="G594" s="10"/>
      <c r="H594" s="10"/>
      <c r="I594" s="181"/>
      <c r="J594" s="14"/>
      <c r="K594" s="14"/>
    </row>
    <row r="595" spans="2:11" ht="14.15" customHeight="1">
      <c r="B595" s="22"/>
      <c r="E595" s="188"/>
      <c r="F595" s="188"/>
      <c r="G595" s="10"/>
      <c r="H595" s="10"/>
      <c r="I595" s="181"/>
      <c r="J595" s="14"/>
      <c r="K595" s="14"/>
    </row>
    <row r="596" spans="2:11" ht="14.15" customHeight="1">
      <c r="B596" s="22"/>
      <c r="E596" s="188"/>
      <c r="F596" s="188"/>
      <c r="G596" s="10"/>
      <c r="H596" s="10"/>
      <c r="I596" s="181"/>
      <c r="J596" s="14"/>
      <c r="K596" s="14"/>
    </row>
    <row r="597" spans="2:11" ht="14.15" customHeight="1">
      <c r="B597" s="22"/>
      <c r="E597" s="188"/>
      <c r="F597" s="188"/>
      <c r="G597" s="10"/>
      <c r="H597" s="10"/>
      <c r="I597" s="181"/>
      <c r="J597" s="14"/>
      <c r="K597" s="14"/>
    </row>
    <row r="598" spans="2:11" ht="14.15" customHeight="1">
      <c r="B598" s="22"/>
      <c r="E598" s="188"/>
      <c r="F598" s="188"/>
      <c r="G598" s="10"/>
      <c r="H598" s="10"/>
      <c r="I598" s="181"/>
      <c r="J598" s="14"/>
      <c r="K598" s="14"/>
    </row>
    <row r="599" spans="2:11" ht="14.15" customHeight="1">
      <c r="B599" s="22"/>
      <c r="E599" s="188"/>
      <c r="F599" s="188"/>
      <c r="G599" s="191"/>
      <c r="H599" s="191"/>
      <c r="I599" s="188"/>
      <c r="J599" s="181"/>
      <c r="K599" s="181"/>
    </row>
    <row r="600" spans="2:11" ht="14.15" customHeight="1">
      <c r="B600" s="22"/>
      <c r="E600" s="188"/>
      <c r="F600" s="188"/>
      <c r="G600" s="191"/>
      <c r="H600" s="191"/>
      <c r="I600" s="188"/>
      <c r="J600" s="181"/>
      <c r="K600" s="181"/>
    </row>
    <row r="601" spans="2:11" ht="14.15" customHeight="1">
      <c r="B601" s="22"/>
      <c r="E601" s="188"/>
      <c r="F601" s="188"/>
      <c r="G601" s="191"/>
      <c r="H601" s="191"/>
      <c r="I601" s="188"/>
      <c r="J601" s="181"/>
      <c r="K601" s="181"/>
    </row>
    <row r="602" spans="2:11" ht="14.15" customHeight="1">
      <c r="B602" s="22"/>
      <c r="E602" s="188"/>
      <c r="F602" s="188"/>
      <c r="G602" s="191"/>
      <c r="H602" s="191"/>
      <c r="I602" s="188"/>
      <c r="J602" s="181"/>
      <c r="K602" s="181"/>
    </row>
    <row r="603" spans="2:11" ht="14.15" customHeight="1">
      <c r="B603" s="22"/>
      <c r="E603" s="188"/>
      <c r="F603" s="188"/>
      <c r="G603" s="191"/>
      <c r="H603" s="191"/>
      <c r="I603" s="188"/>
      <c r="J603" s="181"/>
      <c r="K603" s="181"/>
    </row>
    <row r="604" spans="2:11" ht="14.15" customHeight="1">
      <c r="B604" s="22"/>
      <c r="E604" s="188"/>
      <c r="F604" s="188"/>
      <c r="G604" s="191"/>
      <c r="H604" s="191"/>
      <c r="I604" s="188"/>
      <c r="J604" s="181"/>
      <c r="K604" s="181"/>
    </row>
    <row r="605" spans="2:11" ht="14.15" customHeight="1">
      <c r="B605" s="22"/>
      <c r="E605" s="188"/>
      <c r="F605" s="188"/>
      <c r="G605" s="191"/>
      <c r="H605" s="191"/>
      <c r="I605" s="188"/>
      <c r="J605" s="181"/>
      <c r="K605" s="181"/>
    </row>
    <row r="606" spans="2:11" ht="14.15" customHeight="1">
      <c r="B606" s="22"/>
      <c r="E606" s="188"/>
      <c r="F606" s="188"/>
      <c r="G606" s="191"/>
      <c r="H606" s="191"/>
      <c r="I606" s="188"/>
      <c r="J606" s="181"/>
      <c r="K606" s="181"/>
    </row>
    <row r="607" spans="2:11" ht="14.15" customHeight="1">
      <c r="B607" s="22"/>
      <c r="E607" s="188"/>
      <c r="F607" s="188"/>
      <c r="G607" s="191"/>
      <c r="H607" s="191"/>
      <c r="I607" s="188"/>
      <c r="J607" s="181"/>
      <c r="K607" s="181"/>
    </row>
    <row r="608" spans="2:11" ht="14.15" customHeight="1">
      <c r="B608" s="22"/>
      <c r="E608" s="188"/>
      <c r="F608" s="188"/>
      <c r="G608" s="191"/>
      <c r="H608" s="191"/>
      <c r="I608" s="188"/>
      <c r="J608" s="181"/>
      <c r="K608" s="181"/>
    </row>
    <row r="609" spans="2:11" ht="14.15" customHeight="1">
      <c r="B609" s="22"/>
      <c r="E609" s="188"/>
      <c r="F609" s="188"/>
      <c r="G609" s="191"/>
      <c r="H609" s="191"/>
      <c r="I609" s="188"/>
      <c r="J609" s="181"/>
      <c r="K609" s="181"/>
    </row>
    <row r="610" spans="2:11" ht="14.15" customHeight="1">
      <c r="B610" s="22"/>
      <c r="E610" s="188"/>
      <c r="F610" s="188"/>
      <c r="G610" s="191"/>
      <c r="H610" s="191"/>
      <c r="I610" s="188"/>
      <c r="J610" s="181"/>
      <c r="K610" s="181"/>
    </row>
    <row r="611" spans="2:11" ht="14.15" customHeight="1">
      <c r="B611" s="22"/>
      <c r="E611" s="188"/>
      <c r="F611" s="188"/>
      <c r="G611" s="191"/>
      <c r="H611" s="191"/>
      <c r="I611" s="188"/>
      <c r="J611" s="181"/>
      <c r="K611" s="181"/>
    </row>
    <row r="612" spans="2:11" ht="14.15" customHeight="1">
      <c r="B612" s="22"/>
      <c r="E612" s="188"/>
      <c r="F612" s="188"/>
      <c r="G612" s="191"/>
      <c r="H612" s="191"/>
      <c r="I612" s="188"/>
      <c r="J612" s="181"/>
      <c r="K612" s="181"/>
    </row>
    <row r="613" spans="2:11" ht="14.15" customHeight="1">
      <c r="B613" s="22"/>
      <c r="E613" s="188"/>
      <c r="F613" s="188"/>
      <c r="G613" s="191"/>
      <c r="H613" s="191"/>
      <c r="I613" s="188"/>
      <c r="J613" s="181"/>
      <c r="K613" s="181"/>
    </row>
    <row r="614" spans="2:11" ht="14.15" customHeight="1">
      <c r="B614" s="22"/>
      <c r="E614" s="188"/>
      <c r="F614" s="188"/>
      <c r="G614" s="191"/>
      <c r="H614" s="191"/>
      <c r="I614" s="188"/>
      <c r="J614" s="181"/>
      <c r="K614" s="181"/>
    </row>
    <row r="615" spans="2:11" ht="14.15" customHeight="1">
      <c r="B615" s="22"/>
      <c r="E615" s="188"/>
      <c r="F615" s="188"/>
      <c r="G615" s="191"/>
      <c r="H615" s="191"/>
      <c r="I615" s="188"/>
      <c r="J615" s="181"/>
      <c r="K615" s="181"/>
    </row>
    <row r="616" spans="2:11" ht="14.15" customHeight="1">
      <c r="B616" s="22"/>
      <c r="E616" s="188"/>
      <c r="F616" s="188"/>
      <c r="G616" s="191"/>
      <c r="H616" s="191"/>
      <c r="I616" s="188"/>
      <c r="J616" s="181"/>
      <c r="K616" s="181"/>
    </row>
    <row r="617" spans="2:11" ht="14.15" customHeight="1">
      <c r="B617" s="22"/>
      <c r="E617" s="188"/>
      <c r="F617" s="188"/>
      <c r="G617" s="191"/>
      <c r="H617" s="191"/>
      <c r="I617" s="188"/>
      <c r="J617" s="181"/>
      <c r="K617" s="181"/>
    </row>
    <row r="618" spans="2:11" ht="14.15" customHeight="1">
      <c r="B618" s="22"/>
      <c r="E618" s="188"/>
      <c r="F618" s="188"/>
      <c r="G618" s="191"/>
      <c r="H618" s="191"/>
      <c r="I618" s="188"/>
      <c r="J618" s="181"/>
      <c r="K618" s="181"/>
    </row>
    <row r="619" spans="2:11" ht="14.15" customHeight="1">
      <c r="B619" s="22"/>
      <c r="E619" s="188"/>
      <c r="F619" s="188"/>
      <c r="G619" s="191"/>
      <c r="H619" s="191"/>
      <c r="I619" s="188"/>
      <c r="J619" s="181"/>
      <c r="K619" s="181"/>
    </row>
    <row r="620" spans="2:11" ht="14.15" customHeight="1">
      <c r="B620" s="22"/>
      <c r="E620" s="188"/>
      <c r="F620" s="188"/>
      <c r="G620" s="191"/>
      <c r="H620" s="191"/>
      <c r="I620" s="188"/>
      <c r="J620" s="181"/>
      <c r="K620" s="181"/>
    </row>
    <row r="621" spans="2:11" ht="14.15" customHeight="1">
      <c r="B621" s="22"/>
      <c r="E621" s="188"/>
      <c r="F621" s="188"/>
      <c r="G621" s="191"/>
      <c r="H621" s="191"/>
      <c r="I621" s="188"/>
      <c r="J621" s="181"/>
      <c r="K621" s="181"/>
    </row>
    <row r="622" spans="2:11" ht="14.15" customHeight="1">
      <c r="B622" s="22"/>
      <c r="E622" s="188"/>
      <c r="F622" s="188"/>
      <c r="G622" s="191"/>
      <c r="H622" s="191"/>
      <c r="I622" s="188"/>
      <c r="J622" s="181"/>
      <c r="K622" s="181"/>
    </row>
    <row r="623" spans="2:11" ht="14.15" customHeight="1">
      <c r="B623" s="22"/>
      <c r="E623" s="188"/>
      <c r="F623" s="188"/>
      <c r="G623" s="191"/>
      <c r="H623" s="191"/>
      <c r="I623" s="188"/>
      <c r="J623" s="181"/>
      <c r="K623" s="181"/>
    </row>
    <row r="624" spans="2:11" ht="14.15" customHeight="1">
      <c r="B624" s="22"/>
      <c r="E624" s="188"/>
      <c r="F624" s="188"/>
      <c r="G624" s="191"/>
      <c r="H624" s="191"/>
      <c r="I624" s="188"/>
      <c r="J624" s="192"/>
      <c r="K624" s="192"/>
    </row>
    <row r="625" spans="2:11" ht="14.15" customHeight="1">
      <c r="B625" s="22"/>
      <c r="E625" s="188"/>
      <c r="F625" s="188"/>
      <c r="G625" s="191"/>
      <c r="H625" s="191"/>
      <c r="I625" s="188"/>
      <c r="J625" s="192"/>
      <c r="K625" s="192"/>
    </row>
    <row r="626" spans="2:11" ht="14.15" customHeight="1">
      <c r="B626" s="22"/>
      <c r="E626" s="188"/>
      <c r="F626" s="188"/>
      <c r="G626" s="191"/>
      <c r="H626" s="191"/>
      <c r="I626" s="188"/>
      <c r="J626" s="192"/>
      <c r="K626" s="192"/>
    </row>
    <row r="627" spans="2:11" ht="14.15" customHeight="1">
      <c r="B627" s="22"/>
      <c r="E627" s="188"/>
      <c r="F627" s="188"/>
      <c r="G627" s="191"/>
      <c r="H627" s="191"/>
      <c r="I627" s="188"/>
      <c r="J627" s="192"/>
      <c r="K627" s="192"/>
    </row>
    <row r="628" spans="2:11" ht="14.15" customHeight="1">
      <c r="B628" s="22"/>
      <c r="E628" s="188"/>
      <c r="F628" s="188"/>
      <c r="G628" s="191"/>
      <c r="H628" s="191"/>
      <c r="I628" s="188"/>
      <c r="J628" s="192"/>
      <c r="K628" s="192"/>
    </row>
    <row r="629" spans="2:11" ht="14.15" customHeight="1">
      <c r="B629" s="22"/>
      <c r="E629" s="188"/>
      <c r="F629" s="188"/>
      <c r="G629" s="191"/>
      <c r="H629" s="191"/>
      <c r="I629" s="188"/>
      <c r="J629" s="192"/>
      <c r="K629" s="192"/>
    </row>
    <row r="630" spans="2:11" ht="14.15" customHeight="1">
      <c r="B630" s="22"/>
      <c r="E630" s="188"/>
      <c r="F630" s="188"/>
      <c r="G630" s="191"/>
      <c r="H630" s="191"/>
      <c r="I630" s="188"/>
      <c r="J630" s="192"/>
      <c r="K630" s="192"/>
    </row>
    <row r="631" spans="2:11" ht="14.15" customHeight="1">
      <c r="B631" s="22"/>
      <c r="E631" s="188"/>
      <c r="F631" s="188"/>
      <c r="G631" s="191"/>
      <c r="H631" s="191"/>
      <c r="I631" s="188"/>
      <c r="J631" s="192"/>
      <c r="K631" s="192"/>
    </row>
    <row r="632" spans="2:11" ht="14.15" customHeight="1">
      <c r="B632" s="22"/>
      <c r="E632" s="188"/>
      <c r="F632" s="188"/>
      <c r="G632" s="191"/>
      <c r="H632" s="191"/>
      <c r="I632" s="188"/>
      <c r="J632" s="192"/>
      <c r="K632" s="192"/>
    </row>
    <row r="633" spans="2:11" ht="14.15" customHeight="1">
      <c r="B633" s="22"/>
      <c r="E633" s="188"/>
      <c r="F633" s="188"/>
      <c r="G633" s="191"/>
      <c r="H633" s="191"/>
      <c r="I633" s="188"/>
      <c r="J633" s="192"/>
      <c r="K633" s="192"/>
    </row>
    <row r="634" spans="2:11" ht="14.15" customHeight="1">
      <c r="B634" s="22"/>
      <c r="E634" s="188"/>
      <c r="F634" s="188"/>
      <c r="G634" s="191"/>
      <c r="H634" s="191"/>
      <c r="I634" s="188"/>
      <c r="J634" s="192"/>
      <c r="K634" s="192"/>
    </row>
    <row r="635" spans="2:11" ht="14.15" customHeight="1">
      <c r="B635" s="22"/>
      <c r="E635" s="188"/>
      <c r="F635" s="188"/>
      <c r="G635" s="191"/>
      <c r="H635" s="191"/>
      <c r="I635" s="188"/>
      <c r="J635" s="192"/>
      <c r="K635" s="192"/>
    </row>
    <row r="636" spans="2:11" ht="14.15" customHeight="1">
      <c r="B636" s="22"/>
      <c r="E636" s="188"/>
      <c r="F636" s="188"/>
      <c r="G636" s="191"/>
      <c r="H636" s="191"/>
      <c r="I636" s="188"/>
      <c r="J636" s="192"/>
      <c r="K636" s="192"/>
    </row>
    <row r="637" spans="2:11" ht="14.15" customHeight="1">
      <c r="B637" s="22"/>
      <c r="E637" s="188"/>
      <c r="F637" s="188"/>
      <c r="G637" s="191"/>
      <c r="H637" s="191"/>
      <c r="I637" s="188"/>
      <c r="J637" s="192"/>
      <c r="K637" s="192"/>
    </row>
    <row r="638" spans="2:11" ht="14.15" customHeight="1">
      <c r="B638" s="22"/>
      <c r="E638" s="188"/>
      <c r="F638" s="188"/>
      <c r="G638" s="191"/>
      <c r="H638" s="191"/>
      <c r="I638" s="188"/>
      <c r="J638" s="192"/>
      <c r="K638" s="192"/>
    </row>
    <row r="639" spans="2:11" ht="14.15" customHeight="1">
      <c r="B639" s="22"/>
      <c r="E639" s="188"/>
      <c r="F639" s="188"/>
      <c r="G639" s="191"/>
      <c r="H639" s="191"/>
      <c r="I639" s="188"/>
      <c r="J639" s="192"/>
      <c r="K639" s="192"/>
    </row>
    <row r="640" spans="2:11" ht="14.15" customHeight="1">
      <c r="B640" s="22"/>
      <c r="E640" s="188"/>
      <c r="F640" s="188"/>
      <c r="G640" s="191"/>
      <c r="H640" s="191"/>
      <c r="I640" s="188"/>
      <c r="J640" s="192"/>
      <c r="K640" s="192"/>
    </row>
    <row r="641" spans="2:11" ht="14.15" customHeight="1">
      <c r="B641" s="22"/>
      <c r="E641" s="188"/>
      <c r="F641" s="188"/>
      <c r="G641" s="191"/>
      <c r="H641" s="191"/>
      <c r="I641" s="188"/>
      <c r="J641" s="192"/>
      <c r="K641" s="192"/>
    </row>
    <row r="642" spans="2:11" ht="14.15" customHeight="1">
      <c r="B642" s="22"/>
      <c r="E642" s="188"/>
      <c r="F642" s="188"/>
      <c r="G642" s="191"/>
      <c r="H642" s="191"/>
      <c r="I642" s="188"/>
      <c r="J642" s="192"/>
      <c r="K642" s="192"/>
    </row>
    <row r="643" spans="2:11" ht="14.15" customHeight="1">
      <c r="B643" s="22"/>
      <c r="E643" s="188"/>
      <c r="F643" s="188"/>
      <c r="G643" s="191"/>
      <c r="H643" s="191"/>
      <c r="I643" s="188"/>
      <c r="J643" s="192"/>
      <c r="K643" s="192"/>
    </row>
    <row r="644" spans="2:11" ht="14.15" customHeight="1">
      <c r="B644" s="22"/>
      <c r="E644" s="188"/>
      <c r="F644" s="188"/>
      <c r="G644" s="191"/>
      <c r="H644" s="191"/>
      <c r="I644" s="188"/>
      <c r="J644" s="192"/>
      <c r="K644" s="192"/>
    </row>
    <row r="645" spans="2:11" ht="14.15" customHeight="1">
      <c r="B645" s="22"/>
      <c r="E645" s="188"/>
      <c r="F645" s="188"/>
      <c r="G645" s="191"/>
      <c r="H645" s="191"/>
      <c r="I645" s="188"/>
      <c r="J645" s="192"/>
      <c r="K645" s="192"/>
    </row>
    <row r="646" spans="2:11" ht="14.15" customHeight="1">
      <c r="B646" s="22"/>
      <c r="E646" s="188"/>
      <c r="F646" s="188"/>
      <c r="G646" s="191"/>
      <c r="H646" s="191"/>
      <c r="I646" s="188"/>
      <c r="J646" s="192"/>
      <c r="K646" s="192"/>
    </row>
    <row r="647" spans="2:11" ht="14.15" customHeight="1">
      <c r="B647" s="22"/>
      <c r="E647" s="188"/>
      <c r="F647" s="188"/>
      <c r="G647" s="191"/>
      <c r="H647" s="191"/>
      <c r="I647" s="188"/>
      <c r="J647" s="192"/>
      <c r="K647" s="192"/>
    </row>
    <row r="648" spans="2:11" ht="14.15" customHeight="1">
      <c r="B648" s="22"/>
      <c r="E648" s="188"/>
      <c r="F648" s="188"/>
      <c r="G648" s="191"/>
      <c r="H648" s="191"/>
      <c r="I648" s="188"/>
      <c r="J648" s="192"/>
      <c r="K648" s="192"/>
    </row>
    <row r="649" spans="2:11" ht="14.15" customHeight="1">
      <c r="B649" s="22"/>
      <c r="E649" s="188"/>
      <c r="F649" s="188"/>
      <c r="G649" s="191"/>
      <c r="H649" s="191"/>
      <c r="I649" s="188"/>
      <c r="J649" s="192"/>
      <c r="K649" s="192"/>
    </row>
    <row r="650" spans="2:11" ht="14.15" customHeight="1">
      <c r="B650" s="22"/>
      <c r="E650" s="188"/>
      <c r="F650" s="188"/>
      <c r="G650" s="191"/>
      <c r="H650" s="191"/>
      <c r="I650" s="188"/>
      <c r="J650" s="192"/>
      <c r="K650" s="192"/>
    </row>
    <row r="651" spans="2:11" ht="14.15" customHeight="1">
      <c r="B651" s="22"/>
      <c r="E651" s="188"/>
      <c r="F651" s="188"/>
      <c r="G651" s="191"/>
      <c r="H651" s="191"/>
      <c r="I651" s="188"/>
      <c r="J651" s="192"/>
      <c r="K651" s="192"/>
    </row>
    <row r="652" spans="2:11" ht="14.15" customHeight="1">
      <c r="B652" s="22"/>
      <c r="E652" s="188"/>
      <c r="F652" s="188"/>
      <c r="G652" s="191"/>
      <c r="H652" s="191"/>
      <c r="I652" s="188"/>
      <c r="J652" s="192"/>
      <c r="K652" s="192"/>
    </row>
    <row r="653" spans="2:11" ht="14.15" customHeight="1">
      <c r="E653" s="188"/>
      <c r="F653" s="188"/>
      <c r="G653" s="191"/>
      <c r="H653" s="191"/>
      <c r="I653" s="188"/>
      <c r="J653" s="192"/>
      <c r="K653" s="192"/>
    </row>
    <row r="654" spans="2:11" ht="14.15" customHeight="1">
      <c r="E654" s="188"/>
      <c r="F654" s="188"/>
      <c r="G654" s="191"/>
      <c r="H654" s="191"/>
      <c r="I654" s="188"/>
      <c r="J654" s="192"/>
      <c r="K654" s="192"/>
    </row>
    <row r="655" spans="2:11" ht="14.15" customHeight="1">
      <c r="E655" s="188"/>
      <c r="F655" s="188"/>
      <c r="G655" s="191"/>
      <c r="H655" s="191"/>
      <c r="I655" s="188"/>
      <c r="J655" s="192"/>
      <c r="K655" s="192"/>
    </row>
    <row r="656" spans="2:11" ht="14.15" customHeight="1">
      <c r="E656" s="188"/>
      <c r="F656" s="188"/>
      <c r="G656" s="191"/>
      <c r="H656" s="191"/>
      <c r="I656" s="188"/>
      <c r="J656" s="188"/>
      <c r="K656" s="188"/>
    </row>
    <row r="657" spans="5:11" ht="14.15" customHeight="1">
      <c r="E657" s="188"/>
      <c r="F657" s="188"/>
      <c r="G657" s="191"/>
      <c r="H657" s="191"/>
      <c r="I657" s="188"/>
      <c r="J657" s="188"/>
      <c r="K657" s="188"/>
    </row>
    <row r="658" spans="5:11" ht="14.15" customHeight="1">
      <c r="E658" s="188"/>
      <c r="F658" s="188"/>
      <c r="G658" s="191"/>
      <c r="H658" s="191"/>
      <c r="I658" s="188"/>
      <c r="J658" s="188"/>
      <c r="K658" s="188"/>
    </row>
    <row r="659" spans="5:11" ht="14.15" customHeight="1">
      <c r="E659" s="188"/>
      <c r="F659" s="188"/>
      <c r="G659" s="191"/>
      <c r="H659" s="191"/>
      <c r="I659" s="188"/>
      <c r="J659" s="188"/>
      <c r="K659" s="188"/>
    </row>
    <row r="660" spans="5:11" ht="14.15" customHeight="1">
      <c r="E660" s="188"/>
      <c r="F660" s="188"/>
      <c r="G660" s="191"/>
      <c r="H660" s="191"/>
      <c r="I660" s="188"/>
      <c r="J660" s="188"/>
      <c r="K660" s="188"/>
    </row>
    <row r="661" spans="5:11" ht="14.15" customHeight="1">
      <c r="E661" s="188"/>
      <c r="F661" s="188"/>
      <c r="G661" s="191"/>
      <c r="H661" s="191"/>
      <c r="I661" s="188"/>
      <c r="J661" s="188"/>
      <c r="K661" s="188"/>
    </row>
    <row r="662" spans="5:11" ht="14.15" customHeight="1">
      <c r="E662" s="188"/>
      <c r="F662" s="188"/>
      <c r="G662" s="191"/>
      <c r="H662" s="191"/>
      <c r="I662" s="188"/>
      <c r="J662" s="188"/>
      <c r="K662" s="188"/>
    </row>
    <row r="663" spans="5:11" ht="14.15" customHeight="1">
      <c r="E663" s="188"/>
      <c r="F663" s="188"/>
      <c r="G663" s="191"/>
      <c r="H663" s="191"/>
      <c r="I663" s="188"/>
      <c r="J663" s="188"/>
      <c r="K663" s="188"/>
    </row>
    <row r="664" spans="5:11" ht="14.15" customHeight="1">
      <c r="E664" s="188"/>
      <c r="F664" s="188"/>
      <c r="G664" s="191"/>
      <c r="H664" s="191"/>
      <c r="I664" s="188"/>
      <c r="J664" s="188"/>
      <c r="K664" s="188"/>
    </row>
    <row r="665" spans="5:11" ht="14.15" customHeight="1">
      <c r="E665" s="188"/>
      <c r="F665" s="188"/>
      <c r="G665" s="191"/>
      <c r="H665" s="191"/>
      <c r="I665" s="188"/>
      <c r="J665" s="188"/>
      <c r="K665" s="188"/>
    </row>
    <row r="666" spans="5:11" ht="14.15" customHeight="1">
      <c r="E666" s="188"/>
      <c r="F666" s="188"/>
      <c r="G666" s="191"/>
      <c r="H666" s="191"/>
      <c r="I666" s="188"/>
      <c r="J666" s="188"/>
      <c r="K666" s="188"/>
    </row>
    <row r="667" spans="5:11" ht="14.15" customHeight="1">
      <c r="E667" s="188"/>
      <c r="F667" s="188"/>
      <c r="G667" s="191"/>
      <c r="H667" s="191"/>
      <c r="I667" s="188"/>
      <c r="J667" s="188"/>
      <c r="K667" s="188"/>
    </row>
    <row r="668" spans="5:11" ht="14.15" customHeight="1">
      <c r="E668" s="188"/>
      <c r="F668" s="188"/>
      <c r="G668" s="191"/>
      <c r="H668" s="191"/>
      <c r="I668" s="188"/>
      <c r="J668" s="188"/>
      <c r="K668" s="188"/>
    </row>
    <row r="669" spans="5:11" ht="14.15" customHeight="1">
      <c r="E669" s="188"/>
      <c r="F669" s="188"/>
      <c r="G669" s="191"/>
      <c r="H669" s="191"/>
      <c r="I669" s="188"/>
      <c r="J669" s="188"/>
      <c r="K669" s="188"/>
    </row>
    <row r="670" spans="5:11" ht="14.15" customHeight="1">
      <c r="E670" s="188"/>
      <c r="F670" s="188"/>
      <c r="G670" s="191"/>
      <c r="H670" s="191"/>
      <c r="I670" s="188"/>
      <c r="J670" s="188"/>
      <c r="K670" s="188"/>
    </row>
    <row r="671" spans="5:11" ht="14.15" customHeight="1">
      <c r="E671" s="188"/>
      <c r="F671" s="188"/>
      <c r="G671" s="191"/>
      <c r="H671" s="191"/>
      <c r="I671" s="188"/>
      <c r="J671" s="188"/>
      <c r="K671" s="188"/>
    </row>
    <row r="672" spans="5:11" ht="14.15" customHeight="1">
      <c r="E672" s="188"/>
      <c r="F672" s="188"/>
      <c r="G672" s="191"/>
      <c r="H672" s="191"/>
      <c r="I672" s="188"/>
      <c r="J672" s="188"/>
      <c r="K672" s="188"/>
    </row>
    <row r="673" spans="5:11" ht="14.15" customHeight="1">
      <c r="E673" s="188"/>
      <c r="F673" s="188"/>
      <c r="G673" s="191"/>
      <c r="H673" s="191"/>
      <c r="I673" s="188"/>
      <c r="J673" s="188"/>
      <c r="K673" s="188"/>
    </row>
    <row r="674" spans="5:11" ht="14.15" customHeight="1">
      <c r="E674" s="188"/>
      <c r="F674" s="188"/>
      <c r="G674" s="191"/>
      <c r="H674" s="191"/>
      <c r="I674" s="188"/>
      <c r="J674" s="188"/>
      <c r="K674" s="188"/>
    </row>
    <row r="675" spans="5:11" ht="14.15" customHeight="1">
      <c r="E675" s="188"/>
      <c r="F675" s="188"/>
      <c r="G675" s="191"/>
      <c r="H675" s="191"/>
      <c r="I675" s="188"/>
      <c r="J675" s="188"/>
      <c r="K675" s="188"/>
    </row>
    <row r="676" spans="5:11" ht="14.15" customHeight="1">
      <c r="E676" s="188"/>
      <c r="F676" s="188"/>
      <c r="G676" s="191"/>
      <c r="H676" s="191"/>
      <c r="I676" s="188"/>
      <c r="J676" s="188"/>
      <c r="K676" s="188"/>
    </row>
    <row r="677" spans="5:11" ht="14.15" customHeight="1">
      <c r="E677" s="188"/>
      <c r="F677" s="188"/>
      <c r="G677" s="191"/>
      <c r="H677" s="191"/>
      <c r="I677" s="188"/>
      <c r="J677" s="188"/>
      <c r="K677" s="188"/>
    </row>
    <row r="678" spans="5:11" ht="14.15" customHeight="1">
      <c r="E678" s="188"/>
      <c r="F678" s="188"/>
      <c r="G678" s="191"/>
      <c r="H678" s="191"/>
      <c r="I678" s="188"/>
      <c r="J678" s="188"/>
      <c r="K678" s="188"/>
    </row>
    <row r="679" spans="5:11" ht="14.15" customHeight="1">
      <c r="E679" s="188"/>
      <c r="F679" s="188"/>
      <c r="G679" s="191"/>
      <c r="H679" s="191"/>
      <c r="I679" s="188"/>
      <c r="J679" s="188"/>
      <c r="K679" s="188"/>
    </row>
    <row r="680" spans="5:11" ht="14.15" customHeight="1">
      <c r="E680" s="188"/>
      <c r="F680" s="188"/>
      <c r="G680" s="191"/>
      <c r="H680" s="191"/>
      <c r="I680" s="188"/>
      <c r="J680" s="188"/>
      <c r="K680" s="188"/>
    </row>
    <row r="681" spans="5:11" ht="14.15" customHeight="1">
      <c r="E681" s="188"/>
      <c r="F681" s="188"/>
      <c r="G681" s="191"/>
      <c r="H681" s="191"/>
      <c r="I681" s="188"/>
      <c r="J681" s="188"/>
      <c r="K681" s="188"/>
    </row>
    <row r="682" spans="5:11" ht="14.15" customHeight="1">
      <c r="E682" s="188"/>
      <c r="F682" s="188"/>
      <c r="G682" s="191"/>
      <c r="H682" s="191"/>
      <c r="I682" s="188"/>
      <c r="J682" s="188"/>
      <c r="K682" s="188"/>
    </row>
    <row r="683" spans="5:11" ht="14.15" customHeight="1">
      <c r="E683" s="188"/>
      <c r="F683" s="188"/>
      <c r="G683" s="191"/>
      <c r="H683" s="191"/>
      <c r="I683" s="188"/>
      <c r="J683" s="188"/>
      <c r="K683" s="188"/>
    </row>
    <row r="684" spans="5:11" ht="14.15" customHeight="1">
      <c r="E684" s="188"/>
      <c r="F684" s="188"/>
      <c r="G684" s="191"/>
      <c r="H684" s="191"/>
      <c r="I684" s="188"/>
      <c r="J684" s="188"/>
      <c r="K684" s="188"/>
    </row>
    <row r="685" spans="5:11" ht="14.15" customHeight="1">
      <c r="E685" s="188"/>
      <c r="F685" s="188"/>
      <c r="G685" s="191"/>
      <c r="H685" s="191"/>
      <c r="I685" s="188"/>
      <c r="J685" s="188"/>
      <c r="K685" s="188"/>
    </row>
    <row r="686" spans="5:11" ht="14.15" customHeight="1">
      <c r="E686" s="188"/>
      <c r="F686" s="188"/>
      <c r="G686" s="191"/>
      <c r="H686" s="191"/>
      <c r="I686" s="188"/>
      <c r="J686" s="188"/>
      <c r="K686" s="188"/>
    </row>
    <row r="687" spans="5:11" ht="14.15" customHeight="1">
      <c r="E687" s="188"/>
      <c r="F687" s="188"/>
      <c r="G687" s="191"/>
      <c r="H687" s="191"/>
      <c r="I687" s="188"/>
      <c r="J687" s="188"/>
      <c r="K687" s="188"/>
    </row>
    <row r="688" spans="5:11" ht="14.15" customHeight="1">
      <c r="E688" s="188"/>
      <c r="F688" s="188"/>
      <c r="G688" s="191"/>
      <c r="H688" s="191"/>
      <c r="I688" s="188"/>
      <c r="J688" s="188"/>
      <c r="K688" s="188"/>
    </row>
    <row r="689" spans="1:20" s="14" customFormat="1" ht="14.15" customHeight="1">
      <c r="A689" s="404"/>
      <c r="B689" s="83"/>
      <c r="C689" s="83"/>
      <c r="D689" s="83"/>
      <c r="E689" s="188"/>
      <c r="F689" s="188"/>
      <c r="G689" s="191"/>
      <c r="H689" s="191"/>
      <c r="J689" s="83"/>
      <c r="K689" s="83"/>
      <c r="L689" s="469"/>
      <c r="M689" s="83"/>
      <c r="N689" s="83"/>
      <c r="O689" s="83"/>
      <c r="P689" s="83"/>
      <c r="Q689" s="83"/>
      <c r="R689" s="83"/>
      <c r="S689" s="83"/>
      <c r="T689" s="83"/>
    </row>
    <row r="690" spans="1:20" s="14" customFormat="1" ht="14.15" customHeight="1">
      <c r="A690" s="404"/>
      <c r="B690" s="83"/>
      <c r="C690" s="83"/>
      <c r="D690" s="83"/>
      <c r="E690" s="188"/>
      <c r="F690" s="188"/>
      <c r="G690" s="191"/>
      <c r="H690" s="191"/>
      <c r="J690" s="83"/>
      <c r="K690" s="83"/>
      <c r="L690" s="469"/>
      <c r="M690" s="83"/>
      <c r="N690" s="83"/>
      <c r="O690" s="83"/>
      <c r="P690" s="83"/>
      <c r="Q690" s="83"/>
      <c r="R690" s="83"/>
      <c r="S690" s="83"/>
      <c r="T690" s="83"/>
    </row>
    <row r="691" spans="1:20" s="14" customFormat="1" ht="14.15" customHeight="1">
      <c r="A691" s="404"/>
      <c r="B691" s="83"/>
      <c r="C691" s="83"/>
      <c r="D691" s="83"/>
      <c r="E691" s="188"/>
      <c r="F691" s="188"/>
      <c r="G691" s="191"/>
      <c r="H691" s="191"/>
      <c r="J691" s="83"/>
      <c r="K691" s="83"/>
      <c r="L691" s="469"/>
      <c r="M691" s="83"/>
      <c r="N691" s="83"/>
      <c r="O691" s="83"/>
      <c r="P691" s="83"/>
      <c r="Q691" s="83"/>
      <c r="R691" s="83"/>
      <c r="S691" s="83"/>
      <c r="T691" s="83"/>
    </row>
    <row r="692" spans="1:20" s="14" customFormat="1" ht="14.15" customHeight="1">
      <c r="A692" s="404"/>
      <c r="B692" s="83"/>
      <c r="C692" s="83"/>
      <c r="D692" s="83"/>
      <c r="E692" s="188"/>
      <c r="F692" s="188"/>
      <c r="G692" s="191"/>
      <c r="H692" s="191"/>
      <c r="J692" s="83"/>
      <c r="K692" s="83"/>
      <c r="L692" s="469"/>
      <c r="M692" s="83"/>
      <c r="N692" s="83"/>
      <c r="O692" s="83"/>
      <c r="P692" s="83"/>
      <c r="Q692" s="83"/>
      <c r="R692" s="83"/>
      <c r="S692" s="83"/>
      <c r="T692" s="83"/>
    </row>
    <row r="693" spans="1:20" s="14" customFormat="1" ht="14.15" customHeight="1">
      <c r="A693" s="404"/>
      <c r="B693" s="83"/>
      <c r="C693" s="83"/>
      <c r="D693" s="83"/>
      <c r="E693" s="188"/>
      <c r="F693" s="188"/>
      <c r="G693" s="191"/>
      <c r="H693" s="191"/>
      <c r="J693" s="83"/>
      <c r="K693" s="83"/>
      <c r="L693" s="469"/>
      <c r="M693" s="83"/>
      <c r="N693" s="83"/>
      <c r="O693" s="83"/>
      <c r="P693" s="83"/>
      <c r="Q693" s="83"/>
      <c r="R693" s="83"/>
      <c r="S693" s="83"/>
      <c r="T693" s="83"/>
    </row>
    <row r="694" spans="1:20" s="14" customFormat="1" ht="14.15" customHeight="1">
      <c r="A694" s="404"/>
      <c r="B694" s="83"/>
      <c r="C694" s="83"/>
      <c r="D694" s="83"/>
      <c r="E694" s="188"/>
      <c r="F694" s="188"/>
      <c r="G694" s="191"/>
      <c r="H694" s="191"/>
      <c r="J694" s="83"/>
      <c r="K694" s="83"/>
      <c r="L694" s="469"/>
      <c r="M694" s="83"/>
      <c r="N694" s="83"/>
      <c r="O694" s="83"/>
      <c r="P694" s="83"/>
      <c r="Q694" s="83"/>
      <c r="R694" s="83"/>
      <c r="S694" s="83"/>
      <c r="T694" s="83"/>
    </row>
    <row r="695" spans="1:20" s="14" customFormat="1" ht="14.15" customHeight="1">
      <c r="A695" s="404"/>
      <c r="B695" s="83"/>
      <c r="C695" s="83"/>
      <c r="D695" s="83"/>
      <c r="E695" s="188"/>
      <c r="F695" s="188"/>
      <c r="G695" s="191"/>
      <c r="H695" s="191"/>
      <c r="J695" s="83"/>
      <c r="K695" s="83"/>
      <c r="L695" s="469"/>
      <c r="M695" s="83"/>
      <c r="N695" s="83"/>
      <c r="O695" s="83"/>
      <c r="P695" s="83"/>
      <c r="Q695" s="83"/>
      <c r="R695" s="83"/>
      <c r="S695" s="83"/>
      <c r="T695" s="83"/>
    </row>
    <row r="696" spans="1:20" s="14" customFormat="1" ht="14.15" customHeight="1">
      <c r="A696" s="404"/>
      <c r="B696" s="83"/>
      <c r="C696" s="83"/>
      <c r="D696" s="83"/>
      <c r="E696" s="188"/>
      <c r="F696" s="188"/>
      <c r="G696" s="191"/>
      <c r="H696" s="191"/>
      <c r="J696" s="83"/>
      <c r="K696" s="83"/>
      <c r="L696" s="469"/>
      <c r="M696" s="83"/>
      <c r="N696" s="83"/>
      <c r="O696" s="83"/>
      <c r="P696" s="83"/>
      <c r="Q696" s="83"/>
      <c r="R696" s="83"/>
      <c r="S696" s="83"/>
      <c r="T696" s="83"/>
    </row>
    <row r="697" spans="1:20" s="14" customFormat="1" ht="14.15" customHeight="1">
      <c r="A697" s="404"/>
      <c r="B697" s="83"/>
      <c r="C697" s="83"/>
      <c r="D697" s="83"/>
      <c r="E697" s="188"/>
      <c r="F697" s="188"/>
      <c r="G697" s="191"/>
      <c r="H697" s="191"/>
      <c r="J697" s="83"/>
      <c r="K697" s="83"/>
      <c r="L697" s="469"/>
      <c r="M697" s="83"/>
      <c r="N697" s="83"/>
      <c r="O697" s="83"/>
      <c r="P697" s="83"/>
      <c r="Q697" s="83"/>
      <c r="R697" s="83"/>
      <c r="S697" s="83"/>
      <c r="T697" s="83"/>
    </row>
    <row r="698" spans="1:20" s="14" customFormat="1" ht="14.15" customHeight="1">
      <c r="A698" s="404"/>
      <c r="B698" s="83"/>
      <c r="C698" s="83"/>
      <c r="D698" s="83"/>
      <c r="E698" s="188"/>
      <c r="F698" s="188"/>
      <c r="G698" s="191"/>
      <c r="H698" s="191"/>
      <c r="J698" s="83"/>
      <c r="K698" s="83"/>
      <c r="L698" s="469"/>
      <c r="M698" s="83"/>
      <c r="N698" s="83"/>
      <c r="O698" s="83"/>
      <c r="P698" s="83"/>
      <c r="Q698" s="83"/>
      <c r="R698" s="83"/>
      <c r="S698" s="83"/>
      <c r="T698" s="83"/>
    </row>
    <row r="699" spans="1:20" s="14" customFormat="1" ht="14.15" customHeight="1">
      <c r="A699" s="404"/>
      <c r="B699" s="83"/>
      <c r="C699" s="83"/>
      <c r="D699" s="83"/>
      <c r="E699" s="188"/>
      <c r="F699" s="188"/>
      <c r="G699" s="191"/>
      <c r="H699" s="191"/>
      <c r="J699" s="83"/>
      <c r="K699" s="83"/>
      <c r="L699" s="469"/>
      <c r="M699" s="83"/>
      <c r="N699" s="83"/>
      <c r="O699" s="83"/>
      <c r="P699" s="83"/>
      <c r="Q699" s="83"/>
      <c r="R699" s="83"/>
      <c r="S699" s="83"/>
      <c r="T699" s="83"/>
    </row>
    <row r="700" spans="1:20" s="14" customFormat="1" ht="14.15" customHeight="1">
      <c r="A700" s="404"/>
      <c r="B700" s="83"/>
      <c r="C700" s="83"/>
      <c r="D700" s="83"/>
      <c r="E700" s="188"/>
      <c r="F700" s="188"/>
      <c r="G700" s="191"/>
      <c r="H700" s="191"/>
      <c r="J700" s="83"/>
      <c r="K700" s="83"/>
      <c r="L700" s="469"/>
      <c r="M700" s="83"/>
      <c r="N700" s="83"/>
      <c r="O700" s="83"/>
      <c r="P700" s="83"/>
      <c r="Q700" s="83"/>
      <c r="R700" s="83"/>
      <c r="S700" s="83"/>
      <c r="T700" s="83"/>
    </row>
    <row r="701" spans="1:20" s="14" customFormat="1" ht="14.15" customHeight="1">
      <c r="A701" s="404"/>
      <c r="B701" s="83"/>
      <c r="C701" s="83"/>
      <c r="D701" s="83"/>
      <c r="E701" s="188"/>
      <c r="F701" s="188"/>
      <c r="G701" s="191"/>
      <c r="H701" s="191"/>
      <c r="J701" s="83"/>
      <c r="K701" s="83"/>
      <c r="L701" s="469"/>
      <c r="M701" s="83"/>
      <c r="N701" s="83"/>
      <c r="O701" s="83"/>
      <c r="P701" s="83"/>
      <c r="Q701" s="83"/>
      <c r="R701" s="83"/>
      <c r="S701" s="83"/>
      <c r="T701" s="83"/>
    </row>
    <row r="702" spans="1:20" s="14" customFormat="1" ht="14.15" customHeight="1">
      <c r="A702" s="404"/>
      <c r="B702" s="83"/>
      <c r="C702" s="83"/>
      <c r="D702" s="83"/>
      <c r="E702" s="188"/>
      <c r="F702" s="188"/>
      <c r="G702" s="191"/>
      <c r="H702" s="191"/>
      <c r="J702" s="83"/>
      <c r="K702" s="83"/>
      <c r="L702" s="469"/>
      <c r="M702" s="83"/>
      <c r="N702" s="83"/>
      <c r="O702" s="83"/>
      <c r="P702" s="83"/>
      <c r="Q702" s="83"/>
      <c r="R702" s="83"/>
      <c r="S702" s="83"/>
      <c r="T702" s="83"/>
    </row>
    <row r="703" spans="1:20" s="14" customFormat="1" ht="14.15" customHeight="1">
      <c r="A703" s="404"/>
      <c r="B703" s="83"/>
      <c r="C703" s="83"/>
      <c r="D703" s="83"/>
      <c r="E703" s="188"/>
      <c r="F703" s="188"/>
      <c r="G703" s="191"/>
      <c r="H703" s="191"/>
      <c r="J703" s="83"/>
      <c r="K703" s="83"/>
      <c r="L703" s="469"/>
      <c r="M703" s="83"/>
      <c r="N703" s="83"/>
      <c r="O703" s="83"/>
      <c r="P703" s="83"/>
      <c r="Q703" s="83"/>
      <c r="R703" s="83"/>
      <c r="S703" s="83"/>
      <c r="T703" s="83"/>
    </row>
    <row r="704" spans="1:20" s="14" customFormat="1" ht="14.15" customHeight="1">
      <c r="A704" s="404"/>
      <c r="B704" s="83"/>
      <c r="C704" s="83"/>
      <c r="D704" s="83"/>
      <c r="E704" s="188"/>
      <c r="F704" s="188"/>
      <c r="G704" s="191"/>
      <c r="H704" s="191"/>
      <c r="J704" s="83"/>
      <c r="K704" s="83"/>
      <c r="L704" s="469"/>
      <c r="M704" s="83"/>
      <c r="N704" s="83"/>
      <c r="O704" s="83"/>
      <c r="P704" s="83"/>
      <c r="Q704" s="83"/>
      <c r="R704" s="83"/>
      <c r="S704" s="83"/>
      <c r="T704" s="83"/>
    </row>
    <row r="705" spans="1:20" s="14" customFormat="1" ht="14.15" customHeight="1">
      <c r="A705" s="404"/>
      <c r="B705" s="83"/>
      <c r="C705" s="83"/>
      <c r="D705" s="83"/>
      <c r="E705" s="188"/>
      <c r="F705" s="188"/>
      <c r="G705" s="191"/>
      <c r="H705" s="191"/>
      <c r="J705" s="83"/>
      <c r="K705" s="83"/>
      <c r="L705" s="469"/>
      <c r="M705" s="83"/>
      <c r="N705" s="83"/>
      <c r="O705" s="83"/>
      <c r="P705" s="83"/>
      <c r="Q705" s="83"/>
      <c r="R705" s="83"/>
      <c r="S705" s="83"/>
      <c r="T705" s="83"/>
    </row>
    <row r="706" spans="1:20" s="14" customFormat="1" ht="14.15" customHeight="1">
      <c r="A706" s="404"/>
      <c r="B706" s="83"/>
      <c r="C706" s="83"/>
      <c r="D706" s="83"/>
      <c r="E706" s="188"/>
      <c r="F706" s="188"/>
      <c r="G706" s="191"/>
      <c r="H706" s="191"/>
      <c r="J706" s="83"/>
      <c r="K706" s="83"/>
      <c r="L706" s="469"/>
      <c r="M706" s="83"/>
      <c r="N706" s="83"/>
      <c r="O706" s="83"/>
      <c r="P706" s="83"/>
      <c r="Q706" s="83"/>
      <c r="R706" s="83"/>
      <c r="S706" s="83"/>
      <c r="T706" s="83"/>
    </row>
    <row r="707" spans="1:20" s="14" customFormat="1" ht="14.15" customHeight="1">
      <c r="A707" s="404"/>
      <c r="B707" s="83"/>
      <c r="C707" s="83"/>
      <c r="D707" s="83"/>
      <c r="E707" s="188"/>
      <c r="F707" s="188"/>
      <c r="G707" s="191"/>
      <c r="H707" s="191"/>
      <c r="J707" s="83"/>
      <c r="K707" s="83"/>
      <c r="L707" s="469"/>
      <c r="M707" s="83"/>
      <c r="N707" s="83"/>
      <c r="O707" s="83"/>
      <c r="P707" s="83"/>
      <c r="Q707" s="83"/>
      <c r="R707" s="83"/>
      <c r="S707" s="83"/>
      <c r="T707" s="83"/>
    </row>
    <row r="708" spans="1:20" s="14" customFormat="1" ht="14.15" customHeight="1">
      <c r="A708" s="404"/>
      <c r="B708" s="83"/>
      <c r="C708" s="83"/>
      <c r="D708" s="83"/>
      <c r="E708" s="188"/>
      <c r="F708" s="188"/>
      <c r="G708" s="191"/>
      <c r="H708" s="191"/>
      <c r="J708" s="83"/>
      <c r="K708" s="83"/>
      <c r="L708" s="469"/>
      <c r="M708" s="83"/>
      <c r="N708" s="83"/>
      <c r="O708" s="83"/>
      <c r="P708" s="83"/>
      <c r="Q708" s="83"/>
      <c r="R708" s="83"/>
      <c r="S708" s="83"/>
      <c r="T708" s="83"/>
    </row>
    <row r="709" spans="1:20" s="14" customFormat="1" ht="14.15" customHeight="1">
      <c r="A709" s="404"/>
      <c r="B709" s="83"/>
      <c r="C709" s="83"/>
      <c r="D709" s="83"/>
      <c r="E709" s="188"/>
      <c r="F709" s="188"/>
      <c r="G709" s="191"/>
      <c r="H709" s="191"/>
      <c r="J709" s="83"/>
      <c r="K709" s="83"/>
      <c r="L709" s="469"/>
      <c r="M709" s="83"/>
      <c r="N709" s="83"/>
      <c r="O709" s="83"/>
      <c r="P709" s="83"/>
      <c r="Q709" s="83"/>
      <c r="R709" s="83"/>
      <c r="S709" s="83"/>
      <c r="T709" s="83"/>
    </row>
    <row r="710" spans="1:20" s="14" customFormat="1" ht="14.15" customHeight="1">
      <c r="A710" s="404"/>
      <c r="B710" s="83"/>
      <c r="C710" s="83"/>
      <c r="D710" s="83"/>
      <c r="E710" s="188"/>
      <c r="F710" s="188"/>
      <c r="G710" s="191"/>
      <c r="H710" s="191"/>
      <c r="J710" s="83"/>
      <c r="K710" s="83"/>
      <c r="L710" s="469"/>
      <c r="M710" s="83"/>
      <c r="N710" s="83"/>
      <c r="O710" s="83"/>
      <c r="P710" s="83"/>
      <c r="Q710" s="83"/>
      <c r="R710" s="83"/>
      <c r="S710" s="83"/>
      <c r="T710" s="83"/>
    </row>
    <row r="711" spans="1:20" s="14" customFormat="1" ht="14.15" customHeight="1">
      <c r="A711" s="404"/>
      <c r="B711" s="83"/>
      <c r="C711" s="83"/>
      <c r="D711" s="83"/>
      <c r="E711" s="188"/>
      <c r="F711" s="188"/>
      <c r="G711" s="191"/>
      <c r="H711" s="191"/>
      <c r="J711" s="83"/>
      <c r="K711" s="83"/>
      <c r="L711" s="469"/>
      <c r="M711" s="83"/>
      <c r="N711" s="83"/>
      <c r="O711" s="83"/>
      <c r="P711" s="83"/>
      <c r="Q711" s="83"/>
      <c r="R711" s="83"/>
      <c r="S711" s="83"/>
      <c r="T711" s="83"/>
    </row>
    <row r="712" spans="1:20" s="14" customFormat="1" ht="14.15" customHeight="1">
      <c r="A712" s="404"/>
      <c r="B712" s="83"/>
      <c r="C712" s="83"/>
      <c r="D712" s="83"/>
      <c r="E712" s="188"/>
      <c r="F712" s="188"/>
      <c r="G712" s="191"/>
      <c r="H712" s="191"/>
      <c r="J712" s="83"/>
      <c r="K712" s="83"/>
      <c r="L712" s="469"/>
      <c r="M712" s="83"/>
      <c r="N712" s="83"/>
      <c r="O712" s="83"/>
      <c r="P712" s="83"/>
      <c r="Q712" s="83"/>
      <c r="R712" s="83"/>
      <c r="S712" s="83"/>
      <c r="T712" s="83"/>
    </row>
    <row r="713" spans="1:20" s="14" customFormat="1" ht="14.15" customHeight="1">
      <c r="A713" s="404"/>
      <c r="B713" s="83"/>
      <c r="C713" s="83"/>
      <c r="D713" s="83"/>
      <c r="E713" s="188"/>
      <c r="F713" s="188"/>
      <c r="G713" s="191"/>
      <c r="H713" s="191"/>
      <c r="J713" s="83"/>
      <c r="K713" s="83"/>
      <c r="L713" s="469"/>
      <c r="M713" s="83"/>
      <c r="N713" s="83"/>
      <c r="O713" s="83"/>
      <c r="P713" s="83"/>
      <c r="Q713" s="83"/>
      <c r="R713" s="83"/>
      <c r="S713" s="83"/>
      <c r="T713" s="83"/>
    </row>
    <row r="714" spans="1:20" s="14" customFormat="1" ht="14.15" customHeight="1">
      <c r="A714" s="404"/>
      <c r="B714" s="83"/>
      <c r="C714" s="83"/>
      <c r="D714" s="83"/>
      <c r="E714" s="188"/>
      <c r="F714" s="188"/>
      <c r="G714" s="191"/>
      <c r="H714" s="191"/>
      <c r="J714" s="83"/>
      <c r="K714" s="83"/>
      <c r="L714" s="469"/>
      <c r="M714" s="83"/>
      <c r="N714" s="83"/>
      <c r="O714" s="83"/>
      <c r="P714" s="83"/>
      <c r="Q714" s="83"/>
      <c r="R714" s="83"/>
      <c r="S714" s="83"/>
      <c r="T714" s="83"/>
    </row>
    <row r="715" spans="1:20" s="14" customFormat="1" ht="14.15" customHeight="1">
      <c r="A715" s="404"/>
      <c r="B715" s="83"/>
      <c r="C715" s="83"/>
      <c r="D715" s="83"/>
      <c r="E715" s="188"/>
      <c r="F715" s="188"/>
      <c r="G715" s="191"/>
      <c r="H715" s="191"/>
      <c r="J715" s="83"/>
      <c r="K715" s="83"/>
      <c r="L715" s="469"/>
      <c r="M715" s="83"/>
      <c r="N715" s="83"/>
      <c r="O715" s="83"/>
      <c r="P715" s="83"/>
      <c r="Q715" s="83"/>
      <c r="R715" s="83"/>
      <c r="S715" s="83"/>
      <c r="T715" s="83"/>
    </row>
    <row r="716" spans="1:20" s="14" customFormat="1" ht="14.15" customHeight="1">
      <c r="A716" s="404"/>
      <c r="B716" s="83"/>
      <c r="C716" s="83"/>
      <c r="D716" s="83"/>
      <c r="E716" s="188"/>
      <c r="F716" s="188"/>
      <c r="G716" s="191"/>
      <c r="H716" s="191"/>
      <c r="J716" s="83"/>
      <c r="K716" s="83"/>
      <c r="L716" s="469"/>
      <c r="M716" s="83"/>
      <c r="N716" s="83"/>
      <c r="O716" s="83"/>
      <c r="P716" s="83"/>
      <c r="Q716" s="83"/>
      <c r="R716" s="83"/>
      <c r="S716" s="83"/>
      <c r="T716" s="83"/>
    </row>
    <row r="717" spans="1:20" s="14" customFormat="1" ht="14.15" customHeight="1">
      <c r="A717" s="404"/>
      <c r="B717" s="83"/>
      <c r="C717" s="83"/>
      <c r="D717" s="83"/>
      <c r="E717" s="188"/>
      <c r="F717" s="188"/>
      <c r="G717" s="191"/>
      <c r="H717" s="191"/>
      <c r="J717" s="83"/>
      <c r="K717" s="83"/>
      <c r="L717" s="469"/>
      <c r="M717" s="83"/>
      <c r="N717" s="83"/>
      <c r="O717" s="83"/>
      <c r="P717" s="83"/>
      <c r="Q717" s="83"/>
      <c r="R717" s="83"/>
      <c r="S717" s="83"/>
      <c r="T717" s="83"/>
    </row>
    <row r="718" spans="1:20" s="14" customFormat="1" ht="14.15" customHeight="1">
      <c r="A718" s="404"/>
      <c r="B718" s="83"/>
      <c r="C718" s="83"/>
      <c r="D718" s="83"/>
      <c r="E718" s="188"/>
      <c r="F718" s="188"/>
      <c r="G718" s="191"/>
      <c r="H718" s="191"/>
      <c r="J718" s="83"/>
      <c r="K718" s="83"/>
      <c r="L718" s="469"/>
      <c r="M718" s="83"/>
      <c r="N718" s="83"/>
      <c r="O718" s="83"/>
      <c r="P718" s="83"/>
      <c r="Q718" s="83"/>
      <c r="R718" s="83"/>
      <c r="S718" s="83"/>
      <c r="T718" s="83"/>
    </row>
    <row r="719" spans="1:20" s="14" customFormat="1" ht="14.15" customHeight="1">
      <c r="A719" s="404"/>
      <c r="B719" s="83"/>
      <c r="C719" s="83"/>
      <c r="D719" s="83"/>
      <c r="E719" s="188"/>
      <c r="F719" s="188"/>
      <c r="G719" s="191"/>
      <c r="H719" s="191"/>
      <c r="J719" s="83"/>
      <c r="K719" s="83"/>
      <c r="L719" s="469"/>
      <c r="M719" s="83"/>
      <c r="N719" s="83"/>
      <c r="O719" s="83"/>
      <c r="P719" s="83"/>
      <c r="Q719" s="83"/>
      <c r="R719" s="83"/>
      <c r="S719" s="83"/>
      <c r="T719" s="83"/>
    </row>
    <row r="720" spans="1:20" s="14" customFormat="1" ht="14.15" customHeight="1">
      <c r="A720" s="404"/>
      <c r="B720" s="83"/>
      <c r="C720" s="83"/>
      <c r="D720" s="83"/>
      <c r="E720" s="188"/>
      <c r="F720" s="188"/>
      <c r="G720" s="191"/>
      <c r="H720" s="191"/>
      <c r="J720" s="83"/>
      <c r="K720" s="83"/>
      <c r="L720" s="469"/>
      <c r="M720" s="83"/>
      <c r="N720" s="83"/>
      <c r="O720" s="83"/>
      <c r="P720" s="83"/>
      <c r="Q720" s="83"/>
      <c r="R720" s="83"/>
      <c r="S720" s="83"/>
      <c r="T720" s="83"/>
    </row>
    <row r="721" spans="1:20" s="14" customFormat="1" ht="14.15" customHeight="1">
      <c r="A721" s="404"/>
      <c r="B721" s="83"/>
      <c r="C721" s="83"/>
      <c r="D721" s="83"/>
      <c r="E721" s="188"/>
      <c r="F721" s="188"/>
      <c r="G721" s="191"/>
      <c r="H721" s="191"/>
      <c r="J721" s="83"/>
      <c r="K721" s="83"/>
      <c r="L721" s="469"/>
      <c r="M721" s="83"/>
      <c r="N721" s="83"/>
      <c r="O721" s="83"/>
      <c r="P721" s="83"/>
      <c r="Q721" s="83"/>
      <c r="R721" s="83"/>
      <c r="S721" s="83"/>
      <c r="T721" s="83"/>
    </row>
    <row r="722" spans="1:20" s="14" customFormat="1" ht="14.15" customHeight="1">
      <c r="A722" s="404"/>
      <c r="B722" s="83"/>
      <c r="C722" s="83"/>
      <c r="D722" s="83"/>
      <c r="E722" s="188"/>
      <c r="F722" s="188"/>
      <c r="G722" s="191"/>
      <c r="H722" s="191"/>
      <c r="J722" s="83"/>
      <c r="K722" s="83"/>
      <c r="L722" s="469"/>
      <c r="M722" s="83"/>
      <c r="N722" s="83"/>
      <c r="O722" s="83"/>
      <c r="P722" s="83"/>
      <c r="Q722" s="83"/>
      <c r="R722" s="83"/>
      <c r="S722" s="83"/>
      <c r="T722" s="83"/>
    </row>
    <row r="723" spans="1:20" s="14" customFormat="1" ht="14.15" customHeight="1">
      <c r="A723" s="404"/>
      <c r="B723" s="83"/>
      <c r="C723" s="83"/>
      <c r="D723" s="83"/>
      <c r="E723" s="188"/>
      <c r="F723" s="188"/>
      <c r="G723" s="191"/>
      <c r="H723" s="191"/>
      <c r="J723" s="83"/>
      <c r="K723" s="83"/>
      <c r="L723" s="469"/>
      <c r="M723" s="83"/>
      <c r="N723" s="83"/>
      <c r="O723" s="83"/>
      <c r="P723" s="83"/>
      <c r="Q723" s="83"/>
      <c r="R723" s="83"/>
      <c r="S723" s="83"/>
      <c r="T723" s="83"/>
    </row>
    <row r="724" spans="1:20" s="14" customFormat="1" ht="14.15" customHeight="1">
      <c r="A724" s="404"/>
      <c r="B724" s="83"/>
      <c r="C724" s="83"/>
      <c r="D724" s="83"/>
      <c r="E724" s="188"/>
      <c r="F724" s="188"/>
      <c r="G724" s="191"/>
      <c r="H724" s="191"/>
      <c r="J724" s="83"/>
      <c r="K724" s="83"/>
      <c r="L724" s="469"/>
      <c r="M724" s="83"/>
      <c r="N724" s="83"/>
      <c r="O724" s="83"/>
      <c r="P724" s="83"/>
      <c r="Q724" s="83"/>
      <c r="R724" s="83"/>
      <c r="S724" s="83"/>
      <c r="T724" s="83"/>
    </row>
    <row r="725" spans="1:20" s="14" customFormat="1" ht="14.15" customHeight="1">
      <c r="A725" s="404"/>
      <c r="B725" s="83"/>
      <c r="C725" s="83"/>
      <c r="D725" s="83"/>
      <c r="E725" s="188"/>
      <c r="F725" s="188"/>
      <c r="G725" s="191"/>
      <c r="H725" s="191"/>
      <c r="J725" s="83"/>
      <c r="K725" s="83"/>
      <c r="L725" s="469"/>
      <c r="M725" s="83"/>
      <c r="N725" s="83"/>
      <c r="O725" s="83"/>
      <c r="P725" s="83"/>
      <c r="Q725" s="83"/>
      <c r="R725" s="83"/>
      <c r="S725" s="83"/>
      <c r="T725" s="83"/>
    </row>
    <row r="726" spans="1:20" s="14" customFormat="1" ht="14.15" customHeight="1">
      <c r="A726" s="404"/>
      <c r="B726" s="83"/>
      <c r="C726" s="83"/>
      <c r="D726" s="83"/>
      <c r="E726" s="188"/>
      <c r="F726" s="188"/>
      <c r="G726" s="191"/>
      <c r="H726" s="191"/>
      <c r="J726" s="83"/>
      <c r="K726" s="83"/>
      <c r="L726" s="469"/>
      <c r="M726" s="83"/>
      <c r="N726" s="83"/>
      <c r="O726" s="83"/>
      <c r="P726" s="83"/>
      <c r="Q726" s="83"/>
      <c r="R726" s="83"/>
      <c r="S726" s="83"/>
      <c r="T726" s="83"/>
    </row>
    <row r="727" spans="1:20" s="14" customFormat="1" ht="14.15" customHeight="1">
      <c r="A727" s="404"/>
      <c r="B727" s="83"/>
      <c r="C727" s="83"/>
      <c r="D727" s="83"/>
      <c r="E727" s="188"/>
      <c r="F727" s="188"/>
      <c r="G727" s="191"/>
      <c r="H727" s="191"/>
      <c r="J727" s="83"/>
      <c r="K727" s="83"/>
      <c r="L727" s="469"/>
      <c r="M727" s="83"/>
      <c r="N727" s="83"/>
      <c r="O727" s="83"/>
      <c r="P727" s="83"/>
      <c r="Q727" s="83"/>
      <c r="R727" s="83"/>
      <c r="S727" s="83"/>
      <c r="T727" s="83"/>
    </row>
    <row r="728" spans="1:20" s="14" customFormat="1" ht="14.15" customHeight="1">
      <c r="A728" s="404"/>
      <c r="B728" s="83"/>
      <c r="C728" s="83"/>
      <c r="D728" s="83"/>
      <c r="E728" s="188"/>
      <c r="F728" s="188"/>
      <c r="G728" s="191"/>
      <c r="H728" s="191"/>
      <c r="J728" s="83"/>
      <c r="K728" s="83"/>
      <c r="L728" s="469"/>
      <c r="M728" s="83"/>
      <c r="N728" s="83"/>
      <c r="O728" s="83"/>
      <c r="P728" s="83"/>
      <c r="Q728" s="83"/>
      <c r="R728" s="83"/>
      <c r="S728" s="83"/>
      <c r="T728" s="83"/>
    </row>
    <row r="729" spans="1:20" s="14" customFormat="1" ht="14.15" customHeight="1">
      <c r="A729" s="404"/>
      <c r="B729" s="83"/>
      <c r="C729" s="83"/>
      <c r="D729" s="83"/>
      <c r="E729" s="188"/>
      <c r="F729" s="188"/>
      <c r="G729" s="191"/>
      <c r="H729" s="191"/>
      <c r="J729" s="83"/>
      <c r="K729" s="83"/>
      <c r="L729" s="469"/>
      <c r="M729" s="83"/>
      <c r="N729" s="83"/>
      <c r="O729" s="83"/>
      <c r="P729" s="83"/>
      <c r="Q729" s="83"/>
      <c r="R729" s="83"/>
      <c r="S729" s="83"/>
      <c r="T729" s="83"/>
    </row>
    <row r="730" spans="1:20" s="14" customFormat="1" ht="14.15" customHeight="1">
      <c r="A730" s="404"/>
      <c r="B730" s="83"/>
      <c r="C730" s="83"/>
      <c r="D730" s="83"/>
      <c r="E730" s="188"/>
      <c r="F730" s="188"/>
      <c r="G730" s="191"/>
      <c r="H730" s="191"/>
      <c r="J730" s="83"/>
      <c r="K730" s="83"/>
      <c r="L730" s="469"/>
      <c r="M730" s="83"/>
      <c r="N730" s="83"/>
      <c r="O730" s="83"/>
      <c r="P730" s="83"/>
      <c r="Q730" s="83"/>
      <c r="R730" s="83"/>
      <c r="S730" s="83"/>
      <c r="T730" s="83"/>
    </row>
    <row r="731" spans="1:20" s="14" customFormat="1" ht="14.15" customHeight="1">
      <c r="A731" s="404"/>
      <c r="B731" s="83"/>
      <c r="C731" s="83"/>
      <c r="D731" s="83"/>
      <c r="E731" s="188"/>
      <c r="F731" s="188"/>
      <c r="G731" s="191"/>
      <c r="H731" s="191"/>
      <c r="J731" s="83"/>
      <c r="K731" s="83"/>
      <c r="L731" s="469"/>
      <c r="M731" s="83"/>
      <c r="N731" s="83"/>
      <c r="O731" s="83"/>
      <c r="P731" s="83"/>
      <c r="Q731" s="83"/>
      <c r="R731" s="83"/>
      <c r="S731" s="83"/>
      <c r="T731" s="83"/>
    </row>
    <row r="732" spans="1:20" s="14" customFormat="1" ht="14.15" customHeight="1">
      <c r="A732" s="404"/>
      <c r="B732" s="83"/>
      <c r="C732" s="83"/>
      <c r="D732" s="83"/>
      <c r="E732" s="188"/>
      <c r="F732" s="188"/>
      <c r="G732" s="191"/>
      <c r="H732" s="191"/>
      <c r="J732" s="83"/>
      <c r="K732" s="83"/>
      <c r="L732" s="469"/>
      <c r="M732" s="83"/>
      <c r="N732" s="83"/>
      <c r="O732" s="83"/>
      <c r="P732" s="83"/>
      <c r="Q732" s="83"/>
      <c r="R732" s="83"/>
      <c r="S732" s="83"/>
      <c r="T732" s="83"/>
    </row>
    <row r="733" spans="1:20" s="14" customFormat="1" ht="14.15" customHeight="1">
      <c r="A733" s="404"/>
      <c r="B733" s="83"/>
      <c r="C733" s="83"/>
      <c r="D733" s="83"/>
      <c r="E733" s="188"/>
      <c r="F733" s="188"/>
      <c r="G733" s="191"/>
      <c r="H733" s="191"/>
      <c r="J733" s="83"/>
      <c r="K733" s="83"/>
      <c r="L733" s="469"/>
      <c r="M733" s="83"/>
      <c r="N733" s="83"/>
      <c r="O733" s="83"/>
      <c r="P733" s="83"/>
      <c r="Q733" s="83"/>
      <c r="R733" s="83"/>
      <c r="S733" s="83"/>
      <c r="T733" s="83"/>
    </row>
    <row r="734" spans="1:20" s="14" customFormat="1" ht="14.15" customHeight="1">
      <c r="A734" s="404"/>
      <c r="B734" s="83"/>
      <c r="C734" s="83"/>
      <c r="D734" s="83"/>
      <c r="E734" s="188"/>
      <c r="F734" s="188"/>
      <c r="G734" s="191"/>
      <c r="H734" s="191"/>
      <c r="J734" s="83"/>
      <c r="K734" s="83"/>
      <c r="L734" s="469"/>
      <c r="M734" s="83"/>
      <c r="N734" s="83"/>
      <c r="O734" s="83"/>
      <c r="P734" s="83"/>
      <c r="Q734" s="83"/>
      <c r="R734" s="83"/>
      <c r="S734" s="83"/>
      <c r="T734" s="83"/>
    </row>
    <row r="735" spans="1:20" s="14" customFormat="1" ht="14.15" customHeight="1">
      <c r="A735" s="404"/>
      <c r="B735" s="83"/>
      <c r="C735" s="83"/>
      <c r="D735" s="83"/>
      <c r="E735" s="188"/>
      <c r="F735" s="188"/>
      <c r="G735" s="191"/>
      <c r="H735" s="191"/>
      <c r="J735" s="83"/>
      <c r="K735" s="83"/>
      <c r="L735" s="469"/>
      <c r="M735" s="83"/>
      <c r="N735" s="83"/>
      <c r="O735" s="83"/>
      <c r="P735" s="83"/>
      <c r="Q735" s="83"/>
      <c r="R735" s="83"/>
      <c r="S735" s="83"/>
      <c r="T735" s="83"/>
    </row>
    <row r="736" spans="1:20" s="14" customFormat="1" ht="14.15" customHeight="1">
      <c r="A736" s="404"/>
      <c r="B736" s="83"/>
      <c r="C736" s="83"/>
      <c r="D736" s="83"/>
      <c r="E736" s="188"/>
      <c r="F736" s="188"/>
      <c r="G736" s="191"/>
      <c r="H736" s="191"/>
      <c r="J736" s="83"/>
      <c r="K736" s="83"/>
      <c r="L736" s="469"/>
      <c r="M736" s="83"/>
      <c r="N736" s="83"/>
      <c r="O736" s="83"/>
      <c r="P736" s="83"/>
      <c r="Q736" s="83"/>
      <c r="R736" s="83"/>
      <c r="S736" s="83"/>
      <c r="T736" s="83"/>
    </row>
    <row r="737" spans="1:20" s="14" customFormat="1" ht="14.15" customHeight="1">
      <c r="A737" s="404"/>
      <c r="B737" s="83"/>
      <c r="C737" s="83"/>
      <c r="D737" s="83"/>
      <c r="E737" s="188"/>
      <c r="F737" s="188"/>
      <c r="G737" s="191"/>
      <c r="H737" s="191"/>
      <c r="J737" s="83"/>
      <c r="K737" s="83"/>
      <c r="L737" s="469"/>
      <c r="M737" s="83"/>
      <c r="N737" s="83"/>
      <c r="O737" s="83"/>
      <c r="P737" s="83"/>
      <c r="Q737" s="83"/>
      <c r="R737" s="83"/>
      <c r="S737" s="83"/>
      <c r="T737" s="83"/>
    </row>
    <row r="738" spans="1:20" s="14" customFormat="1" ht="14.15" customHeight="1">
      <c r="A738" s="404"/>
      <c r="B738" s="83"/>
      <c r="C738" s="83"/>
      <c r="D738" s="83"/>
      <c r="E738" s="188"/>
      <c r="F738" s="188"/>
      <c r="G738" s="191"/>
      <c r="H738" s="191"/>
      <c r="J738" s="83"/>
      <c r="K738" s="83"/>
      <c r="L738" s="469"/>
      <c r="M738" s="83"/>
      <c r="N738" s="83"/>
      <c r="O738" s="83"/>
      <c r="P738" s="83"/>
      <c r="Q738" s="83"/>
      <c r="R738" s="83"/>
      <c r="S738" s="83"/>
      <c r="T738" s="83"/>
    </row>
    <row r="739" spans="1:20" s="14" customFormat="1" ht="14.15" customHeight="1">
      <c r="A739" s="404"/>
      <c r="B739" s="83"/>
      <c r="C739" s="83"/>
      <c r="D739" s="83"/>
      <c r="E739" s="188"/>
      <c r="F739" s="188"/>
      <c r="G739" s="191"/>
      <c r="H739" s="191"/>
      <c r="J739" s="83"/>
      <c r="K739" s="83"/>
      <c r="L739" s="469"/>
      <c r="M739" s="83"/>
      <c r="N739" s="83"/>
      <c r="O739" s="83"/>
      <c r="P739" s="83"/>
      <c r="Q739" s="83"/>
      <c r="R739" s="83"/>
      <c r="S739" s="83"/>
      <c r="T739" s="83"/>
    </row>
    <row r="740" spans="1:20" s="14" customFormat="1" ht="14.15" customHeight="1">
      <c r="A740" s="404"/>
      <c r="B740" s="83"/>
      <c r="C740" s="83"/>
      <c r="D740" s="83"/>
      <c r="E740" s="188"/>
      <c r="F740" s="188"/>
      <c r="G740" s="191"/>
      <c r="H740" s="191"/>
      <c r="J740" s="83"/>
      <c r="K740" s="83"/>
      <c r="L740" s="469"/>
      <c r="M740" s="83"/>
      <c r="N740" s="83"/>
      <c r="O740" s="83"/>
      <c r="P740" s="83"/>
      <c r="Q740" s="83"/>
      <c r="R740" s="83"/>
      <c r="S740" s="83"/>
      <c r="T740" s="83"/>
    </row>
    <row r="741" spans="1:20" s="14" customFormat="1" ht="14.15" customHeight="1">
      <c r="A741" s="404"/>
      <c r="B741" s="83"/>
      <c r="C741" s="83"/>
      <c r="D741" s="83"/>
      <c r="E741" s="188"/>
      <c r="F741" s="188"/>
      <c r="G741" s="191"/>
      <c r="H741" s="191"/>
      <c r="J741" s="83"/>
      <c r="K741" s="83"/>
      <c r="L741" s="469"/>
      <c r="M741" s="83"/>
      <c r="N741" s="83"/>
      <c r="O741" s="83"/>
      <c r="P741" s="83"/>
      <c r="Q741" s="83"/>
      <c r="R741" s="83"/>
      <c r="S741" s="83"/>
      <c r="T741" s="83"/>
    </row>
    <row r="742" spans="1:20" s="14" customFormat="1" ht="14.15" customHeight="1">
      <c r="A742" s="404"/>
      <c r="B742" s="83"/>
      <c r="C742" s="83"/>
      <c r="D742" s="83"/>
      <c r="E742" s="188"/>
      <c r="F742" s="188"/>
      <c r="G742" s="191"/>
      <c r="H742" s="191"/>
      <c r="J742" s="83"/>
      <c r="K742" s="83"/>
      <c r="L742" s="469"/>
      <c r="M742" s="83"/>
      <c r="N742" s="83"/>
      <c r="O742" s="83"/>
      <c r="P742" s="83"/>
      <c r="Q742" s="83"/>
      <c r="R742" s="83"/>
      <c r="S742" s="83"/>
      <c r="T742" s="83"/>
    </row>
    <row r="743" spans="1:20" s="14" customFormat="1" ht="14.15" customHeight="1">
      <c r="A743" s="404"/>
      <c r="B743" s="83"/>
      <c r="C743" s="83"/>
      <c r="D743" s="83"/>
      <c r="E743" s="188"/>
      <c r="F743" s="188"/>
      <c r="G743" s="191"/>
      <c r="H743" s="191"/>
      <c r="J743" s="83"/>
      <c r="K743" s="83"/>
      <c r="L743" s="469"/>
      <c r="M743" s="83"/>
      <c r="N743" s="83"/>
      <c r="O743" s="83"/>
      <c r="P743" s="83"/>
      <c r="Q743" s="83"/>
      <c r="R743" s="83"/>
      <c r="S743" s="83"/>
      <c r="T743" s="83"/>
    </row>
    <row r="744" spans="1:20" s="14" customFormat="1" ht="14.15" customHeight="1">
      <c r="A744" s="404"/>
      <c r="B744" s="83"/>
      <c r="C744" s="83"/>
      <c r="D744" s="83"/>
      <c r="E744" s="188"/>
      <c r="F744" s="188"/>
      <c r="G744" s="191"/>
      <c r="H744" s="191"/>
      <c r="J744" s="83"/>
      <c r="K744" s="83"/>
      <c r="L744" s="469"/>
      <c r="M744" s="83"/>
      <c r="N744" s="83"/>
      <c r="O744" s="83"/>
      <c r="P744" s="83"/>
      <c r="Q744" s="83"/>
      <c r="R744" s="83"/>
      <c r="S744" s="83"/>
      <c r="T744" s="83"/>
    </row>
    <row r="745" spans="1:20" s="14" customFormat="1" ht="14.15" customHeight="1">
      <c r="A745" s="404"/>
      <c r="B745" s="83"/>
      <c r="C745" s="83"/>
      <c r="D745" s="83"/>
      <c r="E745" s="188"/>
      <c r="F745" s="188"/>
      <c r="G745" s="191"/>
      <c r="H745" s="191"/>
      <c r="J745" s="83"/>
      <c r="K745" s="83"/>
      <c r="L745" s="469"/>
      <c r="M745" s="83"/>
      <c r="N745" s="83"/>
      <c r="O745" s="83"/>
      <c r="P745" s="83"/>
      <c r="Q745" s="83"/>
      <c r="R745" s="83"/>
      <c r="S745" s="83"/>
      <c r="T745" s="83"/>
    </row>
    <row r="746" spans="1:20" s="14" customFormat="1" ht="14.15" customHeight="1">
      <c r="A746" s="404"/>
      <c r="B746" s="83"/>
      <c r="C746" s="83"/>
      <c r="D746" s="83"/>
      <c r="E746" s="188"/>
      <c r="F746" s="188"/>
      <c r="G746" s="191"/>
      <c r="H746" s="191"/>
      <c r="J746" s="83"/>
      <c r="K746" s="83"/>
      <c r="L746" s="469"/>
      <c r="M746" s="83"/>
      <c r="N746" s="83"/>
      <c r="O746" s="83"/>
      <c r="P746" s="83"/>
      <c r="Q746" s="83"/>
      <c r="R746" s="83"/>
      <c r="S746" s="83"/>
      <c r="T746" s="83"/>
    </row>
    <row r="747" spans="1:20" s="14" customFormat="1" ht="14.15" customHeight="1">
      <c r="A747" s="404"/>
      <c r="B747" s="83"/>
      <c r="C747" s="83"/>
      <c r="D747" s="83"/>
      <c r="E747" s="188"/>
      <c r="F747" s="188"/>
      <c r="G747" s="191"/>
      <c r="H747" s="191"/>
      <c r="J747" s="83"/>
      <c r="K747" s="83"/>
      <c r="L747" s="469"/>
      <c r="M747" s="83"/>
      <c r="N747" s="83"/>
      <c r="O747" s="83"/>
      <c r="P747" s="83"/>
      <c r="Q747" s="83"/>
      <c r="R747" s="83"/>
      <c r="S747" s="83"/>
      <c r="T747" s="83"/>
    </row>
    <row r="748" spans="1:20" s="14" customFormat="1" ht="14.15" customHeight="1">
      <c r="A748" s="404"/>
      <c r="B748" s="83"/>
      <c r="C748" s="83"/>
      <c r="D748" s="83"/>
      <c r="E748" s="188"/>
      <c r="F748" s="188"/>
      <c r="G748" s="191"/>
      <c r="H748" s="191"/>
      <c r="J748" s="83"/>
      <c r="K748" s="83"/>
      <c r="L748" s="469"/>
      <c r="M748" s="83"/>
      <c r="N748" s="83"/>
      <c r="O748" s="83"/>
      <c r="P748" s="83"/>
      <c r="Q748" s="83"/>
      <c r="R748" s="83"/>
      <c r="S748" s="83"/>
      <c r="T748" s="83"/>
    </row>
    <row r="749" spans="1:20" s="14" customFormat="1" ht="14.15" customHeight="1">
      <c r="A749" s="404"/>
      <c r="B749" s="83"/>
      <c r="C749" s="83"/>
      <c r="D749" s="83"/>
      <c r="E749" s="188"/>
      <c r="F749" s="188"/>
      <c r="G749" s="191"/>
      <c r="H749" s="191"/>
      <c r="J749" s="83"/>
      <c r="K749" s="83"/>
      <c r="L749" s="469"/>
      <c r="M749" s="83"/>
      <c r="N749" s="83"/>
      <c r="O749" s="83"/>
      <c r="P749" s="83"/>
      <c r="Q749" s="83"/>
      <c r="R749" s="83"/>
      <c r="S749" s="83"/>
      <c r="T749" s="83"/>
    </row>
    <row r="750" spans="1:20" s="14" customFormat="1" ht="14.15" customHeight="1">
      <c r="A750" s="404"/>
      <c r="B750" s="83"/>
      <c r="C750" s="83"/>
      <c r="D750" s="83"/>
      <c r="E750" s="188"/>
      <c r="F750" s="188"/>
      <c r="G750" s="191"/>
      <c r="H750" s="191"/>
      <c r="J750" s="83"/>
      <c r="K750" s="83"/>
      <c r="L750" s="469"/>
      <c r="M750" s="83"/>
      <c r="N750" s="83"/>
      <c r="O750" s="83"/>
      <c r="P750" s="83"/>
      <c r="Q750" s="83"/>
      <c r="R750" s="83"/>
      <c r="S750" s="83"/>
      <c r="T750" s="83"/>
    </row>
    <row r="751" spans="1:20" s="14" customFormat="1" ht="14.15" customHeight="1">
      <c r="A751" s="404"/>
      <c r="B751" s="83"/>
      <c r="C751" s="83"/>
      <c r="D751" s="83"/>
      <c r="E751" s="188"/>
      <c r="F751" s="188"/>
      <c r="G751" s="191"/>
      <c r="H751" s="191"/>
      <c r="J751" s="83"/>
      <c r="K751" s="83"/>
      <c r="L751" s="469"/>
      <c r="M751" s="83"/>
      <c r="N751" s="83"/>
      <c r="O751" s="83"/>
      <c r="P751" s="83"/>
      <c r="Q751" s="83"/>
      <c r="R751" s="83"/>
      <c r="S751" s="83"/>
      <c r="T751" s="83"/>
    </row>
    <row r="752" spans="1:20" s="14" customFormat="1" ht="14.15" customHeight="1">
      <c r="A752" s="404"/>
      <c r="B752" s="83"/>
      <c r="C752" s="83"/>
      <c r="D752" s="83"/>
      <c r="E752" s="188"/>
      <c r="F752" s="188"/>
      <c r="G752" s="191"/>
      <c r="H752" s="188"/>
      <c r="J752" s="83"/>
      <c r="K752" s="83"/>
      <c r="L752" s="469"/>
      <c r="M752" s="83"/>
      <c r="N752" s="83"/>
      <c r="O752" s="83"/>
      <c r="P752" s="83"/>
      <c r="Q752" s="83"/>
      <c r="R752" s="83"/>
      <c r="S752" s="83"/>
      <c r="T752" s="83"/>
    </row>
    <row r="753" spans="1:20" s="14" customFormat="1" ht="14.15" customHeight="1">
      <c r="A753" s="404"/>
      <c r="B753" s="83"/>
      <c r="C753" s="83"/>
      <c r="D753" s="83"/>
      <c r="E753" s="188"/>
      <c r="F753" s="188"/>
      <c r="G753" s="191"/>
      <c r="H753" s="188"/>
      <c r="J753" s="83"/>
      <c r="K753" s="83"/>
      <c r="L753" s="469"/>
      <c r="M753" s="83"/>
      <c r="N753" s="83"/>
      <c r="O753" s="83"/>
      <c r="P753" s="83"/>
      <c r="Q753" s="83"/>
      <c r="R753" s="83"/>
      <c r="S753" s="83"/>
      <c r="T753" s="83"/>
    </row>
    <row r="754" spans="1:20" s="14" customFormat="1" ht="14.15" customHeight="1">
      <c r="A754" s="404"/>
      <c r="B754" s="83"/>
      <c r="C754" s="83"/>
      <c r="D754" s="83"/>
      <c r="E754" s="188"/>
      <c r="F754" s="188"/>
      <c r="G754" s="191"/>
      <c r="H754" s="188"/>
      <c r="J754" s="83"/>
      <c r="K754" s="83"/>
      <c r="L754" s="469"/>
      <c r="M754" s="83"/>
      <c r="N754" s="83"/>
      <c r="O754" s="83"/>
      <c r="P754" s="83"/>
      <c r="Q754" s="83"/>
      <c r="R754" s="83"/>
      <c r="S754" s="83"/>
      <c r="T754" s="83"/>
    </row>
    <row r="755" spans="1:20" s="14" customFormat="1" ht="14.15" customHeight="1">
      <c r="A755" s="404"/>
      <c r="B755" s="83"/>
      <c r="C755" s="83"/>
      <c r="D755" s="83"/>
      <c r="E755" s="188"/>
      <c r="F755" s="188"/>
      <c r="G755" s="191"/>
      <c r="H755" s="188"/>
      <c r="J755" s="83"/>
      <c r="K755" s="83"/>
      <c r="L755" s="469"/>
      <c r="M755" s="83"/>
      <c r="N755" s="83"/>
      <c r="O755" s="83"/>
      <c r="P755" s="83"/>
      <c r="Q755" s="83"/>
      <c r="R755" s="83"/>
      <c r="S755" s="83"/>
      <c r="T755" s="83"/>
    </row>
    <row r="756" spans="1:20" s="14" customFormat="1" ht="14.15" customHeight="1">
      <c r="A756" s="404"/>
      <c r="B756" s="83"/>
      <c r="C756" s="83"/>
      <c r="D756" s="83"/>
      <c r="E756" s="188"/>
      <c r="F756" s="188"/>
      <c r="G756" s="191"/>
      <c r="H756" s="188"/>
      <c r="J756" s="83"/>
      <c r="K756" s="83"/>
      <c r="L756" s="469"/>
      <c r="M756" s="83"/>
      <c r="N756" s="83"/>
      <c r="O756" s="83"/>
      <c r="P756" s="83"/>
      <c r="Q756" s="83"/>
      <c r="R756" s="83"/>
      <c r="S756" s="83"/>
      <c r="T756" s="83"/>
    </row>
    <row r="757" spans="1:20" s="14" customFormat="1" ht="14.15" customHeight="1">
      <c r="A757" s="404"/>
      <c r="B757" s="83"/>
      <c r="C757" s="83"/>
      <c r="D757" s="83"/>
      <c r="E757" s="188"/>
      <c r="F757" s="188"/>
      <c r="G757" s="191"/>
      <c r="H757" s="188"/>
      <c r="J757" s="83"/>
      <c r="K757" s="83"/>
      <c r="L757" s="469"/>
      <c r="M757" s="83"/>
      <c r="N757" s="83"/>
      <c r="O757" s="83"/>
      <c r="P757" s="83"/>
      <c r="Q757" s="83"/>
      <c r="R757" s="83"/>
      <c r="S757" s="83"/>
      <c r="T757" s="83"/>
    </row>
    <row r="758" spans="1:20" s="14" customFormat="1" ht="14.15" customHeight="1">
      <c r="A758" s="404"/>
      <c r="B758" s="83"/>
      <c r="C758" s="83"/>
      <c r="D758" s="83"/>
      <c r="E758" s="188"/>
      <c r="F758" s="188"/>
      <c r="G758" s="191"/>
      <c r="H758" s="188"/>
      <c r="J758" s="83"/>
      <c r="K758" s="83"/>
      <c r="L758" s="469"/>
      <c r="M758" s="83"/>
      <c r="N758" s="83"/>
      <c r="O758" s="83"/>
      <c r="P758" s="83"/>
      <c r="Q758" s="83"/>
      <c r="R758" s="83"/>
      <c r="S758" s="83"/>
      <c r="T758" s="83"/>
    </row>
    <row r="759" spans="1:20" s="14" customFormat="1" ht="14.15" customHeight="1">
      <c r="A759" s="404"/>
      <c r="B759" s="83"/>
      <c r="C759" s="83"/>
      <c r="D759" s="83"/>
      <c r="E759" s="188"/>
      <c r="F759" s="188"/>
      <c r="G759" s="191"/>
      <c r="H759" s="188"/>
      <c r="J759" s="83"/>
      <c r="K759" s="83"/>
      <c r="L759" s="469"/>
      <c r="M759" s="83"/>
      <c r="N759" s="83"/>
      <c r="O759" s="83"/>
      <c r="P759" s="83"/>
      <c r="Q759" s="83"/>
      <c r="R759" s="83"/>
      <c r="S759" s="83"/>
      <c r="T759" s="83"/>
    </row>
    <row r="760" spans="1:20" s="14" customFormat="1" ht="14.15" customHeight="1">
      <c r="A760" s="404"/>
      <c r="B760" s="83"/>
      <c r="C760" s="83"/>
      <c r="D760" s="83"/>
      <c r="E760" s="188"/>
      <c r="F760" s="188"/>
      <c r="G760" s="191"/>
      <c r="H760" s="188"/>
      <c r="J760" s="83"/>
      <c r="K760" s="83"/>
      <c r="L760" s="469"/>
      <c r="M760" s="83"/>
      <c r="N760" s="83"/>
      <c r="O760" s="83"/>
      <c r="P760" s="83"/>
      <c r="Q760" s="83"/>
      <c r="R760" s="83"/>
      <c r="S760" s="83"/>
      <c r="T760" s="83"/>
    </row>
    <row r="761" spans="1:20" s="14" customFormat="1" ht="14.15" customHeight="1">
      <c r="A761" s="404"/>
      <c r="B761" s="83"/>
      <c r="C761" s="83"/>
      <c r="D761" s="83"/>
      <c r="E761" s="188"/>
      <c r="F761" s="188"/>
      <c r="G761" s="191"/>
      <c r="H761" s="188"/>
      <c r="J761" s="83"/>
      <c r="K761" s="83"/>
      <c r="L761" s="469"/>
      <c r="M761" s="83"/>
      <c r="N761" s="83"/>
      <c r="O761" s="83"/>
      <c r="P761" s="83"/>
      <c r="Q761" s="83"/>
      <c r="R761" s="83"/>
      <c r="S761" s="83"/>
      <c r="T761" s="83"/>
    </row>
    <row r="762" spans="1:20" s="14" customFormat="1" ht="14.15" customHeight="1">
      <c r="A762" s="404"/>
      <c r="B762" s="83"/>
      <c r="C762" s="83"/>
      <c r="D762" s="83"/>
      <c r="E762" s="188"/>
      <c r="F762" s="188"/>
      <c r="G762" s="191"/>
      <c r="H762" s="188"/>
      <c r="J762" s="83"/>
      <c r="K762" s="83"/>
      <c r="L762" s="469"/>
      <c r="M762" s="83"/>
      <c r="N762" s="83"/>
      <c r="O762" s="83"/>
      <c r="P762" s="83"/>
      <c r="Q762" s="83"/>
      <c r="R762" s="83"/>
      <c r="S762" s="83"/>
      <c r="T762" s="83"/>
    </row>
    <row r="763" spans="1:20" s="14" customFormat="1" ht="14.15" customHeight="1">
      <c r="A763" s="404"/>
      <c r="B763" s="83"/>
      <c r="C763" s="83"/>
      <c r="D763" s="83"/>
      <c r="E763" s="188"/>
      <c r="F763" s="188"/>
      <c r="G763" s="191"/>
      <c r="H763" s="188"/>
      <c r="J763" s="83"/>
      <c r="K763" s="83"/>
      <c r="L763" s="469"/>
      <c r="M763" s="83"/>
      <c r="N763" s="83"/>
      <c r="O763" s="83"/>
      <c r="P763" s="83"/>
      <c r="Q763" s="83"/>
      <c r="R763" s="83"/>
      <c r="S763" s="83"/>
      <c r="T763" s="83"/>
    </row>
    <row r="764" spans="1:20" s="14" customFormat="1" ht="14.15" customHeight="1">
      <c r="A764" s="404"/>
      <c r="B764" s="83"/>
      <c r="C764" s="83"/>
      <c r="D764" s="83"/>
      <c r="E764" s="188"/>
      <c r="F764" s="188"/>
      <c r="G764" s="191"/>
      <c r="H764" s="188"/>
      <c r="J764" s="83"/>
      <c r="K764" s="83"/>
      <c r="L764" s="469"/>
      <c r="M764" s="83"/>
      <c r="N764" s="83"/>
      <c r="O764" s="83"/>
      <c r="P764" s="83"/>
      <c r="Q764" s="83"/>
      <c r="R764" s="83"/>
      <c r="S764" s="83"/>
      <c r="T764" s="83"/>
    </row>
    <row r="765" spans="1:20" s="14" customFormat="1" ht="14.15" customHeight="1">
      <c r="A765" s="404"/>
      <c r="B765" s="83"/>
      <c r="C765" s="83"/>
      <c r="D765" s="83"/>
      <c r="E765" s="188"/>
      <c r="F765" s="188"/>
      <c r="G765" s="191"/>
      <c r="H765" s="188"/>
      <c r="J765" s="83"/>
      <c r="K765" s="83"/>
      <c r="L765" s="469"/>
      <c r="M765" s="83"/>
      <c r="N765" s="83"/>
      <c r="O765" s="83"/>
      <c r="P765" s="83"/>
      <c r="Q765" s="83"/>
      <c r="R765" s="83"/>
      <c r="S765" s="83"/>
      <c r="T765" s="83"/>
    </row>
    <row r="766" spans="1:20" s="14" customFormat="1" ht="14.15" customHeight="1">
      <c r="A766" s="404"/>
      <c r="B766" s="83"/>
      <c r="C766" s="83"/>
      <c r="D766" s="83"/>
      <c r="E766" s="188"/>
      <c r="F766" s="188"/>
      <c r="G766" s="191"/>
      <c r="H766" s="188"/>
      <c r="J766" s="83"/>
      <c r="K766" s="83"/>
      <c r="L766" s="469"/>
      <c r="M766" s="83"/>
      <c r="N766" s="83"/>
      <c r="O766" s="83"/>
      <c r="P766" s="83"/>
      <c r="Q766" s="83"/>
      <c r="R766" s="83"/>
      <c r="S766" s="83"/>
      <c r="T766" s="83"/>
    </row>
    <row r="767" spans="1:20" s="14" customFormat="1" ht="14.15" customHeight="1">
      <c r="A767" s="404"/>
      <c r="B767" s="83"/>
      <c r="C767" s="83"/>
      <c r="D767" s="83"/>
      <c r="E767" s="188"/>
      <c r="F767" s="188"/>
      <c r="G767" s="191"/>
      <c r="H767" s="188"/>
      <c r="J767" s="83"/>
      <c r="K767" s="83"/>
      <c r="L767" s="469"/>
      <c r="M767" s="83"/>
      <c r="N767" s="83"/>
      <c r="O767" s="83"/>
      <c r="P767" s="83"/>
      <c r="Q767" s="83"/>
      <c r="R767" s="83"/>
      <c r="S767" s="83"/>
      <c r="T767" s="83"/>
    </row>
    <row r="768" spans="1:20" s="14" customFormat="1" ht="14.15" customHeight="1">
      <c r="A768" s="404"/>
      <c r="B768" s="83"/>
      <c r="C768" s="83"/>
      <c r="D768" s="83"/>
      <c r="E768" s="188"/>
      <c r="F768" s="188"/>
      <c r="G768" s="191"/>
      <c r="H768" s="188"/>
      <c r="J768" s="83"/>
      <c r="K768" s="83"/>
      <c r="L768" s="469"/>
      <c r="M768" s="83"/>
      <c r="N768" s="83"/>
      <c r="O768" s="83"/>
      <c r="P768" s="83"/>
      <c r="Q768" s="83"/>
      <c r="R768" s="83"/>
      <c r="S768" s="83"/>
      <c r="T768" s="83"/>
    </row>
    <row r="769" spans="1:20" s="14" customFormat="1" ht="14.15" customHeight="1">
      <c r="A769" s="404"/>
      <c r="B769" s="83"/>
      <c r="C769" s="83"/>
      <c r="D769" s="83"/>
      <c r="E769" s="188"/>
      <c r="F769" s="188"/>
      <c r="G769" s="191"/>
      <c r="H769" s="188"/>
      <c r="J769" s="83"/>
      <c r="K769" s="83"/>
      <c r="L769" s="469"/>
      <c r="M769" s="83"/>
      <c r="N769" s="83"/>
      <c r="O769" s="83"/>
      <c r="P769" s="83"/>
      <c r="Q769" s="83"/>
      <c r="R769" s="83"/>
      <c r="S769" s="83"/>
      <c r="T769" s="83"/>
    </row>
    <row r="770" spans="1:20" s="14" customFormat="1" ht="14.15" customHeight="1">
      <c r="A770" s="404"/>
      <c r="B770" s="83"/>
      <c r="C770" s="83"/>
      <c r="D770" s="83"/>
      <c r="E770" s="188"/>
      <c r="F770" s="188"/>
      <c r="G770" s="191"/>
      <c r="H770" s="188"/>
      <c r="J770" s="83"/>
      <c r="K770" s="83"/>
      <c r="L770" s="469"/>
      <c r="M770" s="83"/>
      <c r="N770" s="83"/>
      <c r="O770" s="83"/>
      <c r="P770" s="83"/>
      <c r="Q770" s="83"/>
      <c r="R770" s="83"/>
      <c r="S770" s="83"/>
      <c r="T770" s="83"/>
    </row>
    <row r="771" spans="1:20" s="14" customFormat="1" ht="14.15" customHeight="1">
      <c r="A771" s="404"/>
      <c r="B771" s="83"/>
      <c r="C771" s="83"/>
      <c r="D771" s="83"/>
      <c r="E771" s="188"/>
      <c r="F771" s="188"/>
      <c r="G771" s="191"/>
      <c r="H771" s="188"/>
      <c r="J771" s="83"/>
      <c r="K771" s="83"/>
      <c r="L771" s="469"/>
      <c r="M771" s="83"/>
      <c r="N771" s="83"/>
      <c r="O771" s="83"/>
      <c r="P771" s="83"/>
      <c r="Q771" s="83"/>
      <c r="R771" s="83"/>
      <c r="S771" s="83"/>
      <c r="T771" s="83"/>
    </row>
    <row r="772" spans="1:20" s="14" customFormat="1" ht="14.15" customHeight="1">
      <c r="A772" s="404"/>
      <c r="B772" s="83"/>
      <c r="C772" s="83"/>
      <c r="D772" s="83"/>
      <c r="E772" s="188"/>
      <c r="F772" s="188"/>
      <c r="G772" s="191"/>
      <c r="H772" s="188"/>
      <c r="J772" s="83"/>
      <c r="K772" s="83"/>
      <c r="L772" s="469"/>
      <c r="M772" s="83"/>
      <c r="N772" s="83"/>
      <c r="O772" s="83"/>
      <c r="P772" s="83"/>
      <c r="Q772" s="83"/>
      <c r="R772" s="83"/>
      <c r="S772" s="83"/>
      <c r="T772" s="83"/>
    </row>
    <row r="773" spans="1:20" s="14" customFormat="1" ht="14.15" customHeight="1">
      <c r="A773" s="404"/>
      <c r="B773" s="83"/>
      <c r="C773" s="83"/>
      <c r="D773" s="83"/>
      <c r="E773" s="188"/>
      <c r="F773" s="188"/>
      <c r="G773" s="191"/>
      <c r="H773" s="188"/>
      <c r="J773" s="83"/>
      <c r="K773" s="83"/>
      <c r="L773" s="469"/>
      <c r="M773" s="83"/>
      <c r="N773" s="83"/>
      <c r="O773" s="83"/>
      <c r="P773" s="83"/>
      <c r="Q773" s="83"/>
      <c r="R773" s="83"/>
      <c r="S773" s="83"/>
      <c r="T773" s="83"/>
    </row>
    <row r="774" spans="1:20" s="14" customFormat="1" ht="14.15" customHeight="1">
      <c r="A774" s="404"/>
      <c r="B774" s="83"/>
      <c r="C774" s="83"/>
      <c r="D774" s="83"/>
      <c r="E774" s="188"/>
      <c r="F774" s="188"/>
      <c r="G774" s="191"/>
      <c r="H774" s="188"/>
      <c r="J774" s="83"/>
      <c r="K774" s="83"/>
      <c r="L774" s="469"/>
      <c r="M774" s="83"/>
      <c r="N774" s="83"/>
      <c r="O774" s="83"/>
      <c r="P774" s="83"/>
      <c r="Q774" s="83"/>
      <c r="R774" s="83"/>
      <c r="S774" s="83"/>
      <c r="T774" s="83"/>
    </row>
    <row r="775" spans="1:20" s="14" customFormat="1" ht="14.15" customHeight="1">
      <c r="A775" s="404"/>
      <c r="B775" s="83"/>
      <c r="C775" s="83"/>
      <c r="D775" s="83"/>
      <c r="E775" s="188"/>
      <c r="F775" s="188"/>
      <c r="G775" s="191"/>
      <c r="H775" s="188"/>
      <c r="J775" s="83"/>
      <c r="K775" s="83"/>
      <c r="L775" s="469"/>
      <c r="M775" s="83"/>
      <c r="N775" s="83"/>
      <c r="O775" s="83"/>
      <c r="P775" s="83"/>
      <c r="Q775" s="83"/>
      <c r="R775" s="83"/>
      <c r="S775" s="83"/>
      <c r="T775" s="83"/>
    </row>
    <row r="776" spans="1:20" s="14" customFormat="1" ht="14.15" customHeight="1">
      <c r="A776" s="404"/>
      <c r="B776" s="83"/>
      <c r="C776" s="83"/>
      <c r="D776" s="83"/>
      <c r="E776" s="188"/>
      <c r="F776" s="188"/>
      <c r="G776" s="191"/>
      <c r="H776" s="188"/>
      <c r="J776" s="83"/>
      <c r="K776" s="83"/>
      <c r="L776" s="469"/>
      <c r="M776" s="83"/>
      <c r="N776" s="83"/>
      <c r="O776" s="83"/>
      <c r="P776" s="83"/>
      <c r="Q776" s="83"/>
      <c r="R776" s="83"/>
      <c r="S776" s="83"/>
      <c r="T776" s="83"/>
    </row>
    <row r="777" spans="1:20" s="14" customFormat="1" ht="14.15" customHeight="1">
      <c r="A777" s="404"/>
      <c r="B777" s="83"/>
      <c r="C777" s="83"/>
      <c r="D777" s="83"/>
      <c r="E777" s="188"/>
      <c r="F777" s="188"/>
      <c r="G777" s="191"/>
      <c r="H777" s="188"/>
      <c r="J777" s="83"/>
      <c r="K777" s="83"/>
      <c r="L777" s="469"/>
      <c r="M777" s="83"/>
      <c r="N777" s="83"/>
      <c r="O777" s="83"/>
      <c r="P777" s="83"/>
      <c r="Q777" s="83"/>
      <c r="R777" s="83"/>
      <c r="S777" s="83"/>
      <c r="T777" s="83"/>
    </row>
    <row r="778" spans="1:20" s="14" customFormat="1" ht="14.15" customHeight="1">
      <c r="A778" s="404"/>
      <c r="B778" s="83"/>
      <c r="C778" s="83"/>
      <c r="D778" s="83"/>
      <c r="E778" s="188"/>
      <c r="F778" s="188"/>
      <c r="G778" s="191"/>
      <c r="H778" s="188"/>
      <c r="J778" s="83"/>
      <c r="K778" s="83"/>
      <c r="L778" s="469"/>
      <c r="M778" s="83"/>
      <c r="N778" s="83"/>
      <c r="O778" s="83"/>
      <c r="P778" s="83"/>
      <c r="Q778" s="83"/>
      <c r="R778" s="83"/>
      <c r="S778" s="83"/>
      <c r="T778" s="83"/>
    </row>
    <row r="779" spans="1:20" s="14" customFormat="1" ht="14.15" customHeight="1">
      <c r="A779" s="404"/>
      <c r="B779" s="83"/>
      <c r="C779" s="83"/>
      <c r="D779" s="83"/>
      <c r="E779" s="188"/>
      <c r="F779" s="188"/>
      <c r="G779" s="191"/>
      <c r="H779" s="188"/>
      <c r="J779" s="83"/>
      <c r="K779" s="83"/>
      <c r="L779" s="469"/>
      <c r="M779" s="83"/>
      <c r="N779" s="83"/>
      <c r="O779" s="83"/>
      <c r="P779" s="83"/>
      <c r="Q779" s="83"/>
      <c r="R779" s="83"/>
      <c r="S779" s="83"/>
      <c r="T779" s="83"/>
    </row>
    <row r="780" spans="1:20" s="14" customFormat="1" ht="14.15" customHeight="1">
      <c r="A780" s="404"/>
      <c r="B780" s="83"/>
      <c r="C780" s="83"/>
      <c r="D780" s="83"/>
      <c r="E780" s="188"/>
      <c r="F780" s="188"/>
      <c r="G780" s="191"/>
      <c r="H780" s="188"/>
      <c r="J780" s="83"/>
      <c r="K780" s="83"/>
      <c r="L780" s="469"/>
      <c r="M780" s="83"/>
      <c r="N780" s="83"/>
      <c r="O780" s="83"/>
      <c r="P780" s="83"/>
      <c r="Q780" s="83"/>
      <c r="R780" s="83"/>
      <c r="S780" s="83"/>
      <c r="T780" s="83"/>
    </row>
    <row r="781" spans="1:20" s="14" customFormat="1" ht="14.15" customHeight="1">
      <c r="A781" s="404"/>
      <c r="B781" s="83"/>
      <c r="C781" s="83"/>
      <c r="D781" s="83"/>
      <c r="E781" s="188"/>
      <c r="F781" s="188"/>
      <c r="G781" s="191"/>
      <c r="H781" s="188"/>
      <c r="J781" s="83"/>
      <c r="K781" s="83"/>
      <c r="L781" s="469"/>
      <c r="M781" s="83"/>
      <c r="N781" s="83"/>
      <c r="O781" s="83"/>
      <c r="P781" s="83"/>
      <c r="Q781" s="83"/>
      <c r="R781" s="83"/>
      <c r="S781" s="83"/>
      <c r="T781" s="83"/>
    </row>
    <row r="782" spans="1:20" s="14" customFormat="1" ht="14.15" customHeight="1">
      <c r="A782" s="404"/>
      <c r="B782" s="83"/>
      <c r="C782" s="83"/>
      <c r="D782" s="83"/>
      <c r="E782" s="188"/>
      <c r="F782" s="188"/>
      <c r="G782" s="188"/>
      <c r="H782" s="188"/>
      <c r="J782" s="83"/>
      <c r="K782" s="83"/>
      <c r="L782" s="469"/>
      <c r="M782" s="83"/>
      <c r="N782" s="83"/>
      <c r="O782" s="83"/>
      <c r="P782" s="83"/>
      <c r="Q782" s="83"/>
      <c r="R782" s="83"/>
      <c r="S782" s="83"/>
      <c r="T782" s="83"/>
    </row>
    <row r="783" spans="1:20" s="14" customFormat="1" ht="14.15" customHeight="1">
      <c r="A783" s="404"/>
      <c r="B783" s="83"/>
      <c r="C783" s="83"/>
      <c r="D783" s="83"/>
      <c r="E783" s="188"/>
      <c r="F783" s="188"/>
      <c r="G783" s="188"/>
      <c r="H783" s="188"/>
      <c r="J783" s="83"/>
      <c r="K783" s="83"/>
      <c r="L783" s="469"/>
      <c r="M783" s="83"/>
      <c r="N783" s="83"/>
      <c r="O783" s="83"/>
      <c r="P783" s="83"/>
      <c r="Q783" s="83"/>
      <c r="R783" s="83"/>
      <c r="S783" s="83"/>
      <c r="T783" s="83"/>
    </row>
    <row r="784" spans="1:20" s="14" customFormat="1" ht="14.15" customHeight="1">
      <c r="A784" s="404"/>
      <c r="B784" s="83"/>
      <c r="C784" s="83"/>
      <c r="D784" s="83"/>
      <c r="E784" s="188"/>
      <c r="F784" s="188"/>
      <c r="G784" s="188"/>
      <c r="H784" s="188"/>
      <c r="J784" s="83"/>
      <c r="K784" s="83"/>
      <c r="L784" s="469"/>
      <c r="M784" s="83"/>
      <c r="N784" s="83"/>
      <c r="O784" s="83"/>
      <c r="P784" s="83"/>
      <c r="Q784" s="83"/>
      <c r="R784" s="83"/>
      <c r="S784" s="83"/>
      <c r="T784" s="83"/>
    </row>
    <row r="785" spans="1:20" s="14" customFormat="1" ht="14.15" customHeight="1">
      <c r="A785" s="404"/>
      <c r="B785" s="83"/>
      <c r="C785" s="83"/>
      <c r="D785" s="83"/>
      <c r="E785" s="188"/>
      <c r="F785" s="188"/>
      <c r="G785" s="188"/>
      <c r="H785" s="188"/>
      <c r="J785" s="83"/>
      <c r="K785" s="83"/>
      <c r="L785" s="469"/>
      <c r="M785" s="83"/>
      <c r="N785" s="83"/>
      <c r="O785" s="83"/>
      <c r="P785" s="83"/>
      <c r="Q785" s="83"/>
      <c r="R785" s="83"/>
      <c r="S785" s="83"/>
      <c r="T785" s="83"/>
    </row>
    <row r="786" spans="1:20" s="14" customFormat="1" ht="14.15" customHeight="1">
      <c r="A786" s="404"/>
      <c r="B786" s="83"/>
      <c r="C786" s="83"/>
      <c r="D786" s="83"/>
      <c r="E786" s="188"/>
      <c r="F786" s="188"/>
      <c r="G786" s="188"/>
      <c r="H786" s="188"/>
      <c r="J786" s="83"/>
      <c r="K786" s="83"/>
      <c r="L786" s="469"/>
      <c r="M786" s="83"/>
      <c r="N786" s="83"/>
      <c r="O786" s="83"/>
      <c r="P786" s="83"/>
      <c r="Q786" s="83"/>
      <c r="R786" s="83"/>
      <c r="S786" s="83"/>
      <c r="T786" s="83"/>
    </row>
    <row r="787" spans="1:20" s="14" customFormat="1" ht="14.15" customHeight="1">
      <c r="A787" s="404"/>
      <c r="B787" s="83"/>
      <c r="C787" s="83"/>
      <c r="D787" s="83"/>
      <c r="E787" s="188"/>
      <c r="F787" s="188"/>
      <c r="G787" s="188"/>
      <c r="H787" s="188"/>
      <c r="J787" s="83"/>
      <c r="K787" s="83"/>
      <c r="L787" s="469"/>
      <c r="M787" s="83"/>
      <c r="N787" s="83"/>
      <c r="O787" s="83"/>
      <c r="P787" s="83"/>
      <c r="Q787" s="83"/>
      <c r="R787" s="83"/>
      <c r="S787" s="83"/>
      <c r="T787" s="83"/>
    </row>
    <row r="788" spans="1:20" s="14" customFormat="1" ht="14.15" customHeight="1">
      <c r="A788" s="404"/>
      <c r="B788" s="83"/>
      <c r="C788" s="83"/>
      <c r="D788" s="83"/>
      <c r="E788" s="188"/>
      <c r="F788" s="188"/>
      <c r="G788" s="188"/>
      <c r="H788" s="188"/>
      <c r="J788" s="83"/>
      <c r="K788" s="83"/>
      <c r="L788" s="469"/>
      <c r="M788" s="83"/>
      <c r="N788" s="83"/>
      <c r="O788" s="83"/>
      <c r="P788" s="83"/>
      <c r="Q788" s="83"/>
      <c r="R788" s="83"/>
      <c r="S788" s="83"/>
      <c r="T788" s="83"/>
    </row>
    <row r="789" spans="1:20" s="14" customFormat="1" ht="14.15" customHeight="1">
      <c r="A789" s="404"/>
      <c r="B789" s="83"/>
      <c r="C789" s="83"/>
      <c r="D789" s="83"/>
      <c r="E789" s="188"/>
      <c r="F789" s="188"/>
      <c r="G789" s="188"/>
      <c r="H789" s="188"/>
      <c r="J789" s="83"/>
      <c r="K789" s="83"/>
      <c r="L789" s="469"/>
      <c r="M789" s="83"/>
      <c r="N789" s="83"/>
      <c r="O789" s="83"/>
      <c r="P789" s="83"/>
      <c r="Q789" s="83"/>
      <c r="R789" s="83"/>
      <c r="S789" s="83"/>
      <c r="T789" s="83"/>
    </row>
    <row r="790" spans="1:20" s="14" customFormat="1" ht="14.15" customHeight="1">
      <c r="A790" s="404"/>
      <c r="B790" s="83"/>
      <c r="C790" s="83"/>
      <c r="D790" s="83"/>
      <c r="E790" s="188"/>
      <c r="F790" s="188"/>
      <c r="G790" s="188"/>
      <c r="H790" s="188"/>
      <c r="J790" s="83"/>
      <c r="K790" s="83"/>
      <c r="L790" s="469"/>
      <c r="M790" s="83"/>
      <c r="N790" s="83"/>
      <c r="O790" s="83"/>
      <c r="P790" s="83"/>
      <c r="Q790" s="83"/>
      <c r="R790" s="83"/>
      <c r="S790" s="83"/>
      <c r="T790" s="83"/>
    </row>
    <row r="791" spans="1:20" s="14" customFormat="1" ht="14.15" customHeight="1">
      <c r="A791" s="404"/>
      <c r="B791" s="83"/>
      <c r="C791" s="83"/>
      <c r="D791" s="83"/>
      <c r="E791" s="188"/>
      <c r="F791" s="188"/>
      <c r="G791" s="188"/>
      <c r="H791" s="188"/>
      <c r="J791" s="83"/>
      <c r="K791" s="83"/>
      <c r="L791" s="469"/>
      <c r="M791" s="83"/>
      <c r="N791" s="83"/>
      <c r="O791" s="83"/>
      <c r="P791" s="83"/>
      <c r="Q791" s="83"/>
      <c r="R791" s="83"/>
      <c r="S791" s="83"/>
      <c r="T791" s="83"/>
    </row>
    <row r="792" spans="1:20" s="14" customFormat="1" ht="14.15" customHeight="1">
      <c r="A792" s="404"/>
      <c r="B792" s="83"/>
      <c r="C792" s="83"/>
      <c r="D792" s="83"/>
      <c r="E792" s="188"/>
      <c r="F792" s="188"/>
      <c r="G792" s="188"/>
      <c r="H792" s="188"/>
      <c r="J792" s="83"/>
      <c r="K792" s="83"/>
      <c r="L792" s="469"/>
      <c r="M792" s="83"/>
      <c r="N792" s="83"/>
      <c r="O792" s="83"/>
      <c r="P792" s="83"/>
      <c r="Q792" s="83"/>
      <c r="R792" s="83"/>
      <c r="S792" s="83"/>
      <c r="T792" s="83"/>
    </row>
    <row r="793" spans="1:20" s="14" customFormat="1" ht="14.15" customHeight="1">
      <c r="A793" s="404"/>
      <c r="B793" s="83"/>
      <c r="C793" s="83"/>
      <c r="D793" s="83"/>
      <c r="E793" s="188"/>
      <c r="F793" s="188"/>
      <c r="G793" s="188"/>
      <c r="H793" s="188"/>
      <c r="J793" s="83"/>
      <c r="K793" s="83"/>
      <c r="L793" s="469"/>
      <c r="M793" s="83"/>
      <c r="N793" s="83"/>
      <c r="O793" s="83"/>
      <c r="P793" s="83"/>
      <c r="Q793" s="83"/>
      <c r="R793" s="83"/>
      <c r="S793" s="83"/>
      <c r="T793" s="83"/>
    </row>
    <row r="794" spans="1:20" s="14" customFormat="1" ht="14.15" customHeight="1">
      <c r="A794" s="404"/>
      <c r="B794" s="83"/>
      <c r="C794" s="83"/>
      <c r="D794" s="83"/>
      <c r="E794" s="188"/>
      <c r="F794" s="188"/>
      <c r="G794" s="188"/>
      <c r="H794" s="188"/>
      <c r="J794" s="83"/>
      <c r="K794" s="83"/>
      <c r="L794" s="469"/>
      <c r="M794" s="83"/>
      <c r="N794" s="83"/>
      <c r="O794" s="83"/>
      <c r="P794" s="83"/>
      <c r="Q794" s="83"/>
      <c r="R794" s="83"/>
      <c r="S794" s="83"/>
      <c r="T794" s="83"/>
    </row>
    <row r="795" spans="1:20" s="14" customFormat="1" ht="14.15" customHeight="1">
      <c r="A795" s="404"/>
      <c r="B795" s="83"/>
      <c r="C795" s="83"/>
      <c r="D795" s="83"/>
      <c r="E795" s="188"/>
      <c r="F795" s="188"/>
      <c r="G795" s="188"/>
      <c r="H795" s="188"/>
      <c r="J795" s="83"/>
      <c r="K795" s="83"/>
      <c r="L795" s="469"/>
      <c r="M795" s="83"/>
      <c r="N795" s="83"/>
      <c r="O795" s="83"/>
      <c r="P795" s="83"/>
      <c r="Q795" s="83"/>
      <c r="R795" s="83"/>
      <c r="S795" s="83"/>
      <c r="T795" s="83"/>
    </row>
    <row r="796" spans="1:20" s="14" customFormat="1" ht="14.15" customHeight="1">
      <c r="A796" s="404"/>
      <c r="B796" s="83"/>
      <c r="C796" s="83"/>
      <c r="D796" s="83"/>
      <c r="E796" s="188"/>
      <c r="F796" s="188"/>
      <c r="G796" s="188"/>
      <c r="H796" s="188"/>
      <c r="J796" s="83"/>
      <c r="K796" s="83"/>
      <c r="L796" s="469"/>
      <c r="M796" s="83"/>
      <c r="N796" s="83"/>
      <c r="O796" s="83"/>
      <c r="P796" s="83"/>
      <c r="Q796" s="83"/>
      <c r="R796" s="83"/>
      <c r="S796" s="83"/>
      <c r="T796" s="83"/>
    </row>
    <row r="797" spans="1:20" s="14" customFormat="1" ht="14.15" customHeight="1">
      <c r="A797" s="404"/>
      <c r="B797" s="83"/>
      <c r="C797" s="83"/>
      <c r="D797" s="83"/>
      <c r="E797" s="188"/>
      <c r="F797" s="188"/>
      <c r="G797" s="188"/>
      <c r="H797" s="188"/>
      <c r="J797" s="83"/>
      <c r="K797" s="83"/>
      <c r="L797" s="469"/>
      <c r="M797" s="83"/>
      <c r="N797" s="83"/>
      <c r="O797" s="83"/>
      <c r="P797" s="83"/>
      <c r="Q797" s="83"/>
      <c r="R797" s="83"/>
      <c r="S797" s="83"/>
      <c r="T797" s="83"/>
    </row>
    <row r="798" spans="1:20" s="14" customFormat="1" ht="14.15" customHeight="1">
      <c r="A798" s="404"/>
      <c r="B798" s="83"/>
      <c r="C798" s="83"/>
      <c r="D798" s="83"/>
      <c r="E798" s="188"/>
      <c r="F798" s="188"/>
      <c r="G798" s="188"/>
      <c r="H798" s="188"/>
      <c r="J798" s="83"/>
      <c r="K798" s="83"/>
      <c r="L798" s="469"/>
      <c r="M798" s="83"/>
      <c r="N798" s="83"/>
      <c r="O798" s="83"/>
      <c r="P798" s="83"/>
      <c r="Q798" s="83"/>
      <c r="R798" s="83"/>
      <c r="S798" s="83"/>
      <c r="T798" s="83"/>
    </row>
    <row r="799" spans="1:20" s="14" customFormat="1" ht="14.15" customHeight="1">
      <c r="A799" s="404"/>
      <c r="B799" s="83"/>
      <c r="C799" s="83"/>
      <c r="D799" s="83"/>
      <c r="E799" s="188"/>
      <c r="F799" s="188"/>
      <c r="G799" s="188"/>
      <c r="H799" s="188"/>
      <c r="J799" s="83"/>
      <c r="K799" s="83"/>
      <c r="L799" s="469"/>
      <c r="M799" s="83"/>
      <c r="N799" s="83"/>
      <c r="O799" s="83"/>
      <c r="P799" s="83"/>
      <c r="Q799" s="83"/>
      <c r="R799" s="83"/>
      <c r="S799" s="83"/>
      <c r="T799" s="83"/>
    </row>
    <row r="800" spans="1:20" s="14" customFormat="1" ht="14.15" customHeight="1">
      <c r="A800" s="404"/>
      <c r="B800" s="83"/>
      <c r="C800" s="83"/>
      <c r="D800" s="83"/>
      <c r="E800" s="188"/>
      <c r="F800" s="188"/>
      <c r="G800" s="188"/>
      <c r="H800" s="188"/>
      <c r="J800" s="83"/>
      <c r="K800" s="83"/>
      <c r="L800" s="469"/>
      <c r="M800" s="83"/>
      <c r="N800" s="83"/>
      <c r="O800" s="83"/>
      <c r="P800" s="83"/>
      <c r="Q800" s="83"/>
      <c r="R800" s="83"/>
      <c r="S800" s="83"/>
      <c r="T800" s="83"/>
    </row>
    <row r="801" spans="1:20" s="14" customFormat="1" ht="14.15" customHeight="1">
      <c r="A801" s="404"/>
      <c r="B801" s="83"/>
      <c r="C801" s="83"/>
      <c r="D801" s="83"/>
      <c r="E801" s="188"/>
      <c r="F801" s="188"/>
      <c r="G801" s="188"/>
      <c r="H801" s="188"/>
      <c r="J801" s="83"/>
      <c r="K801" s="83"/>
      <c r="L801" s="469"/>
      <c r="M801" s="83"/>
      <c r="N801" s="83"/>
      <c r="O801" s="83"/>
      <c r="P801" s="83"/>
      <c r="Q801" s="83"/>
      <c r="R801" s="83"/>
      <c r="S801" s="83"/>
      <c r="T801" s="83"/>
    </row>
    <row r="802" spans="1:20" s="14" customFormat="1" ht="14.15" customHeight="1">
      <c r="A802" s="404"/>
      <c r="B802" s="83"/>
      <c r="C802" s="83"/>
      <c r="D802" s="83"/>
      <c r="E802" s="188"/>
      <c r="F802" s="188"/>
      <c r="G802" s="188"/>
      <c r="H802" s="188"/>
      <c r="J802" s="83"/>
      <c r="K802" s="83"/>
      <c r="L802" s="469"/>
      <c r="M802" s="83"/>
      <c r="N802" s="83"/>
      <c r="O802" s="83"/>
      <c r="P802" s="83"/>
      <c r="Q802" s="83"/>
      <c r="R802" s="83"/>
      <c r="S802" s="83"/>
      <c r="T802" s="83"/>
    </row>
    <row r="803" spans="1:20" s="14" customFormat="1" ht="14.15" customHeight="1">
      <c r="A803" s="404"/>
      <c r="B803" s="83"/>
      <c r="C803" s="83"/>
      <c r="D803" s="83"/>
      <c r="E803" s="188"/>
      <c r="F803" s="188"/>
      <c r="G803" s="188"/>
      <c r="H803" s="188"/>
      <c r="J803" s="83"/>
      <c r="K803" s="83"/>
      <c r="L803" s="469"/>
      <c r="M803" s="83"/>
      <c r="N803" s="83"/>
      <c r="O803" s="83"/>
      <c r="P803" s="83"/>
      <c r="Q803" s="83"/>
      <c r="R803" s="83"/>
      <c r="S803" s="83"/>
      <c r="T803" s="83"/>
    </row>
    <row r="804" spans="1:20" s="14" customFormat="1" ht="14.15" customHeight="1">
      <c r="A804" s="404"/>
      <c r="B804" s="83"/>
      <c r="C804" s="83"/>
      <c r="D804" s="83"/>
      <c r="E804" s="188"/>
      <c r="F804" s="188"/>
      <c r="G804" s="188"/>
      <c r="H804" s="188"/>
      <c r="J804" s="83"/>
      <c r="K804" s="83"/>
      <c r="L804" s="469"/>
      <c r="M804" s="83"/>
      <c r="N804" s="83"/>
      <c r="O804" s="83"/>
      <c r="P804" s="83"/>
      <c r="Q804" s="83"/>
      <c r="R804" s="83"/>
      <c r="S804" s="83"/>
      <c r="T804" s="83"/>
    </row>
    <row r="805" spans="1:20" s="14" customFormat="1" ht="14.15" customHeight="1">
      <c r="A805" s="404"/>
      <c r="B805" s="83"/>
      <c r="C805" s="83"/>
      <c r="D805" s="83"/>
      <c r="E805" s="188"/>
      <c r="F805" s="188"/>
      <c r="G805" s="188"/>
      <c r="H805" s="188"/>
      <c r="J805" s="83"/>
      <c r="K805" s="83"/>
      <c r="L805" s="469"/>
      <c r="M805" s="83"/>
      <c r="N805" s="83"/>
      <c r="O805" s="83"/>
      <c r="P805" s="83"/>
      <c r="Q805" s="83"/>
      <c r="R805" s="83"/>
      <c r="S805" s="83"/>
      <c r="T805" s="83"/>
    </row>
    <row r="806" spans="1:20" s="14" customFormat="1" ht="14.15" customHeight="1">
      <c r="A806" s="404"/>
      <c r="B806" s="83"/>
      <c r="C806" s="83"/>
      <c r="D806" s="83"/>
      <c r="E806" s="188"/>
      <c r="F806" s="188"/>
      <c r="G806" s="188"/>
      <c r="H806" s="188"/>
      <c r="J806" s="83"/>
      <c r="K806" s="83"/>
      <c r="L806" s="469"/>
      <c r="M806" s="83"/>
      <c r="N806" s="83"/>
      <c r="O806" s="83"/>
      <c r="P806" s="83"/>
      <c r="Q806" s="83"/>
      <c r="R806" s="83"/>
      <c r="S806" s="83"/>
      <c r="T806" s="83"/>
    </row>
    <row r="807" spans="1:20" s="14" customFormat="1" ht="14.15" customHeight="1">
      <c r="A807" s="404"/>
      <c r="B807" s="83"/>
      <c r="C807" s="83"/>
      <c r="D807" s="83"/>
      <c r="E807" s="188"/>
      <c r="F807" s="188"/>
      <c r="G807" s="188"/>
      <c r="H807" s="188"/>
      <c r="J807" s="83"/>
      <c r="K807" s="83"/>
      <c r="L807" s="469"/>
      <c r="M807" s="83"/>
      <c r="N807" s="83"/>
      <c r="O807" s="83"/>
      <c r="P807" s="83"/>
      <c r="Q807" s="83"/>
      <c r="R807" s="83"/>
      <c r="S807" s="83"/>
      <c r="T807" s="83"/>
    </row>
    <row r="808" spans="1:20" s="14" customFormat="1" ht="14.15" customHeight="1">
      <c r="A808" s="404"/>
      <c r="B808" s="83"/>
      <c r="C808" s="83"/>
      <c r="D808" s="83"/>
      <c r="E808" s="188"/>
      <c r="F808" s="188"/>
      <c r="G808" s="188"/>
      <c r="H808" s="188"/>
      <c r="J808" s="83"/>
      <c r="K808" s="83"/>
      <c r="L808" s="469"/>
      <c r="M808" s="83"/>
      <c r="N808" s="83"/>
      <c r="O808" s="83"/>
      <c r="P808" s="83"/>
      <c r="Q808" s="83"/>
      <c r="R808" s="83"/>
      <c r="S808" s="83"/>
      <c r="T808" s="83"/>
    </row>
    <row r="809" spans="1:20" s="14" customFormat="1" ht="14.15" customHeight="1">
      <c r="A809" s="404"/>
      <c r="B809" s="83"/>
      <c r="C809" s="83"/>
      <c r="D809" s="83"/>
      <c r="E809" s="188"/>
      <c r="F809" s="188"/>
      <c r="G809" s="188"/>
      <c r="H809" s="188"/>
      <c r="J809" s="83"/>
      <c r="K809" s="83"/>
      <c r="L809" s="469"/>
      <c r="M809" s="83"/>
      <c r="N809" s="83"/>
      <c r="O809" s="83"/>
      <c r="P809" s="83"/>
      <c r="Q809" s="83"/>
      <c r="R809" s="83"/>
      <c r="S809" s="83"/>
      <c r="T809" s="83"/>
    </row>
    <row r="810" spans="1:20" s="14" customFormat="1" ht="14.15" customHeight="1">
      <c r="A810" s="404"/>
      <c r="B810" s="83"/>
      <c r="C810" s="83"/>
      <c r="D810" s="83"/>
      <c r="E810" s="188"/>
      <c r="F810" s="188"/>
      <c r="G810" s="188"/>
      <c r="H810" s="188"/>
      <c r="J810" s="83"/>
      <c r="K810" s="83"/>
      <c r="L810" s="469"/>
      <c r="M810" s="83"/>
      <c r="N810" s="83"/>
      <c r="O810" s="83"/>
      <c r="P810" s="83"/>
      <c r="Q810" s="83"/>
      <c r="R810" s="83"/>
      <c r="S810" s="83"/>
      <c r="T810" s="83"/>
    </row>
    <row r="811" spans="1:20" s="14" customFormat="1" ht="14.15" customHeight="1">
      <c r="A811" s="404"/>
      <c r="B811" s="83"/>
      <c r="C811" s="83"/>
      <c r="D811" s="83"/>
      <c r="E811" s="188"/>
      <c r="F811" s="188"/>
      <c r="G811" s="188"/>
      <c r="H811" s="188"/>
      <c r="J811" s="83"/>
      <c r="K811" s="83"/>
      <c r="L811" s="469"/>
      <c r="M811" s="83"/>
      <c r="N811" s="83"/>
      <c r="O811" s="83"/>
      <c r="P811" s="83"/>
      <c r="Q811" s="83"/>
      <c r="R811" s="83"/>
      <c r="S811" s="83"/>
      <c r="T811" s="83"/>
    </row>
    <row r="812" spans="1:20" s="14" customFormat="1" ht="14.15" customHeight="1">
      <c r="A812" s="404"/>
      <c r="B812" s="83"/>
      <c r="C812" s="83"/>
      <c r="D812" s="83"/>
      <c r="E812" s="188"/>
      <c r="F812" s="188"/>
      <c r="G812" s="188"/>
      <c r="H812" s="188"/>
      <c r="J812" s="83"/>
      <c r="K812" s="83"/>
      <c r="L812" s="469"/>
      <c r="M812" s="83"/>
      <c r="N812" s="83"/>
      <c r="O812" s="83"/>
      <c r="P812" s="83"/>
      <c r="Q812" s="83"/>
      <c r="R812" s="83"/>
      <c r="S812" s="83"/>
      <c r="T812" s="83"/>
    </row>
    <row r="813" spans="1:20" s="14" customFormat="1" ht="14.15" customHeight="1">
      <c r="A813" s="404"/>
      <c r="B813" s="83"/>
      <c r="C813" s="83"/>
      <c r="D813" s="83"/>
      <c r="E813" s="188"/>
      <c r="F813" s="188"/>
      <c r="G813" s="188"/>
      <c r="H813" s="188"/>
      <c r="J813" s="83"/>
      <c r="K813" s="83"/>
      <c r="L813" s="469"/>
      <c r="M813" s="83"/>
      <c r="N813" s="83"/>
      <c r="O813" s="83"/>
      <c r="P813" s="83"/>
      <c r="Q813" s="83"/>
      <c r="R813" s="83"/>
      <c r="S813" s="83"/>
      <c r="T813" s="83"/>
    </row>
    <row r="814" spans="1:20" s="14" customFormat="1" ht="14.15" customHeight="1">
      <c r="A814" s="404"/>
      <c r="B814" s="83"/>
      <c r="C814" s="83"/>
      <c r="D814" s="83"/>
      <c r="E814" s="188"/>
      <c r="F814" s="188"/>
      <c r="G814" s="188"/>
      <c r="H814" s="188"/>
      <c r="J814" s="83"/>
      <c r="K814" s="83"/>
      <c r="L814" s="469"/>
      <c r="M814" s="83"/>
      <c r="N814" s="83"/>
      <c r="O814" s="83"/>
      <c r="P814" s="83"/>
      <c r="Q814" s="83"/>
      <c r="R814" s="83"/>
      <c r="S814" s="83"/>
      <c r="T814" s="83"/>
    </row>
    <row r="815" spans="1:20" s="14" customFormat="1" ht="14.15" customHeight="1">
      <c r="A815" s="404"/>
      <c r="B815" s="83"/>
      <c r="C815" s="83"/>
      <c r="D815" s="83"/>
      <c r="E815" s="188"/>
      <c r="F815" s="188"/>
      <c r="G815" s="188"/>
      <c r="H815" s="188"/>
      <c r="J815" s="83"/>
      <c r="K815" s="83"/>
      <c r="L815" s="469"/>
      <c r="M815" s="83"/>
      <c r="N815" s="83"/>
      <c r="O815" s="83"/>
      <c r="P815" s="83"/>
      <c r="Q815" s="83"/>
      <c r="R815" s="83"/>
      <c r="S815" s="83"/>
      <c r="T815" s="83"/>
    </row>
    <row r="816" spans="1:20" s="14" customFormat="1" ht="14.15" customHeight="1">
      <c r="A816" s="404"/>
      <c r="B816" s="83"/>
      <c r="C816" s="83"/>
      <c r="D816" s="83"/>
      <c r="E816" s="188"/>
      <c r="F816" s="188"/>
      <c r="G816" s="188"/>
      <c r="H816" s="188"/>
      <c r="J816" s="83"/>
      <c r="K816" s="83"/>
      <c r="L816" s="469"/>
      <c r="M816" s="83"/>
      <c r="N816" s="83"/>
      <c r="O816" s="83"/>
      <c r="P816" s="83"/>
      <c r="Q816" s="83"/>
      <c r="R816" s="83"/>
      <c r="S816" s="83"/>
      <c r="T816" s="83"/>
    </row>
    <row r="817" spans="1:20" s="14" customFormat="1" ht="14.15" customHeight="1">
      <c r="A817" s="404"/>
      <c r="B817" s="83"/>
      <c r="C817" s="83"/>
      <c r="D817" s="83"/>
      <c r="E817" s="188"/>
      <c r="F817" s="188"/>
      <c r="G817" s="188"/>
      <c r="H817" s="188"/>
      <c r="J817" s="83"/>
      <c r="K817" s="83"/>
      <c r="L817" s="469"/>
      <c r="M817" s="83"/>
      <c r="N817" s="83"/>
      <c r="O817" s="83"/>
      <c r="P817" s="83"/>
      <c r="Q817" s="83"/>
      <c r="R817" s="83"/>
      <c r="S817" s="83"/>
      <c r="T817" s="83"/>
    </row>
    <row r="818" spans="1:20" s="14" customFormat="1" ht="14.15" customHeight="1">
      <c r="A818" s="404"/>
      <c r="B818" s="83"/>
      <c r="C818" s="83"/>
      <c r="D818" s="83"/>
      <c r="E818" s="188"/>
      <c r="F818" s="188"/>
      <c r="G818" s="188"/>
      <c r="H818" s="188"/>
      <c r="J818" s="83"/>
      <c r="K818" s="83"/>
      <c r="L818" s="469"/>
      <c r="M818" s="83"/>
      <c r="N818" s="83"/>
      <c r="O818" s="83"/>
      <c r="P818" s="83"/>
      <c r="Q818" s="83"/>
      <c r="R818" s="83"/>
      <c r="S818" s="83"/>
      <c r="T818" s="83"/>
    </row>
    <row r="819" spans="1:20" s="14" customFormat="1" ht="14.15" customHeight="1">
      <c r="A819" s="404"/>
      <c r="B819" s="83"/>
      <c r="C819" s="83"/>
      <c r="D819" s="83"/>
      <c r="E819" s="188"/>
      <c r="F819" s="188"/>
      <c r="G819" s="188"/>
      <c r="H819" s="188"/>
      <c r="J819" s="83"/>
      <c r="K819" s="83"/>
      <c r="L819" s="469"/>
      <c r="M819" s="83"/>
      <c r="N819" s="83"/>
      <c r="O819" s="83"/>
      <c r="P819" s="83"/>
      <c r="Q819" s="83"/>
      <c r="R819" s="83"/>
      <c r="S819" s="83"/>
      <c r="T819" s="83"/>
    </row>
    <row r="820" spans="1:20" s="14" customFormat="1" ht="14.15" customHeight="1">
      <c r="A820" s="404"/>
      <c r="B820" s="83"/>
      <c r="C820" s="83"/>
      <c r="D820" s="83"/>
      <c r="E820" s="188"/>
      <c r="F820" s="188"/>
      <c r="G820" s="188"/>
      <c r="H820" s="188"/>
      <c r="J820" s="83"/>
      <c r="K820" s="83"/>
      <c r="L820" s="469"/>
      <c r="M820" s="83"/>
      <c r="N820" s="83"/>
      <c r="O820" s="83"/>
      <c r="P820" s="83"/>
      <c r="Q820" s="83"/>
      <c r="R820" s="83"/>
      <c r="S820" s="83"/>
      <c r="T820" s="83"/>
    </row>
    <row r="821" spans="1:20" s="14" customFormat="1" ht="14.15" customHeight="1">
      <c r="A821" s="404"/>
      <c r="B821" s="83"/>
      <c r="C821" s="83"/>
      <c r="D821" s="83"/>
      <c r="E821" s="188"/>
      <c r="F821" s="188"/>
      <c r="G821" s="188"/>
      <c r="H821" s="188"/>
      <c r="J821" s="83"/>
      <c r="K821" s="83"/>
      <c r="L821" s="469"/>
      <c r="M821" s="83"/>
      <c r="N821" s="83"/>
      <c r="O821" s="83"/>
      <c r="P821" s="83"/>
      <c r="Q821" s="83"/>
      <c r="R821" s="83"/>
      <c r="S821" s="83"/>
      <c r="T821" s="83"/>
    </row>
    <row r="822" spans="1:20" s="14" customFormat="1" ht="14.15" customHeight="1">
      <c r="A822" s="404"/>
      <c r="B822" s="83"/>
      <c r="C822" s="83"/>
      <c r="D822" s="83"/>
      <c r="E822" s="188"/>
      <c r="F822" s="188"/>
      <c r="G822" s="188"/>
      <c r="H822" s="188"/>
      <c r="J822" s="83"/>
      <c r="K822" s="83"/>
      <c r="L822" s="469"/>
      <c r="M822" s="83"/>
      <c r="N822" s="83"/>
      <c r="O822" s="83"/>
      <c r="P822" s="83"/>
      <c r="Q822" s="83"/>
      <c r="R822" s="83"/>
      <c r="S822" s="83"/>
      <c r="T822" s="83"/>
    </row>
    <row r="823" spans="1:20" s="14" customFormat="1" ht="14.15" customHeight="1">
      <c r="A823" s="404"/>
      <c r="B823" s="83"/>
      <c r="C823" s="83"/>
      <c r="D823" s="83"/>
      <c r="E823" s="188"/>
      <c r="F823" s="188"/>
      <c r="G823" s="188"/>
      <c r="H823" s="188"/>
      <c r="J823" s="83"/>
      <c r="K823" s="83"/>
      <c r="L823" s="469"/>
      <c r="M823" s="83"/>
      <c r="N823" s="83"/>
      <c r="O823" s="83"/>
      <c r="P823" s="83"/>
      <c r="Q823" s="83"/>
      <c r="R823" s="83"/>
      <c r="S823" s="83"/>
      <c r="T823" s="83"/>
    </row>
    <row r="824" spans="1:20" s="14" customFormat="1" ht="14.15" customHeight="1">
      <c r="A824" s="404"/>
      <c r="B824" s="83"/>
      <c r="C824" s="83"/>
      <c r="D824" s="83"/>
      <c r="E824" s="188"/>
      <c r="F824" s="188"/>
      <c r="G824" s="188"/>
      <c r="H824" s="188"/>
      <c r="J824" s="83"/>
      <c r="K824" s="83"/>
      <c r="L824" s="469"/>
      <c r="M824" s="83"/>
      <c r="N824" s="83"/>
      <c r="O824" s="83"/>
      <c r="P824" s="83"/>
      <c r="Q824" s="83"/>
      <c r="R824" s="83"/>
      <c r="S824" s="83"/>
      <c r="T824" s="83"/>
    </row>
    <row r="825" spans="1:20" s="14" customFormat="1" ht="14.15" customHeight="1">
      <c r="A825" s="404"/>
      <c r="B825" s="83"/>
      <c r="C825" s="83"/>
      <c r="D825" s="83"/>
      <c r="E825" s="188"/>
      <c r="F825" s="188"/>
      <c r="G825" s="188"/>
      <c r="H825" s="188"/>
      <c r="J825" s="83"/>
      <c r="K825" s="83"/>
      <c r="L825" s="469"/>
      <c r="M825" s="83"/>
      <c r="N825" s="83"/>
      <c r="O825" s="83"/>
      <c r="P825" s="83"/>
      <c r="Q825" s="83"/>
      <c r="R825" s="83"/>
      <c r="S825" s="83"/>
      <c r="T825" s="83"/>
    </row>
    <row r="826" spans="1:20" s="14" customFormat="1" ht="14.15" customHeight="1">
      <c r="A826" s="404"/>
      <c r="B826" s="83"/>
      <c r="C826" s="83"/>
      <c r="D826" s="83"/>
      <c r="E826" s="188"/>
      <c r="F826" s="188"/>
      <c r="G826" s="188"/>
      <c r="H826" s="188"/>
      <c r="J826" s="83"/>
      <c r="K826" s="83"/>
      <c r="L826" s="469"/>
      <c r="M826" s="83"/>
      <c r="N826" s="83"/>
      <c r="O826" s="83"/>
      <c r="P826" s="83"/>
      <c r="Q826" s="83"/>
      <c r="R826" s="83"/>
      <c r="S826" s="83"/>
      <c r="T826" s="83"/>
    </row>
    <row r="827" spans="1:20" s="14" customFormat="1" ht="14.15" customHeight="1">
      <c r="A827" s="404"/>
      <c r="B827" s="83"/>
      <c r="C827" s="83"/>
      <c r="D827" s="83"/>
      <c r="E827" s="188"/>
      <c r="F827" s="188"/>
      <c r="G827" s="188"/>
      <c r="H827" s="188"/>
      <c r="J827" s="83"/>
      <c r="K827" s="83"/>
      <c r="L827" s="469"/>
      <c r="M827" s="83"/>
      <c r="N827" s="83"/>
      <c r="O827" s="83"/>
      <c r="P827" s="83"/>
      <c r="Q827" s="83"/>
      <c r="R827" s="83"/>
      <c r="S827" s="83"/>
      <c r="T827" s="83"/>
    </row>
    <row r="828" spans="1:20" s="14" customFormat="1" ht="14.15" customHeight="1">
      <c r="A828" s="404"/>
      <c r="B828" s="83"/>
      <c r="C828" s="83"/>
      <c r="D828" s="83"/>
      <c r="E828" s="188"/>
      <c r="F828" s="188"/>
      <c r="G828" s="188"/>
      <c r="H828" s="188"/>
      <c r="J828" s="83"/>
      <c r="K828" s="83"/>
      <c r="L828" s="469"/>
      <c r="M828" s="83"/>
      <c r="N828" s="83"/>
      <c r="O828" s="83"/>
      <c r="P828" s="83"/>
      <c r="Q828" s="83"/>
      <c r="R828" s="83"/>
      <c r="S828" s="83"/>
      <c r="T828" s="83"/>
    </row>
    <row r="829" spans="1:20" s="14" customFormat="1" ht="14.15" customHeight="1">
      <c r="A829" s="404"/>
      <c r="B829" s="83"/>
      <c r="C829" s="83"/>
      <c r="D829" s="83"/>
      <c r="E829" s="188"/>
      <c r="F829" s="188"/>
      <c r="G829" s="188"/>
      <c r="H829" s="188"/>
      <c r="J829" s="83"/>
      <c r="K829" s="83"/>
      <c r="L829" s="469"/>
      <c r="M829" s="83"/>
      <c r="N829" s="83"/>
      <c r="O829" s="83"/>
      <c r="P829" s="83"/>
      <c r="Q829" s="83"/>
      <c r="R829" s="83"/>
      <c r="S829" s="83"/>
      <c r="T829" s="83"/>
    </row>
    <row r="830" spans="1:20" s="14" customFormat="1" ht="14.15" customHeight="1">
      <c r="A830" s="404"/>
      <c r="B830" s="83"/>
      <c r="C830" s="83"/>
      <c r="D830" s="83"/>
      <c r="E830" s="188"/>
      <c r="F830" s="188"/>
      <c r="G830" s="188"/>
      <c r="H830" s="188"/>
      <c r="J830" s="83"/>
      <c r="K830" s="83"/>
      <c r="L830" s="469"/>
      <c r="M830" s="83"/>
      <c r="N830" s="83"/>
      <c r="O830" s="83"/>
      <c r="P830" s="83"/>
      <c r="Q830" s="83"/>
      <c r="R830" s="83"/>
      <c r="S830" s="83"/>
      <c r="T830" s="83"/>
    </row>
    <row r="831" spans="1:20" s="14" customFormat="1" ht="14.15" customHeight="1">
      <c r="A831" s="404"/>
      <c r="B831" s="83"/>
      <c r="C831" s="83"/>
      <c r="D831" s="83"/>
      <c r="E831" s="188"/>
      <c r="F831" s="188"/>
      <c r="G831" s="188"/>
      <c r="H831" s="188"/>
      <c r="J831" s="83"/>
      <c r="K831" s="83"/>
      <c r="L831" s="469"/>
      <c r="M831" s="83"/>
      <c r="N831" s="83"/>
      <c r="O831" s="83"/>
      <c r="P831" s="83"/>
      <c r="Q831" s="83"/>
      <c r="R831" s="83"/>
      <c r="S831" s="83"/>
      <c r="T831" s="83"/>
    </row>
    <row r="832" spans="1:20" s="14" customFormat="1" ht="14.15" customHeight="1">
      <c r="A832" s="404"/>
      <c r="B832" s="83"/>
      <c r="C832" s="83"/>
      <c r="D832" s="83"/>
      <c r="E832" s="188"/>
      <c r="F832" s="188"/>
      <c r="G832" s="188"/>
      <c r="H832" s="188"/>
      <c r="J832" s="83"/>
      <c r="K832" s="83"/>
      <c r="L832" s="469"/>
      <c r="M832" s="83"/>
      <c r="N832" s="83"/>
      <c r="O832" s="83"/>
      <c r="P832" s="83"/>
      <c r="Q832" s="83"/>
      <c r="R832" s="83"/>
      <c r="S832" s="83"/>
      <c r="T832" s="83"/>
    </row>
    <row r="833" spans="1:20" s="14" customFormat="1" ht="14.15" customHeight="1">
      <c r="A833" s="404"/>
      <c r="B833" s="83"/>
      <c r="C833" s="83"/>
      <c r="D833" s="83"/>
      <c r="E833" s="188"/>
      <c r="F833" s="188"/>
      <c r="G833" s="188"/>
      <c r="H833" s="188"/>
      <c r="J833" s="83"/>
      <c r="K833" s="83"/>
      <c r="L833" s="469"/>
      <c r="M833" s="83"/>
      <c r="N833" s="83"/>
      <c r="O833" s="83"/>
      <c r="P833" s="83"/>
      <c r="Q833" s="83"/>
      <c r="R833" s="83"/>
      <c r="S833" s="83"/>
      <c r="T833" s="83"/>
    </row>
    <row r="834" spans="1:20" s="14" customFormat="1" ht="14.15" customHeight="1">
      <c r="A834" s="404"/>
      <c r="B834" s="83"/>
      <c r="C834" s="83"/>
      <c r="D834" s="83"/>
      <c r="E834" s="188"/>
      <c r="F834" s="188"/>
      <c r="G834" s="188"/>
      <c r="H834" s="188"/>
      <c r="J834" s="83"/>
      <c r="K834" s="83"/>
      <c r="L834" s="469"/>
      <c r="M834" s="83"/>
      <c r="N834" s="83"/>
      <c r="O834" s="83"/>
      <c r="P834" s="83"/>
      <c r="Q834" s="83"/>
      <c r="R834" s="83"/>
      <c r="S834" s="83"/>
      <c r="T834" s="83"/>
    </row>
    <row r="835" spans="1:20" s="14" customFormat="1" ht="14.15" customHeight="1">
      <c r="A835" s="404"/>
      <c r="B835" s="83"/>
      <c r="C835" s="83"/>
      <c r="D835" s="83"/>
      <c r="E835" s="188"/>
      <c r="F835" s="188"/>
      <c r="G835" s="188"/>
      <c r="H835" s="188"/>
      <c r="J835" s="83"/>
      <c r="K835" s="83"/>
      <c r="L835" s="469"/>
      <c r="M835" s="83"/>
      <c r="N835" s="83"/>
      <c r="O835" s="83"/>
      <c r="P835" s="83"/>
      <c r="Q835" s="83"/>
      <c r="R835" s="83"/>
      <c r="S835" s="83"/>
      <c r="T835" s="83"/>
    </row>
    <row r="836" spans="1:20" s="14" customFormat="1" ht="14.15" customHeight="1">
      <c r="A836" s="404"/>
      <c r="B836" s="83"/>
      <c r="C836" s="83"/>
      <c r="D836" s="83"/>
      <c r="E836" s="188"/>
      <c r="F836" s="188"/>
      <c r="G836" s="188"/>
      <c r="H836" s="188"/>
      <c r="J836" s="83"/>
      <c r="K836" s="83"/>
      <c r="L836" s="469"/>
      <c r="M836" s="83"/>
      <c r="N836" s="83"/>
      <c r="O836" s="83"/>
      <c r="P836" s="83"/>
      <c r="Q836" s="83"/>
      <c r="R836" s="83"/>
      <c r="S836" s="83"/>
      <c r="T836" s="83"/>
    </row>
    <row r="837" spans="1:20" s="14" customFormat="1" ht="14.15" customHeight="1">
      <c r="A837" s="404"/>
      <c r="B837" s="83"/>
      <c r="C837" s="83"/>
      <c r="D837" s="83"/>
      <c r="E837" s="188"/>
      <c r="F837" s="188"/>
      <c r="G837" s="188"/>
      <c r="H837" s="188"/>
      <c r="J837" s="83"/>
      <c r="K837" s="83"/>
      <c r="L837" s="469"/>
      <c r="M837" s="83"/>
      <c r="N837" s="83"/>
      <c r="O837" s="83"/>
      <c r="P837" s="83"/>
      <c r="Q837" s="83"/>
      <c r="R837" s="83"/>
      <c r="S837" s="83"/>
      <c r="T837" s="83"/>
    </row>
    <row r="838" spans="1:20" s="14" customFormat="1" ht="14.15" customHeight="1">
      <c r="A838" s="404"/>
      <c r="B838" s="83"/>
      <c r="C838" s="83"/>
      <c r="D838" s="83"/>
      <c r="E838" s="188"/>
      <c r="F838" s="188"/>
      <c r="G838" s="188"/>
      <c r="H838" s="188"/>
      <c r="J838" s="83"/>
      <c r="K838" s="83"/>
      <c r="L838" s="469"/>
      <c r="M838" s="83"/>
      <c r="N838" s="83"/>
      <c r="O838" s="83"/>
      <c r="P838" s="83"/>
      <c r="Q838" s="83"/>
      <c r="R838" s="83"/>
      <c r="S838" s="83"/>
      <c r="T838" s="83"/>
    </row>
    <row r="839" spans="1:20" s="14" customFormat="1" ht="14.15" customHeight="1">
      <c r="A839" s="404"/>
      <c r="B839" s="83"/>
      <c r="C839" s="83"/>
      <c r="D839" s="83"/>
      <c r="E839" s="188"/>
      <c r="F839" s="188"/>
      <c r="G839" s="188"/>
      <c r="H839" s="188"/>
      <c r="J839" s="83"/>
      <c r="K839" s="83"/>
      <c r="L839" s="469"/>
      <c r="M839" s="83"/>
      <c r="N839" s="83"/>
      <c r="O839" s="83"/>
      <c r="P839" s="83"/>
      <c r="Q839" s="83"/>
      <c r="R839" s="83"/>
      <c r="S839" s="83"/>
      <c r="T839" s="83"/>
    </row>
    <row r="840" spans="1:20" s="14" customFormat="1" ht="14.15" customHeight="1">
      <c r="A840" s="404"/>
      <c r="B840" s="83"/>
      <c r="C840" s="83"/>
      <c r="D840" s="83"/>
      <c r="E840" s="188"/>
      <c r="F840" s="188"/>
      <c r="G840" s="188"/>
      <c r="H840" s="188"/>
      <c r="J840" s="83"/>
      <c r="K840" s="83"/>
      <c r="L840" s="469"/>
      <c r="M840" s="83"/>
      <c r="N840" s="83"/>
      <c r="O840" s="83"/>
      <c r="P840" s="83"/>
      <c r="Q840" s="83"/>
      <c r="R840" s="83"/>
      <c r="S840" s="83"/>
      <c r="T840" s="83"/>
    </row>
    <row r="841" spans="1:20" s="14" customFormat="1" ht="14.15" customHeight="1">
      <c r="A841" s="404"/>
      <c r="B841" s="83"/>
      <c r="C841" s="83"/>
      <c r="D841" s="83"/>
      <c r="E841" s="188"/>
      <c r="F841" s="188"/>
      <c r="G841" s="188"/>
      <c r="H841" s="188"/>
      <c r="J841" s="83"/>
      <c r="K841" s="83"/>
      <c r="L841" s="469"/>
      <c r="M841" s="83"/>
      <c r="N841" s="83"/>
      <c r="O841" s="83"/>
      <c r="P841" s="83"/>
      <c r="Q841" s="83"/>
      <c r="R841" s="83"/>
      <c r="S841" s="83"/>
      <c r="T841" s="83"/>
    </row>
    <row r="842" spans="1:20" s="14" customFormat="1" ht="14.15" customHeight="1">
      <c r="A842" s="404"/>
      <c r="B842" s="83"/>
      <c r="C842" s="83"/>
      <c r="D842" s="83"/>
      <c r="E842" s="188"/>
      <c r="F842" s="188"/>
      <c r="G842" s="188"/>
      <c r="H842" s="188"/>
      <c r="J842" s="83"/>
      <c r="K842" s="83"/>
      <c r="L842" s="469"/>
      <c r="M842" s="83"/>
      <c r="N842" s="83"/>
      <c r="O842" s="83"/>
      <c r="P842" s="83"/>
      <c r="Q842" s="83"/>
      <c r="R842" s="83"/>
      <c r="S842" s="83"/>
      <c r="T842" s="83"/>
    </row>
    <row r="843" spans="1:20" s="14" customFormat="1" ht="14.15" customHeight="1">
      <c r="A843" s="404"/>
      <c r="B843" s="83"/>
      <c r="C843" s="83"/>
      <c r="D843" s="83"/>
      <c r="E843" s="188"/>
      <c r="F843" s="188"/>
      <c r="G843" s="188"/>
      <c r="H843" s="188"/>
      <c r="J843" s="83"/>
      <c r="K843" s="83"/>
      <c r="L843" s="469"/>
      <c r="M843" s="83"/>
      <c r="N843" s="83"/>
      <c r="O843" s="83"/>
      <c r="P843" s="83"/>
      <c r="Q843" s="83"/>
      <c r="R843" s="83"/>
      <c r="S843" s="83"/>
      <c r="T843" s="83"/>
    </row>
    <row r="844" spans="1:20" s="14" customFormat="1" ht="14.15" customHeight="1">
      <c r="A844" s="404"/>
      <c r="B844" s="83"/>
      <c r="C844" s="83"/>
      <c r="D844" s="83"/>
      <c r="E844" s="188"/>
      <c r="F844" s="188"/>
      <c r="G844" s="188"/>
      <c r="H844" s="188"/>
      <c r="J844" s="83"/>
      <c r="K844" s="83"/>
      <c r="L844" s="469"/>
      <c r="M844" s="83"/>
      <c r="N844" s="83"/>
      <c r="O844" s="83"/>
      <c r="P844" s="83"/>
      <c r="Q844" s="83"/>
      <c r="R844" s="83"/>
      <c r="S844" s="83"/>
      <c r="T844" s="83"/>
    </row>
    <row r="845" spans="1:20" s="14" customFormat="1" ht="14.15" customHeight="1">
      <c r="A845" s="404"/>
      <c r="B845" s="83"/>
      <c r="C845" s="83"/>
      <c r="D845" s="83"/>
      <c r="E845" s="188"/>
      <c r="F845" s="188"/>
      <c r="G845" s="188"/>
      <c r="H845" s="188"/>
      <c r="J845" s="83"/>
      <c r="K845" s="83"/>
      <c r="L845" s="469"/>
      <c r="M845" s="83"/>
      <c r="N845" s="83"/>
      <c r="O845" s="83"/>
      <c r="P845" s="83"/>
      <c r="Q845" s="83"/>
      <c r="R845" s="83"/>
      <c r="S845" s="83"/>
      <c r="T845" s="83"/>
    </row>
    <row r="846" spans="1:20" s="14" customFormat="1" ht="14.15" customHeight="1">
      <c r="A846" s="404"/>
      <c r="B846" s="83"/>
      <c r="C846" s="83"/>
      <c r="D846" s="83"/>
      <c r="E846" s="188"/>
      <c r="F846" s="188"/>
      <c r="G846" s="188"/>
      <c r="H846" s="188"/>
      <c r="J846" s="83"/>
      <c r="K846" s="83"/>
      <c r="L846" s="469"/>
      <c r="M846" s="83"/>
      <c r="N846" s="83"/>
      <c r="O846" s="83"/>
      <c r="P846" s="83"/>
      <c r="Q846" s="83"/>
      <c r="R846" s="83"/>
      <c r="S846" s="83"/>
      <c r="T846" s="83"/>
    </row>
    <row r="847" spans="1:20" s="14" customFormat="1" ht="14.15" customHeight="1">
      <c r="A847" s="404"/>
      <c r="B847" s="83"/>
      <c r="C847" s="83"/>
      <c r="D847" s="83"/>
      <c r="E847" s="188"/>
      <c r="F847" s="188"/>
      <c r="G847" s="188"/>
      <c r="H847" s="188"/>
      <c r="J847" s="83"/>
      <c r="K847" s="83"/>
      <c r="L847" s="469"/>
      <c r="M847" s="83"/>
      <c r="N847" s="83"/>
      <c r="O847" s="83"/>
      <c r="P847" s="83"/>
      <c r="Q847" s="83"/>
      <c r="R847" s="83"/>
      <c r="S847" s="83"/>
      <c r="T847" s="83"/>
    </row>
    <row r="848" spans="1:20" s="14" customFormat="1" ht="14.15" customHeight="1">
      <c r="A848" s="404"/>
      <c r="B848" s="83"/>
      <c r="C848" s="83"/>
      <c r="D848" s="83"/>
      <c r="E848" s="188"/>
      <c r="F848" s="188"/>
      <c r="G848" s="188"/>
      <c r="H848" s="188"/>
      <c r="J848" s="83"/>
      <c r="K848" s="83"/>
      <c r="L848" s="469"/>
      <c r="M848" s="83"/>
      <c r="N848" s="83"/>
      <c r="O848" s="83"/>
      <c r="P848" s="83"/>
      <c r="Q848" s="83"/>
      <c r="R848" s="83"/>
      <c r="S848" s="83"/>
      <c r="T848" s="83"/>
    </row>
    <row r="849" spans="1:20" s="14" customFormat="1" ht="14.15" customHeight="1">
      <c r="A849" s="404"/>
      <c r="B849" s="83"/>
      <c r="C849" s="83"/>
      <c r="D849" s="83"/>
      <c r="E849" s="188"/>
      <c r="F849" s="188"/>
      <c r="G849" s="188"/>
      <c r="H849" s="188"/>
      <c r="J849" s="83"/>
      <c r="K849" s="83"/>
      <c r="L849" s="469"/>
      <c r="M849" s="83"/>
      <c r="N849" s="83"/>
      <c r="O849" s="83"/>
      <c r="P849" s="83"/>
      <c r="Q849" s="83"/>
      <c r="R849" s="83"/>
      <c r="S849" s="83"/>
      <c r="T849" s="83"/>
    </row>
    <row r="850" spans="1:20" s="14" customFormat="1" ht="14.15" customHeight="1">
      <c r="A850" s="404"/>
      <c r="B850" s="83"/>
      <c r="C850" s="83"/>
      <c r="D850" s="83"/>
      <c r="E850" s="188"/>
      <c r="F850" s="188"/>
      <c r="G850" s="188"/>
      <c r="H850" s="188"/>
      <c r="J850" s="83"/>
      <c r="K850" s="83"/>
      <c r="L850" s="469"/>
      <c r="M850" s="83"/>
      <c r="N850" s="83"/>
      <c r="O850" s="83"/>
      <c r="P850" s="83"/>
      <c r="Q850" s="83"/>
      <c r="R850" s="83"/>
      <c r="S850" s="83"/>
      <c r="T850" s="83"/>
    </row>
    <row r="851" spans="1:20" s="14" customFormat="1" ht="14.15" customHeight="1">
      <c r="A851" s="404"/>
      <c r="B851" s="83"/>
      <c r="C851" s="83"/>
      <c r="D851" s="83"/>
      <c r="E851" s="188"/>
      <c r="F851" s="188"/>
      <c r="G851" s="188"/>
      <c r="H851" s="188"/>
      <c r="J851" s="83"/>
      <c r="K851" s="83"/>
      <c r="L851" s="469"/>
      <c r="M851" s="83"/>
      <c r="N851" s="83"/>
      <c r="O851" s="83"/>
      <c r="P851" s="83"/>
      <c r="Q851" s="83"/>
      <c r="R851" s="83"/>
      <c r="S851" s="83"/>
      <c r="T851" s="83"/>
    </row>
    <row r="852" spans="1:20" s="14" customFormat="1" ht="14.15" customHeight="1">
      <c r="A852" s="404"/>
      <c r="B852" s="83"/>
      <c r="C852" s="83"/>
      <c r="D852" s="83"/>
      <c r="E852" s="188"/>
      <c r="F852" s="188"/>
      <c r="G852" s="188"/>
      <c r="H852" s="188"/>
      <c r="J852" s="83"/>
      <c r="K852" s="83"/>
      <c r="L852" s="469"/>
      <c r="M852" s="83"/>
      <c r="N852" s="83"/>
      <c r="O852" s="83"/>
      <c r="P852" s="83"/>
      <c r="Q852" s="83"/>
      <c r="R852" s="83"/>
      <c r="S852" s="83"/>
      <c r="T852" s="83"/>
    </row>
    <row r="853" spans="1:20" s="14" customFormat="1" ht="14.15" customHeight="1">
      <c r="A853" s="404"/>
      <c r="B853" s="83"/>
      <c r="C853" s="83"/>
      <c r="D853" s="83"/>
      <c r="E853" s="188"/>
      <c r="F853" s="188"/>
      <c r="G853" s="188"/>
      <c r="H853" s="188"/>
      <c r="J853" s="83"/>
      <c r="K853" s="83"/>
      <c r="L853" s="469"/>
      <c r="M853" s="83"/>
      <c r="N853" s="83"/>
      <c r="O853" s="83"/>
      <c r="P853" s="83"/>
      <c r="Q853" s="83"/>
      <c r="R853" s="83"/>
      <c r="S853" s="83"/>
      <c r="T853" s="83"/>
    </row>
    <row r="854" spans="1:20" s="14" customFormat="1" ht="14.15" customHeight="1">
      <c r="A854" s="404"/>
      <c r="B854" s="83"/>
      <c r="C854" s="83"/>
      <c r="D854" s="83"/>
      <c r="E854" s="188"/>
      <c r="F854" s="188"/>
      <c r="G854" s="188"/>
      <c r="H854" s="188"/>
      <c r="J854" s="83"/>
      <c r="K854" s="83"/>
      <c r="L854" s="469"/>
      <c r="M854" s="83"/>
      <c r="N854" s="83"/>
      <c r="O854" s="83"/>
      <c r="P854" s="83"/>
      <c r="Q854" s="83"/>
      <c r="R854" s="83"/>
      <c r="S854" s="83"/>
      <c r="T854" s="83"/>
    </row>
    <row r="855" spans="1:20" s="14" customFormat="1" ht="14.15" customHeight="1">
      <c r="A855" s="404"/>
      <c r="B855" s="83"/>
      <c r="C855" s="83"/>
      <c r="D855" s="83"/>
      <c r="E855" s="188"/>
      <c r="F855" s="188"/>
      <c r="G855" s="188"/>
      <c r="H855" s="188"/>
      <c r="J855" s="83"/>
      <c r="K855" s="83"/>
      <c r="L855" s="469"/>
      <c r="M855" s="83"/>
      <c r="N855" s="83"/>
      <c r="O855" s="83"/>
      <c r="P855" s="83"/>
      <c r="Q855" s="83"/>
      <c r="R855" s="83"/>
      <c r="S855" s="83"/>
      <c r="T855" s="83"/>
    </row>
    <row r="856" spans="1:20" s="14" customFormat="1" ht="14.15" customHeight="1">
      <c r="A856" s="404"/>
      <c r="B856" s="83"/>
      <c r="C856" s="83"/>
      <c r="D856" s="83"/>
      <c r="E856" s="188"/>
      <c r="F856" s="188"/>
      <c r="G856" s="188"/>
      <c r="H856" s="188"/>
      <c r="J856" s="83"/>
      <c r="K856" s="83"/>
      <c r="L856" s="469"/>
      <c r="M856" s="83"/>
      <c r="N856" s="83"/>
      <c r="O856" s="83"/>
      <c r="P856" s="83"/>
      <c r="Q856" s="83"/>
      <c r="R856" s="83"/>
      <c r="S856" s="83"/>
      <c r="T856" s="83"/>
    </row>
    <row r="857" spans="1:20" s="14" customFormat="1" ht="14.15" customHeight="1">
      <c r="A857" s="404"/>
      <c r="B857" s="83"/>
      <c r="C857" s="83"/>
      <c r="D857" s="83"/>
      <c r="E857" s="188"/>
      <c r="F857" s="188"/>
      <c r="G857" s="188"/>
      <c r="H857" s="188"/>
      <c r="J857" s="83"/>
      <c r="K857" s="83"/>
      <c r="L857" s="469"/>
      <c r="M857" s="83"/>
      <c r="N857" s="83"/>
      <c r="O857" s="83"/>
      <c r="P857" s="83"/>
      <c r="Q857" s="83"/>
      <c r="R857" s="83"/>
      <c r="S857" s="83"/>
      <c r="T857" s="83"/>
    </row>
    <row r="858" spans="1:20" s="14" customFormat="1" ht="14.15" customHeight="1">
      <c r="A858" s="404"/>
      <c r="B858" s="83"/>
      <c r="C858" s="83"/>
      <c r="D858" s="83"/>
      <c r="E858" s="188"/>
      <c r="F858" s="188"/>
      <c r="G858" s="188"/>
      <c r="H858" s="188"/>
      <c r="J858" s="83"/>
      <c r="K858" s="83"/>
      <c r="L858" s="469"/>
      <c r="M858" s="83"/>
      <c r="N858" s="83"/>
      <c r="O858" s="83"/>
      <c r="P858" s="83"/>
      <c r="Q858" s="83"/>
      <c r="R858" s="83"/>
      <c r="S858" s="83"/>
      <c r="T858" s="83"/>
    </row>
    <row r="859" spans="1:20" s="14" customFormat="1" ht="14.15" customHeight="1">
      <c r="A859" s="404"/>
      <c r="B859" s="83"/>
      <c r="C859" s="83"/>
      <c r="D859" s="83"/>
      <c r="E859" s="188"/>
      <c r="F859" s="188"/>
      <c r="G859" s="188"/>
      <c r="H859" s="188"/>
      <c r="J859" s="83"/>
      <c r="K859" s="83"/>
      <c r="L859" s="469"/>
      <c r="M859" s="83"/>
      <c r="N859" s="83"/>
      <c r="O859" s="83"/>
      <c r="P859" s="83"/>
      <c r="Q859" s="83"/>
      <c r="R859" s="83"/>
      <c r="S859" s="83"/>
      <c r="T859" s="83"/>
    </row>
    <row r="860" spans="1:20" s="14" customFormat="1" ht="14.15" customHeight="1">
      <c r="A860" s="404"/>
      <c r="B860" s="83"/>
      <c r="C860" s="83"/>
      <c r="D860" s="83"/>
      <c r="E860" s="188"/>
      <c r="F860" s="188"/>
      <c r="G860" s="188"/>
      <c r="H860" s="188"/>
      <c r="J860" s="83"/>
      <c r="K860" s="83"/>
      <c r="L860" s="469"/>
      <c r="M860" s="83"/>
      <c r="N860" s="83"/>
      <c r="O860" s="83"/>
      <c r="P860" s="83"/>
      <c r="Q860" s="83"/>
      <c r="R860" s="83"/>
      <c r="S860" s="83"/>
      <c r="T860" s="83"/>
    </row>
    <row r="861" spans="1:20" s="14" customFormat="1" ht="14.15" customHeight="1">
      <c r="A861" s="404"/>
      <c r="B861" s="83"/>
      <c r="C861" s="83"/>
      <c r="D861" s="83"/>
      <c r="E861" s="188"/>
      <c r="F861" s="188"/>
      <c r="G861" s="188"/>
      <c r="H861" s="188"/>
      <c r="J861" s="83"/>
      <c r="K861" s="83"/>
      <c r="L861" s="469"/>
      <c r="M861" s="83"/>
      <c r="N861" s="83"/>
      <c r="O861" s="83"/>
      <c r="P861" s="83"/>
      <c r="Q861" s="83"/>
      <c r="R861" s="83"/>
      <c r="S861" s="83"/>
      <c r="T861" s="83"/>
    </row>
    <row r="862" spans="1:20" s="14" customFormat="1" ht="14.15" customHeight="1">
      <c r="A862" s="404"/>
      <c r="B862" s="83"/>
      <c r="C862" s="83"/>
      <c r="D862" s="83"/>
      <c r="E862" s="188"/>
      <c r="F862" s="188"/>
      <c r="G862" s="188"/>
      <c r="H862" s="188"/>
      <c r="J862" s="83"/>
      <c r="K862" s="83"/>
      <c r="L862" s="469"/>
      <c r="M862" s="83"/>
      <c r="N862" s="83"/>
      <c r="O862" s="83"/>
      <c r="P862" s="83"/>
      <c r="Q862" s="83"/>
      <c r="R862" s="83"/>
      <c r="S862" s="83"/>
      <c r="T862" s="83"/>
    </row>
    <row r="863" spans="1:20" s="14" customFormat="1" ht="14.15" customHeight="1">
      <c r="A863" s="404"/>
      <c r="B863" s="83"/>
      <c r="C863" s="83"/>
      <c r="D863" s="83"/>
      <c r="E863" s="188"/>
      <c r="F863" s="188"/>
      <c r="G863" s="188"/>
      <c r="H863" s="188"/>
      <c r="J863" s="83"/>
      <c r="K863" s="83"/>
      <c r="L863" s="469"/>
      <c r="M863" s="83"/>
      <c r="N863" s="83"/>
      <c r="O863" s="83"/>
      <c r="P863" s="83"/>
      <c r="Q863" s="83"/>
      <c r="R863" s="83"/>
      <c r="S863" s="83"/>
      <c r="T863" s="83"/>
    </row>
    <row r="864" spans="1:20" s="14" customFormat="1" ht="14.15" customHeight="1">
      <c r="A864" s="404"/>
      <c r="B864" s="83"/>
      <c r="C864" s="83"/>
      <c r="D864" s="83"/>
      <c r="E864" s="188"/>
      <c r="F864" s="188"/>
      <c r="G864" s="188"/>
      <c r="H864" s="188"/>
      <c r="J864" s="83"/>
      <c r="K864" s="83"/>
      <c r="L864" s="469"/>
      <c r="M864" s="83"/>
      <c r="N864" s="83"/>
      <c r="O864" s="83"/>
      <c r="P864" s="83"/>
      <c r="Q864" s="83"/>
      <c r="R864" s="83"/>
      <c r="S864" s="83"/>
      <c r="T864" s="83"/>
    </row>
    <row r="865" spans="1:20" s="14" customFormat="1" ht="14.15" customHeight="1">
      <c r="A865" s="404"/>
      <c r="B865" s="83"/>
      <c r="C865" s="83"/>
      <c r="D865" s="83"/>
      <c r="E865" s="188"/>
      <c r="F865" s="188"/>
      <c r="G865" s="188"/>
      <c r="H865" s="188"/>
      <c r="J865" s="83"/>
      <c r="K865" s="83"/>
      <c r="L865" s="469"/>
      <c r="M865" s="83"/>
      <c r="N865" s="83"/>
      <c r="O865" s="83"/>
      <c r="P865" s="83"/>
      <c r="Q865" s="83"/>
      <c r="R865" s="83"/>
      <c r="S865" s="83"/>
      <c r="T865" s="83"/>
    </row>
    <row r="866" spans="1:20" s="14" customFormat="1" ht="14.15" customHeight="1">
      <c r="A866" s="404"/>
      <c r="B866" s="83"/>
      <c r="C866" s="83"/>
      <c r="D866" s="83"/>
      <c r="E866" s="188"/>
      <c r="F866" s="188"/>
      <c r="G866" s="188"/>
      <c r="H866" s="188"/>
      <c r="J866" s="83"/>
      <c r="K866" s="83"/>
      <c r="L866" s="469"/>
      <c r="M866" s="83"/>
      <c r="N866" s="83"/>
      <c r="O866" s="83"/>
      <c r="P866" s="83"/>
      <c r="Q866" s="83"/>
      <c r="R866" s="83"/>
      <c r="S866" s="83"/>
      <c r="T866" s="83"/>
    </row>
    <row r="867" spans="1:20" s="14" customFormat="1" ht="14.15" customHeight="1">
      <c r="A867" s="404"/>
      <c r="B867" s="83"/>
      <c r="C867" s="83"/>
      <c r="D867" s="83"/>
      <c r="E867" s="188"/>
      <c r="F867" s="188"/>
      <c r="G867" s="188"/>
      <c r="H867" s="188"/>
      <c r="J867" s="83"/>
      <c r="K867" s="83"/>
      <c r="L867" s="469"/>
      <c r="M867" s="83"/>
      <c r="N867" s="83"/>
      <c r="O867" s="83"/>
      <c r="P867" s="83"/>
      <c r="Q867" s="83"/>
      <c r="R867" s="83"/>
      <c r="S867" s="83"/>
      <c r="T867" s="83"/>
    </row>
    <row r="868" spans="1:20" s="14" customFormat="1" ht="14.15" customHeight="1">
      <c r="A868" s="404"/>
      <c r="B868" s="83"/>
      <c r="C868" s="83"/>
      <c r="D868" s="83"/>
      <c r="E868" s="188"/>
      <c r="F868" s="188"/>
      <c r="G868" s="188"/>
      <c r="H868" s="188"/>
      <c r="J868" s="83"/>
      <c r="K868" s="83"/>
      <c r="L868" s="469"/>
      <c r="M868" s="83"/>
      <c r="N868" s="83"/>
      <c r="O868" s="83"/>
      <c r="P868" s="83"/>
      <c r="Q868" s="83"/>
      <c r="R868" s="83"/>
      <c r="S868" s="83"/>
      <c r="T868" s="83"/>
    </row>
    <row r="869" spans="1:20" s="14" customFormat="1" ht="14.15" customHeight="1">
      <c r="A869" s="404"/>
      <c r="B869" s="83"/>
      <c r="C869" s="83"/>
      <c r="D869" s="83"/>
      <c r="E869" s="188"/>
      <c r="F869" s="188"/>
      <c r="G869" s="188"/>
      <c r="H869" s="188"/>
      <c r="J869" s="83"/>
      <c r="K869" s="83"/>
      <c r="L869" s="469"/>
      <c r="M869" s="83"/>
      <c r="N869" s="83"/>
      <c r="O869" s="83"/>
      <c r="P869" s="83"/>
      <c r="Q869" s="83"/>
      <c r="R869" s="83"/>
      <c r="S869" s="83"/>
      <c r="T869" s="83"/>
    </row>
    <row r="870" spans="1:20" s="14" customFormat="1" ht="14.15" customHeight="1">
      <c r="A870" s="404"/>
      <c r="B870" s="83"/>
      <c r="C870" s="83"/>
      <c r="D870" s="83"/>
      <c r="E870" s="188"/>
      <c r="F870" s="188"/>
      <c r="G870" s="188"/>
      <c r="H870" s="188"/>
      <c r="J870" s="83"/>
      <c r="K870" s="83"/>
      <c r="L870" s="469"/>
      <c r="M870" s="83"/>
      <c r="N870" s="83"/>
      <c r="O870" s="83"/>
      <c r="P870" s="83"/>
      <c r="Q870" s="83"/>
      <c r="R870" s="83"/>
      <c r="S870" s="83"/>
      <c r="T870" s="83"/>
    </row>
    <row r="871" spans="1:20" s="14" customFormat="1" ht="14.15" customHeight="1">
      <c r="A871" s="404"/>
      <c r="B871" s="83"/>
      <c r="C871" s="83"/>
      <c r="D871" s="83"/>
      <c r="E871" s="188"/>
      <c r="F871" s="188"/>
      <c r="G871" s="188"/>
      <c r="H871" s="188"/>
      <c r="J871" s="83"/>
      <c r="K871" s="83"/>
      <c r="L871" s="469"/>
      <c r="M871" s="83"/>
      <c r="N871" s="83"/>
      <c r="O871" s="83"/>
      <c r="P871" s="83"/>
      <c r="Q871" s="83"/>
      <c r="R871" s="83"/>
      <c r="S871" s="83"/>
      <c r="T871" s="83"/>
    </row>
    <row r="872" spans="1:20" s="14" customFormat="1" ht="14.15" customHeight="1">
      <c r="A872" s="404"/>
      <c r="B872" s="83"/>
      <c r="C872" s="83"/>
      <c r="D872" s="83"/>
      <c r="E872" s="188"/>
      <c r="F872" s="188"/>
      <c r="G872" s="188"/>
      <c r="H872" s="188"/>
      <c r="J872" s="83"/>
      <c r="K872" s="83"/>
      <c r="L872" s="469"/>
      <c r="M872" s="83"/>
      <c r="N872" s="83"/>
      <c r="O872" s="83"/>
      <c r="P872" s="83"/>
      <c r="Q872" s="83"/>
      <c r="R872" s="83"/>
      <c r="S872" s="83"/>
      <c r="T872" s="83"/>
    </row>
    <row r="873" spans="1:20" s="14" customFormat="1" ht="14.15" customHeight="1">
      <c r="A873" s="404"/>
      <c r="B873" s="83"/>
      <c r="C873" s="83"/>
      <c r="D873" s="83"/>
      <c r="E873" s="188"/>
      <c r="F873" s="188"/>
      <c r="G873" s="188"/>
      <c r="H873" s="188"/>
      <c r="J873" s="83"/>
      <c r="K873" s="83"/>
      <c r="L873" s="469"/>
      <c r="M873" s="83"/>
      <c r="N873" s="83"/>
      <c r="O873" s="83"/>
      <c r="P873" s="83"/>
      <c r="Q873" s="83"/>
      <c r="R873" s="83"/>
      <c r="S873" s="83"/>
      <c r="T873" s="83"/>
    </row>
    <row r="874" spans="1:20" s="14" customFormat="1" ht="14.15" customHeight="1">
      <c r="A874" s="404"/>
      <c r="B874" s="83"/>
      <c r="C874" s="83"/>
      <c r="D874" s="83"/>
      <c r="E874" s="188"/>
      <c r="F874" s="188"/>
      <c r="G874" s="188"/>
      <c r="H874" s="188"/>
      <c r="J874" s="83"/>
      <c r="K874" s="83"/>
      <c r="L874" s="469"/>
      <c r="M874" s="83"/>
      <c r="N874" s="83"/>
      <c r="O874" s="83"/>
      <c r="P874" s="83"/>
      <c r="Q874" s="83"/>
      <c r="R874" s="83"/>
      <c r="S874" s="83"/>
      <c r="T874" s="83"/>
    </row>
    <row r="875" spans="1:20" s="14" customFormat="1" ht="14.15" customHeight="1">
      <c r="A875" s="404"/>
      <c r="B875" s="83"/>
      <c r="C875" s="83"/>
      <c r="D875" s="83"/>
      <c r="E875" s="188"/>
      <c r="F875" s="188"/>
      <c r="G875" s="188"/>
      <c r="H875" s="188"/>
      <c r="J875" s="83"/>
      <c r="K875" s="83"/>
      <c r="L875" s="469"/>
      <c r="M875" s="83"/>
      <c r="N875" s="83"/>
      <c r="O875" s="83"/>
      <c r="P875" s="83"/>
      <c r="Q875" s="83"/>
      <c r="R875" s="83"/>
      <c r="S875" s="83"/>
      <c r="T875" s="83"/>
    </row>
    <row r="876" spans="1:20" s="14" customFormat="1" ht="14.15" customHeight="1">
      <c r="A876" s="404"/>
      <c r="B876" s="83"/>
      <c r="C876" s="83"/>
      <c r="D876" s="83"/>
      <c r="E876" s="188"/>
      <c r="F876" s="188"/>
      <c r="G876" s="188"/>
      <c r="H876" s="188"/>
      <c r="J876" s="83"/>
      <c r="K876" s="83"/>
      <c r="L876" s="469"/>
      <c r="M876" s="83"/>
      <c r="N876" s="83"/>
      <c r="O876" s="83"/>
      <c r="P876" s="83"/>
      <c r="Q876" s="83"/>
      <c r="R876" s="83"/>
      <c r="S876" s="83"/>
      <c r="T876" s="83"/>
    </row>
    <row r="877" spans="1:20" s="14" customFormat="1" ht="14.15" customHeight="1">
      <c r="A877" s="404"/>
      <c r="B877" s="83"/>
      <c r="C877" s="83"/>
      <c r="D877" s="83"/>
      <c r="E877" s="188"/>
      <c r="F877" s="188"/>
      <c r="G877" s="188"/>
      <c r="H877" s="188"/>
      <c r="J877" s="83"/>
      <c r="K877" s="83"/>
      <c r="L877" s="469"/>
      <c r="M877" s="83"/>
      <c r="N877" s="83"/>
      <c r="O877" s="83"/>
      <c r="P877" s="83"/>
      <c r="Q877" s="83"/>
      <c r="R877" s="83"/>
      <c r="S877" s="83"/>
      <c r="T877" s="83"/>
    </row>
    <row r="878" spans="1:20" s="14" customFormat="1" ht="14.15" customHeight="1">
      <c r="A878" s="404"/>
      <c r="B878" s="83"/>
      <c r="C878" s="83"/>
      <c r="D878" s="83"/>
      <c r="E878" s="188"/>
      <c r="F878" s="188"/>
      <c r="G878" s="188"/>
      <c r="H878" s="188"/>
      <c r="J878" s="83"/>
      <c r="K878" s="83"/>
      <c r="L878" s="469"/>
      <c r="M878" s="83"/>
      <c r="N878" s="83"/>
      <c r="O878" s="83"/>
      <c r="P878" s="83"/>
      <c r="Q878" s="83"/>
      <c r="R878" s="83"/>
      <c r="S878" s="83"/>
      <c r="T878" s="83"/>
    </row>
    <row r="879" spans="1:20" s="14" customFormat="1" ht="14.15" customHeight="1">
      <c r="A879" s="404"/>
      <c r="B879" s="83"/>
      <c r="C879" s="83"/>
      <c r="D879" s="83"/>
      <c r="E879" s="188"/>
      <c r="F879" s="188"/>
      <c r="G879" s="188"/>
      <c r="H879" s="188"/>
      <c r="J879" s="83"/>
      <c r="K879" s="83"/>
      <c r="L879" s="469"/>
      <c r="M879" s="83"/>
      <c r="N879" s="83"/>
      <c r="O879" s="83"/>
      <c r="P879" s="83"/>
      <c r="Q879" s="83"/>
      <c r="R879" s="83"/>
      <c r="S879" s="83"/>
      <c r="T879" s="83"/>
    </row>
    <row r="880" spans="1:20" s="14" customFormat="1" ht="14.15" customHeight="1">
      <c r="A880" s="404"/>
      <c r="B880" s="83"/>
      <c r="C880" s="83"/>
      <c r="D880" s="83"/>
      <c r="E880" s="188"/>
      <c r="F880" s="188"/>
      <c r="G880" s="188"/>
      <c r="H880" s="188"/>
      <c r="J880" s="83"/>
      <c r="K880" s="83"/>
      <c r="L880" s="469"/>
      <c r="M880" s="83"/>
      <c r="N880" s="83"/>
      <c r="O880" s="83"/>
      <c r="P880" s="83"/>
      <c r="Q880" s="83"/>
      <c r="R880" s="83"/>
      <c r="S880" s="83"/>
      <c r="T880" s="83"/>
    </row>
    <row r="881" spans="1:20" s="14" customFormat="1" ht="14.15" customHeight="1">
      <c r="A881" s="404"/>
      <c r="B881" s="83"/>
      <c r="C881" s="83"/>
      <c r="D881" s="83"/>
      <c r="E881" s="188"/>
      <c r="F881" s="188"/>
      <c r="G881" s="188"/>
      <c r="H881" s="188"/>
      <c r="J881" s="83"/>
      <c r="K881" s="83"/>
      <c r="L881" s="469"/>
      <c r="M881" s="83"/>
      <c r="N881" s="83"/>
      <c r="O881" s="83"/>
      <c r="P881" s="83"/>
      <c r="Q881" s="83"/>
      <c r="R881" s="83"/>
      <c r="S881" s="83"/>
      <c r="T881" s="83"/>
    </row>
    <row r="882" spans="1:20" s="14" customFormat="1" ht="14.15" customHeight="1">
      <c r="A882" s="404"/>
      <c r="B882" s="83"/>
      <c r="C882" s="83"/>
      <c r="D882" s="83"/>
      <c r="E882" s="188"/>
      <c r="F882" s="188"/>
      <c r="G882" s="188"/>
      <c r="H882" s="188"/>
      <c r="J882" s="83"/>
      <c r="K882" s="83"/>
      <c r="L882" s="469"/>
      <c r="M882" s="83"/>
      <c r="N882" s="83"/>
      <c r="O882" s="83"/>
      <c r="P882" s="83"/>
      <c r="Q882" s="83"/>
      <c r="R882" s="83"/>
      <c r="S882" s="83"/>
      <c r="T882" s="83"/>
    </row>
    <row r="883" spans="1:20" s="14" customFormat="1" ht="14.15" customHeight="1">
      <c r="A883" s="404"/>
      <c r="B883" s="83"/>
      <c r="C883" s="83"/>
      <c r="D883" s="83"/>
      <c r="E883" s="188"/>
      <c r="F883" s="188"/>
      <c r="G883" s="188"/>
      <c r="H883" s="188"/>
      <c r="J883" s="83"/>
      <c r="K883" s="83"/>
      <c r="L883" s="469"/>
      <c r="M883" s="83"/>
      <c r="N883" s="83"/>
      <c r="O883" s="83"/>
      <c r="P883" s="83"/>
      <c r="Q883" s="83"/>
      <c r="R883" s="83"/>
      <c r="S883" s="83"/>
      <c r="T883" s="83"/>
    </row>
    <row r="884" spans="1:20" s="14" customFormat="1" ht="14.15" customHeight="1">
      <c r="A884" s="404"/>
      <c r="B884" s="83"/>
      <c r="C884" s="83"/>
      <c r="D884" s="83"/>
      <c r="E884" s="188"/>
      <c r="F884" s="188"/>
      <c r="G884" s="188"/>
      <c r="H884" s="188"/>
      <c r="J884" s="83"/>
      <c r="K884" s="83"/>
      <c r="L884" s="469"/>
      <c r="M884" s="83"/>
      <c r="N884" s="83"/>
      <c r="O884" s="83"/>
      <c r="P884" s="83"/>
      <c r="Q884" s="83"/>
      <c r="R884" s="83"/>
      <c r="S884" s="83"/>
      <c r="T884" s="83"/>
    </row>
    <row r="885" spans="1:20" s="14" customFormat="1" ht="14.15" customHeight="1">
      <c r="A885" s="404"/>
      <c r="B885" s="83"/>
      <c r="C885" s="83"/>
      <c r="D885" s="83"/>
      <c r="E885" s="188"/>
      <c r="F885" s="188"/>
      <c r="G885" s="188"/>
      <c r="H885" s="188"/>
      <c r="J885" s="83"/>
      <c r="K885" s="83"/>
      <c r="L885" s="469"/>
      <c r="M885" s="83"/>
      <c r="N885" s="83"/>
      <c r="O885" s="83"/>
      <c r="P885" s="83"/>
      <c r="Q885" s="83"/>
      <c r="R885" s="83"/>
      <c r="S885" s="83"/>
      <c r="T885" s="83"/>
    </row>
    <row r="886" spans="1:20" s="14" customFormat="1" ht="14.15" customHeight="1">
      <c r="A886" s="404"/>
      <c r="B886" s="83"/>
      <c r="C886" s="83"/>
      <c r="D886" s="83"/>
      <c r="E886" s="188"/>
      <c r="F886" s="188"/>
      <c r="G886" s="188"/>
      <c r="H886" s="188"/>
      <c r="J886" s="83"/>
      <c r="K886" s="83"/>
      <c r="L886" s="469"/>
      <c r="M886" s="83"/>
      <c r="N886" s="83"/>
      <c r="O886" s="83"/>
      <c r="P886" s="83"/>
      <c r="Q886" s="83"/>
      <c r="R886" s="83"/>
      <c r="S886" s="83"/>
      <c r="T886" s="83"/>
    </row>
    <row r="887" spans="1:20" s="14" customFormat="1" ht="14.15" customHeight="1">
      <c r="A887" s="404"/>
      <c r="B887" s="83"/>
      <c r="C887" s="83"/>
      <c r="D887" s="83"/>
      <c r="E887" s="188"/>
      <c r="F887" s="188"/>
      <c r="G887" s="188"/>
      <c r="H887" s="188"/>
      <c r="J887" s="83"/>
      <c r="K887" s="83"/>
      <c r="L887" s="469"/>
      <c r="M887" s="83"/>
      <c r="N887" s="83"/>
      <c r="O887" s="83"/>
      <c r="P887" s="83"/>
      <c r="Q887" s="83"/>
      <c r="R887" s="83"/>
      <c r="S887" s="83"/>
      <c r="T887" s="83"/>
    </row>
    <row r="888" spans="1:20" s="14" customFormat="1" ht="14.15" customHeight="1">
      <c r="A888" s="404"/>
      <c r="B888" s="83"/>
      <c r="C888" s="83"/>
      <c r="D888" s="83"/>
      <c r="E888" s="188"/>
      <c r="F888" s="188"/>
      <c r="G888" s="188"/>
      <c r="H888" s="188"/>
      <c r="J888" s="83"/>
      <c r="K888" s="83"/>
      <c r="L888" s="469"/>
      <c r="M888" s="83"/>
      <c r="N888" s="83"/>
      <c r="O888" s="83"/>
      <c r="P888" s="83"/>
      <c r="Q888" s="83"/>
      <c r="R888" s="83"/>
      <c r="S888" s="83"/>
      <c r="T888" s="83"/>
    </row>
    <row r="889" spans="1:20" s="14" customFormat="1" ht="14.15" customHeight="1">
      <c r="A889" s="404"/>
      <c r="B889" s="83"/>
      <c r="C889" s="83"/>
      <c r="D889" s="83"/>
      <c r="E889" s="188"/>
      <c r="F889" s="188"/>
      <c r="G889" s="188"/>
      <c r="H889" s="188"/>
      <c r="J889" s="83"/>
      <c r="K889" s="83"/>
      <c r="L889" s="469"/>
      <c r="M889" s="83"/>
      <c r="N889" s="83"/>
      <c r="O889" s="83"/>
      <c r="P889" s="83"/>
      <c r="Q889" s="83"/>
      <c r="R889" s="83"/>
      <c r="S889" s="83"/>
      <c r="T889" s="83"/>
    </row>
    <row r="890" spans="1:20" s="14" customFormat="1" ht="14.15" customHeight="1">
      <c r="A890" s="404"/>
      <c r="B890" s="83"/>
      <c r="C890" s="83"/>
      <c r="D890" s="83"/>
      <c r="E890" s="188"/>
      <c r="F890" s="188"/>
      <c r="G890" s="188"/>
      <c r="H890" s="188"/>
      <c r="J890" s="83"/>
      <c r="K890" s="83"/>
      <c r="L890" s="469"/>
      <c r="M890" s="83"/>
      <c r="N890" s="83"/>
      <c r="O890" s="83"/>
      <c r="P890" s="83"/>
      <c r="Q890" s="83"/>
      <c r="R890" s="83"/>
      <c r="S890" s="83"/>
      <c r="T890" s="83"/>
    </row>
    <row r="891" spans="1:20" s="14" customFormat="1" ht="14.15" customHeight="1">
      <c r="A891" s="404"/>
      <c r="B891" s="83"/>
      <c r="C891" s="83"/>
      <c r="D891" s="83"/>
      <c r="E891" s="188"/>
      <c r="F891" s="188"/>
      <c r="G891" s="188"/>
      <c r="H891" s="188"/>
      <c r="J891" s="83"/>
      <c r="K891" s="83"/>
      <c r="L891" s="469"/>
      <c r="M891" s="83"/>
      <c r="N891" s="83"/>
      <c r="O891" s="83"/>
      <c r="P891" s="83"/>
      <c r="Q891" s="83"/>
      <c r="R891" s="83"/>
      <c r="S891" s="83"/>
      <c r="T891" s="83"/>
    </row>
    <row r="892" spans="1:20" s="14" customFormat="1" ht="14.15" customHeight="1">
      <c r="A892" s="404"/>
      <c r="B892" s="83"/>
      <c r="C892" s="83"/>
      <c r="D892" s="83"/>
      <c r="E892" s="188"/>
      <c r="F892" s="188"/>
      <c r="G892" s="188"/>
      <c r="H892" s="188"/>
      <c r="J892" s="83"/>
      <c r="K892" s="83"/>
      <c r="L892" s="469"/>
      <c r="M892" s="83"/>
      <c r="N892" s="83"/>
      <c r="O892" s="83"/>
      <c r="P892" s="83"/>
      <c r="Q892" s="83"/>
      <c r="R892" s="83"/>
      <c r="S892" s="83"/>
      <c r="T892" s="83"/>
    </row>
    <row r="893" spans="1:20" s="14" customFormat="1" ht="14.15" customHeight="1">
      <c r="A893" s="404"/>
      <c r="B893" s="83"/>
      <c r="C893" s="83"/>
      <c r="D893" s="83"/>
      <c r="E893" s="188"/>
      <c r="F893" s="188"/>
      <c r="G893" s="188"/>
      <c r="H893" s="188"/>
      <c r="J893" s="83"/>
      <c r="K893" s="83"/>
      <c r="L893" s="469"/>
      <c r="M893" s="83"/>
      <c r="N893" s="83"/>
      <c r="O893" s="83"/>
      <c r="P893" s="83"/>
      <c r="Q893" s="83"/>
      <c r="R893" s="83"/>
      <c r="S893" s="83"/>
      <c r="T893" s="83"/>
    </row>
    <row r="894" spans="1:20" s="14" customFormat="1" ht="14.15" customHeight="1">
      <c r="A894" s="404"/>
      <c r="B894" s="83"/>
      <c r="C894" s="83"/>
      <c r="D894" s="83"/>
      <c r="E894" s="188"/>
      <c r="F894" s="188"/>
      <c r="G894" s="188"/>
      <c r="H894" s="188"/>
      <c r="J894" s="83"/>
      <c r="K894" s="83"/>
      <c r="L894" s="469"/>
      <c r="M894" s="83"/>
      <c r="N894" s="83"/>
      <c r="O894" s="83"/>
      <c r="P894" s="83"/>
      <c r="Q894" s="83"/>
      <c r="R894" s="83"/>
      <c r="S894" s="83"/>
      <c r="T894" s="83"/>
    </row>
    <row r="895" spans="1:20" s="14" customFormat="1" ht="14.15" customHeight="1">
      <c r="A895" s="404"/>
      <c r="B895" s="83"/>
      <c r="C895" s="83"/>
      <c r="D895" s="83"/>
      <c r="E895" s="188"/>
      <c r="F895" s="188"/>
      <c r="G895" s="188"/>
      <c r="H895" s="188"/>
      <c r="J895" s="83"/>
      <c r="K895" s="83"/>
      <c r="L895" s="469"/>
      <c r="M895" s="83"/>
      <c r="N895" s="83"/>
      <c r="O895" s="83"/>
      <c r="P895" s="83"/>
      <c r="Q895" s="83"/>
      <c r="R895" s="83"/>
      <c r="S895" s="83"/>
      <c r="T895" s="83"/>
    </row>
    <row r="896" spans="1:20" s="14" customFormat="1" ht="14.15" customHeight="1">
      <c r="A896" s="404"/>
      <c r="B896" s="83"/>
      <c r="C896" s="83"/>
      <c r="D896" s="83"/>
      <c r="E896" s="188"/>
      <c r="F896" s="188"/>
      <c r="G896" s="188"/>
      <c r="H896" s="188"/>
      <c r="J896" s="83"/>
      <c r="K896" s="83"/>
      <c r="L896" s="469"/>
      <c r="M896" s="83"/>
      <c r="N896" s="83"/>
      <c r="O896" s="83"/>
      <c r="P896" s="83"/>
      <c r="Q896" s="83"/>
      <c r="R896" s="83"/>
      <c r="S896" s="83"/>
      <c r="T896" s="83"/>
    </row>
    <row r="897" spans="1:20" s="14" customFormat="1" ht="14.15" customHeight="1">
      <c r="A897" s="404"/>
      <c r="B897" s="83"/>
      <c r="C897" s="83"/>
      <c r="D897" s="83"/>
      <c r="E897" s="188"/>
      <c r="F897" s="188"/>
      <c r="G897" s="188"/>
      <c r="H897" s="188"/>
      <c r="J897" s="83"/>
      <c r="K897" s="83"/>
      <c r="L897" s="469"/>
      <c r="M897" s="83"/>
      <c r="N897" s="83"/>
      <c r="O897" s="83"/>
      <c r="P897" s="83"/>
      <c r="Q897" s="83"/>
      <c r="R897" s="83"/>
      <c r="S897" s="83"/>
      <c r="T897" s="83"/>
    </row>
    <row r="898" spans="1:20" s="14" customFormat="1" ht="14.15" customHeight="1">
      <c r="A898" s="404"/>
      <c r="B898" s="83"/>
      <c r="C898" s="83"/>
      <c r="D898" s="83"/>
      <c r="E898" s="188"/>
      <c r="F898" s="188"/>
      <c r="G898" s="188"/>
      <c r="H898" s="188"/>
      <c r="J898" s="83"/>
      <c r="K898" s="83"/>
      <c r="L898" s="469"/>
      <c r="M898" s="83"/>
      <c r="N898" s="83"/>
      <c r="O898" s="83"/>
      <c r="P898" s="83"/>
      <c r="Q898" s="83"/>
      <c r="R898" s="83"/>
      <c r="S898" s="83"/>
      <c r="T898" s="83"/>
    </row>
    <row r="899" spans="1:20" s="14" customFormat="1" ht="14.15" customHeight="1">
      <c r="A899" s="404"/>
      <c r="B899" s="83"/>
      <c r="C899" s="83"/>
      <c r="D899" s="83"/>
      <c r="E899" s="188"/>
      <c r="F899" s="188"/>
      <c r="G899" s="188"/>
      <c r="H899" s="188"/>
      <c r="J899" s="83"/>
      <c r="K899" s="83"/>
      <c r="L899" s="469"/>
      <c r="M899" s="83"/>
      <c r="N899" s="83"/>
      <c r="O899" s="83"/>
      <c r="P899" s="83"/>
      <c r="Q899" s="83"/>
      <c r="R899" s="83"/>
      <c r="S899" s="83"/>
      <c r="T899" s="83"/>
    </row>
    <row r="900" spans="1:20" s="14" customFormat="1" ht="14.15" customHeight="1">
      <c r="A900" s="404"/>
      <c r="B900" s="83"/>
      <c r="C900" s="83"/>
      <c r="D900" s="83"/>
      <c r="E900" s="188"/>
      <c r="F900" s="188"/>
      <c r="G900" s="188"/>
      <c r="H900" s="188"/>
      <c r="J900" s="83"/>
      <c r="K900" s="83"/>
      <c r="L900" s="469"/>
      <c r="M900" s="83"/>
      <c r="N900" s="83"/>
      <c r="O900" s="83"/>
      <c r="P900" s="83"/>
      <c r="Q900" s="83"/>
      <c r="R900" s="83"/>
      <c r="S900" s="83"/>
      <c r="T900" s="83"/>
    </row>
    <row r="901" spans="1:20" s="14" customFormat="1" ht="14.15" customHeight="1">
      <c r="A901" s="404"/>
      <c r="B901" s="83"/>
      <c r="C901" s="83"/>
      <c r="D901" s="83"/>
      <c r="E901" s="188"/>
      <c r="F901" s="188"/>
      <c r="G901" s="188"/>
      <c r="H901" s="188"/>
      <c r="J901" s="83"/>
      <c r="K901" s="83"/>
      <c r="L901" s="469"/>
      <c r="M901" s="83"/>
      <c r="N901" s="83"/>
      <c r="O901" s="83"/>
      <c r="P901" s="83"/>
      <c r="Q901" s="83"/>
      <c r="R901" s="83"/>
      <c r="S901" s="83"/>
      <c r="T901" s="83"/>
    </row>
    <row r="902" spans="1:20" s="14" customFormat="1" ht="14.15" customHeight="1">
      <c r="A902" s="404"/>
      <c r="B902" s="83"/>
      <c r="C902" s="83"/>
      <c r="D902" s="83"/>
      <c r="E902" s="188"/>
      <c r="F902" s="188"/>
      <c r="G902" s="188"/>
      <c r="H902" s="188"/>
      <c r="J902" s="83"/>
      <c r="K902" s="83"/>
      <c r="L902" s="469"/>
      <c r="M902" s="83"/>
      <c r="N902" s="83"/>
      <c r="O902" s="83"/>
      <c r="P902" s="83"/>
      <c r="Q902" s="83"/>
      <c r="R902" s="83"/>
      <c r="S902" s="83"/>
      <c r="T902" s="83"/>
    </row>
    <row r="903" spans="1:20" s="14" customFormat="1" ht="14.15" customHeight="1">
      <c r="A903" s="404"/>
      <c r="B903" s="83"/>
      <c r="C903" s="83"/>
      <c r="D903" s="83"/>
      <c r="E903" s="188"/>
      <c r="F903" s="188"/>
      <c r="G903" s="188"/>
      <c r="H903" s="188"/>
      <c r="J903" s="83"/>
      <c r="K903" s="83"/>
      <c r="L903" s="469"/>
      <c r="M903" s="83"/>
      <c r="N903" s="83"/>
      <c r="O903" s="83"/>
      <c r="P903" s="83"/>
      <c r="Q903" s="83"/>
      <c r="R903" s="83"/>
      <c r="S903" s="83"/>
      <c r="T903" s="83"/>
    </row>
    <row r="904" spans="1:20" s="14" customFormat="1" ht="14.15" customHeight="1">
      <c r="A904" s="404"/>
      <c r="B904" s="83"/>
      <c r="C904" s="83"/>
      <c r="D904" s="83"/>
      <c r="E904" s="188"/>
      <c r="F904" s="188"/>
      <c r="G904" s="188"/>
      <c r="H904" s="188"/>
      <c r="J904" s="83"/>
      <c r="K904" s="83"/>
      <c r="L904" s="469"/>
      <c r="M904" s="83"/>
      <c r="N904" s="83"/>
      <c r="O904" s="83"/>
      <c r="P904" s="83"/>
      <c r="Q904" s="83"/>
      <c r="R904" s="83"/>
      <c r="S904" s="83"/>
      <c r="T904" s="83"/>
    </row>
    <row r="905" spans="1:20" s="14" customFormat="1" ht="14.15" customHeight="1">
      <c r="A905" s="404"/>
      <c r="B905" s="83"/>
      <c r="C905" s="83"/>
      <c r="D905" s="83"/>
      <c r="E905" s="188"/>
      <c r="F905" s="188"/>
      <c r="G905" s="188"/>
      <c r="H905" s="188"/>
      <c r="J905" s="83"/>
      <c r="K905" s="83"/>
      <c r="L905" s="469"/>
      <c r="M905" s="83"/>
      <c r="N905" s="83"/>
      <c r="O905" s="83"/>
      <c r="P905" s="83"/>
      <c r="Q905" s="83"/>
      <c r="R905" s="83"/>
      <c r="S905" s="83"/>
      <c r="T905" s="83"/>
    </row>
    <row r="906" spans="1:20" s="14" customFormat="1" ht="14.15" customHeight="1">
      <c r="A906" s="404"/>
      <c r="B906" s="83"/>
      <c r="C906" s="83"/>
      <c r="D906" s="83"/>
      <c r="E906" s="188"/>
      <c r="F906" s="188"/>
      <c r="G906" s="188"/>
      <c r="H906" s="188"/>
      <c r="J906" s="83"/>
      <c r="K906" s="83"/>
      <c r="L906" s="469"/>
      <c r="M906" s="83"/>
      <c r="N906" s="83"/>
      <c r="O906" s="83"/>
      <c r="P906" s="83"/>
      <c r="Q906" s="83"/>
      <c r="R906" s="83"/>
      <c r="S906" s="83"/>
      <c r="T906" s="83"/>
    </row>
    <row r="907" spans="1:20" s="14" customFormat="1" ht="14.15" customHeight="1">
      <c r="A907" s="404"/>
      <c r="B907" s="83"/>
      <c r="C907" s="83"/>
      <c r="D907" s="83"/>
      <c r="E907" s="188"/>
      <c r="F907" s="188"/>
      <c r="G907" s="188"/>
      <c r="H907" s="188"/>
      <c r="J907" s="83"/>
      <c r="K907" s="83"/>
      <c r="L907" s="469"/>
      <c r="M907" s="83"/>
      <c r="N907" s="83"/>
      <c r="O907" s="83"/>
      <c r="P907" s="83"/>
      <c r="Q907" s="83"/>
      <c r="R907" s="83"/>
      <c r="S907" s="83"/>
      <c r="T907" s="83"/>
    </row>
    <row r="908" spans="1:20" s="14" customFormat="1" ht="14.15" customHeight="1">
      <c r="A908" s="404"/>
      <c r="B908" s="83"/>
      <c r="C908" s="83"/>
      <c r="D908" s="83"/>
      <c r="E908" s="188"/>
      <c r="F908" s="188"/>
      <c r="G908" s="188"/>
      <c r="H908" s="188"/>
      <c r="J908" s="83"/>
      <c r="K908" s="83"/>
      <c r="L908" s="469"/>
      <c r="M908" s="83"/>
      <c r="N908" s="83"/>
      <c r="O908" s="83"/>
      <c r="P908" s="83"/>
      <c r="Q908" s="83"/>
      <c r="R908" s="83"/>
      <c r="S908" s="83"/>
      <c r="T908" s="83"/>
    </row>
    <row r="909" spans="1:20" s="14" customFormat="1" ht="14.15" customHeight="1">
      <c r="A909" s="404"/>
      <c r="B909" s="83"/>
      <c r="C909" s="83"/>
      <c r="D909" s="83"/>
      <c r="E909" s="188"/>
      <c r="F909" s="188"/>
      <c r="G909" s="188"/>
      <c r="H909" s="188"/>
      <c r="J909" s="83"/>
      <c r="K909" s="83"/>
      <c r="L909" s="469"/>
      <c r="M909" s="83"/>
      <c r="N909" s="83"/>
      <c r="O909" s="83"/>
      <c r="P909" s="83"/>
      <c r="Q909" s="83"/>
      <c r="R909" s="83"/>
      <c r="S909" s="83"/>
      <c r="T909" s="83"/>
    </row>
    <row r="910" spans="1:20" s="14" customFormat="1" ht="14.15" customHeight="1">
      <c r="A910" s="404"/>
      <c r="B910" s="83"/>
      <c r="C910" s="83"/>
      <c r="D910" s="83"/>
      <c r="E910" s="188"/>
      <c r="F910" s="188"/>
      <c r="G910" s="188"/>
      <c r="H910" s="188"/>
      <c r="J910" s="83"/>
      <c r="K910" s="83"/>
      <c r="L910" s="469"/>
      <c r="M910" s="83"/>
      <c r="N910" s="83"/>
      <c r="O910" s="83"/>
      <c r="P910" s="83"/>
      <c r="Q910" s="83"/>
      <c r="R910" s="83"/>
      <c r="S910" s="83"/>
      <c r="T910" s="83"/>
    </row>
    <row r="911" spans="1:20" s="14" customFormat="1" ht="14.15" customHeight="1">
      <c r="A911" s="404"/>
      <c r="B911" s="83"/>
      <c r="C911" s="83"/>
      <c r="D911" s="83"/>
      <c r="E911" s="188"/>
      <c r="F911" s="188"/>
      <c r="G911" s="188"/>
      <c r="H911" s="188"/>
      <c r="J911" s="83"/>
      <c r="K911" s="83"/>
      <c r="L911" s="469"/>
      <c r="M911" s="83"/>
      <c r="N911" s="83"/>
      <c r="O911" s="83"/>
      <c r="P911" s="83"/>
      <c r="Q911" s="83"/>
      <c r="R911" s="83"/>
      <c r="S911" s="83"/>
      <c r="T911" s="83"/>
    </row>
    <row r="912" spans="1:20" s="14" customFormat="1" ht="14.15" customHeight="1">
      <c r="A912" s="404"/>
      <c r="B912" s="83"/>
      <c r="C912" s="83"/>
      <c r="D912" s="83"/>
      <c r="E912" s="188"/>
      <c r="F912" s="188"/>
      <c r="G912" s="188"/>
      <c r="H912" s="188"/>
      <c r="J912" s="83"/>
      <c r="K912" s="83"/>
      <c r="L912" s="469"/>
      <c r="M912" s="83"/>
      <c r="N912" s="83"/>
      <c r="O912" s="83"/>
      <c r="P912" s="83"/>
      <c r="Q912" s="83"/>
      <c r="R912" s="83"/>
      <c r="S912" s="83"/>
      <c r="T912" s="83"/>
    </row>
    <row r="913" spans="1:20" s="14" customFormat="1" ht="14.15" customHeight="1">
      <c r="A913" s="404"/>
      <c r="B913" s="83"/>
      <c r="C913" s="83"/>
      <c r="D913" s="83"/>
      <c r="E913" s="188"/>
      <c r="F913" s="188"/>
      <c r="G913" s="188"/>
      <c r="H913" s="188"/>
      <c r="J913" s="83"/>
      <c r="K913" s="83"/>
      <c r="L913" s="469"/>
      <c r="M913" s="83"/>
      <c r="N913" s="83"/>
      <c r="O913" s="83"/>
      <c r="P913" s="83"/>
      <c r="Q913" s="83"/>
      <c r="R913" s="83"/>
      <c r="S913" s="83"/>
      <c r="T913" s="83"/>
    </row>
    <row r="914" spans="1:20" s="14" customFormat="1" ht="14.15" customHeight="1">
      <c r="A914" s="404"/>
      <c r="B914" s="83"/>
      <c r="C914" s="83"/>
      <c r="D914" s="83"/>
      <c r="E914" s="188"/>
      <c r="F914" s="188"/>
      <c r="G914" s="188"/>
      <c r="H914" s="188"/>
      <c r="J914" s="83"/>
      <c r="K914" s="83"/>
      <c r="L914" s="469"/>
      <c r="M914" s="83"/>
      <c r="N914" s="83"/>
      <c r="O914" s="83"/>
      <c r="P914" s="83"/>
      <c r="Q914" s="83"/>
      <c r="R914" s="83"/>
      <c r="S914" s="83"/>
      <c r="T914" s="83"/>
    </row>
    <row r="915" spans="1:20" s="14" customFormat="1" ht="14.15" customHeight="1">
      <c r="A915" s="404"/>
      <c r="B915" s="83"/>
      <c r="C915" s="83"/>
      <c r="D915" s="83"/>
      <c r="E915" s="188"/>
      <c r="F915" s="188"/>
      <c r="G915" s="188"/>
      <c r="H915" s="188"/>
      <c r="J915" s="83"/>
      <c r="K915" s="83"/>
      <c r="L915" s="469"/>
      <c r="M915" s="83"/>
      <c r="N915" s="83"/>
      <c r="O915" s="83"/>
      <c r="P915" s="83"/>
      <c r="Q915" s="83"/>
      <c r="R915" s="83"/>
      <c r="S915" s="83"/>
      <c r="T915" s="83"/>
    </row>
    <row r="916" spans="1:20" s="14" customFormat="1" ht="14.15" customHeight="1">
      <c r="A916" s="404"/>
      <c r="B916" s="83"/>
      <c r="C916" s="83"/>
      <c r="D916" s="83"/>
      <c r="E916" s="188"/>
      <c r="F916" s="188"/>
      <c r="G916" s="188"/>
      <c r="H916" s="188"/>
      <c r="J916" s="83"/>
      <c r="K916" s="83"/>
      <c r="L916" s="469"/>
      <c r="M916" s="83"/>
      <c r="N916" s="83"/>
      <c r="O916" s="83"/>
      <c r="P916" s="83"/>
      <c r="Q916" s="83"/>
      <c r="R916" s="83"/>
      <c r="S916" s="83"/>
      <c r="T916" s="83"/>
    </row>
    <row r="917" spans="1:20" s="14" customFormat="1" ht="14.15" customHeight="1">
      <c r="A917" s="404"/>
      <c r="B917" s="83"/>
      <c r="C917" s="83"/>
      <c r="D917" s="83"/>
      <c r="E917" s="188"/>
      <c r="F917" s="188"/>
      <c r="G917" s="188"/>
      <c r="H917" s="188"/>
      <c r="J917" s="83"/>
      <c r="K917" s="83"/>
      <c r="L917" s="469"/>
      <c r="M917" s="83"/>
      <c r="N917" s="83"/>
      <c r="O917" s="83"/>
      <c r="P917" s="83"/>
      <c r="Q917" s="83"/>
      <c r="R917" s="83"/>
      <c r="S917" s="83"/>
      <c r="T917" s="83"/>
    </row>
    <row r="918" spans="1:20" s="14" customFormat="1" ht="14.15" customHeight="1">
      <c r="A918" s="404"/>
      <c r="B918" s="83"/>
      <c r="C918" s="83"/>
      <c r="D918" s="83"/>
      <c r="E918" s="188"/>
      <c r="F918" s="188"/>
      <c r="G918" s="188"/>
      <c r="H918" s="188"/>
      <c r="J918" s="83"/>
      <c r="K918" s="83"/>
      <c r="L918" s="469"/>
      <c r="M918" s="83"/>
      <c r="N918" s="83"/>
      <c r="O918" s="83"/>
      <c r="P918" s="83"/>
      <c r="Q918" s="83"/>
      <c r="R918" s="83"/>
      <c r="S918" s="83"/>
      <c r="T918" s="83"/>
    </row>
    <row r="919" spans="1:20" s="14" customFormat="1" ht="14.15" customHeight="1">
      <c r="A919" s="404"/>
      <c r="B919" s="83"/>
      <c r="C919" s="83"/>
      <c r="D919" s="83"/>
      <c r="E919" s="188"/>
      <c r="F919" s="188"/>
      <c r="G919" s="188"/>
      <c r="H919" s="188"/>
      <c r="J919" s="83"/>
      <c r="K919" s="83"/>
      <c r="L919" s="469"/>
      <c r="M919" s="83"/>
      <c r="N919" s="83"/>
      <c r="O919" s="83"/>
      <c r="P919" s="83"/>
      <c r="Q919" s="83"/>
      <c r="R919" s="83"/>
      <c r="S919" s="83"/>
      <c r="T919" s="83"/>
    </row>
    <row r="920" spans="1:20" s="14" customFormat="1" ht="14.15" customHeight="1">
      <c r="A920" s="404"/>
      <c r="B920" s="83"/>
      <c r="C920" s="83"/>
      <c r="D920" s="83"/>
      <c r="E920" s="188"/>
      <c r="F920" s="188"/>
      <c r="G920" s="188"/>
      <c r="H920" s="188"/>
      <c r="J920" s="83"/>
      <c r="K920" s="83"/>
      <c r="L920" s="469"/>
      <c r="M920" s="83"/>
      <c r="N920" s="83"/>
      <c r="O920" s="83"/>
      <c r="P920" s="83"/>
      <c r="Q920" s="83"/>
      <c r="R920" s="83"/>
      <c r="S920" s="83"/>
      <c r="T920" s="83"/>
    </row>
    <row r="921" spans="1:20" s="14" customFormat="1" ht="14.15" customHeight="1">
      <c r="A921" s="404"/>
      <c r="B921" s="83"/>
      <c r="C921" s="83"/>
      <c r="D921" s="83"/>
      <c r="E921" s="188"/>
      <c r="F921" s="188"/>
      <c r="G921" s="188"/>
      <c r="H921" s="188"/>
      <c r="J921" s="83"/>
      <c r="K921" s="83"/>
      <c r="L921" s="469"/>
      <c r="M921" s="83"/>
      <c r="N921" s="83"/>
      <c r="O921" s="83"/>
      <c r="P921" s="83"/>
      <c r="Q921" s="83"/>
      <c r="R921" s="83"/>
      <c r="S921" s="83"/>
      <c r="T921" s="83"/>
    </row>
    <row r="922" spans="1:20" s="14" customFormat="1" ht="14.15" customHeight="1">
      <c r="A922" s="404"/>
      <c r="B922" s="83"/>
      <c r="C922" s="83"/>
      <c r="D922" s="83"/>
      <c r="E922" s="188"/>
      <c r="F922" s="188"/>
      <c r="G922" s="188"/>
      <c r="H922" s="188"/>
      <c r="J922" s="83"/>
      <c r="K922" s="83"/>
      <c r="L922" s="469"/>
      <c r="M922" s="83"/>
      <c r="N922" s="83"/>
      <c r="O922" s="83"/>
      <c r="P922" s="83"/>
      <c r="Q922" s="83"/>
      <c r="R922" s="83"/>
      <c r="S922" s="83"/>
      <c r="T922" s="83"/>
    </row>
    <row r="923" spans="1:20" s="14" customFormat="1" ht="14.15" customHeight="1">
      <c r="A923" s="404"/>
      <c r="B923" s="83"/>
      <c r="C923" s="83"/>
      <c r="D923" s="83"/>
      <c r="E923" s="188"/>
      <c r="F923" s="188"/>
      <c r="G923" s="188"/>
      <c r="H923" s="188"/>
      <c r="J923" s="83"/>
      <c r="K923" s="83"/>
      <c r="L923" s="469"/>
      <c r="M923" s="83"/>
      <c r="N923" s="83"/>
      <c r="O923" s="83"/>
      <c r="P923" s="83"/>
      <c r="Q923" s="83"/>
      <c r="R923" s="83"/>
      <c r="S923" s="83"/>
      <c r="T923" s="83"/>
    </row>
    <row r="924" spans="1:20" s="14" customFormat="1" ht="14.15" customHeight="1">
      <c r="A924" s="404"/>
      <c r="B924" s="83"/>
      <c r="C924" s="83"/>
      <c r="D924" s="83"/>
      <c r="E924" s="188"/>
      <c r="F924" s="188"/>
      <c r="G924" s="188"/>
      <c r="H924" s="188"/>
      <c r="J924" s="83"/>
      <c r="K924" s="83"/>
      <c r="L924" s="469"/>
      <c r="M924" s="83"/>
      <c r="N924" s="83"/>
      <c r="O924" s="83"/>
      <c r="P924" s="83"/>
      <c r="Q924" s="83"/>
      <c r="R924" s="83"/>
      <c r="S924" s="83"/>
      <c r="T924" s="83"/>
    </row>
    <row r="925" spans="1:20" s="14" customFormat="1" ht="14.15" customHeight="1">
      <c r="A925" s="404"/>
      <c r="B925" s="83"/>
      <c r="C925" s="83"/>
      <c r="D925" s="83"/>
      <c r="E925" s="188"/>
      <c r="F925" s="188"/>
      <c r="G925" s="188"/>
      <c r="H925" s="188"/>
      <c r="J925" s="83"/>
      <c r="K925" s="83"/>
      <c r="L925" s="469"/>
      <c r="M925" s="83"/>
      <c r="N925" s="83"/>
      <c r="O925" s="83"/>
      <c r="P925" s="83"/>
      <c r="Q925" s="83"/>
      <c r="R925" s="83"/>
      <c r="S925" s="83"/>
      <c r="T925" s="83"/>
    </row>
    <row r="926" spans="1:20" s="14" customFormat="1" ht="14.15" customHeight="1">
      <c r="A926" s="404"/>
      <c r="B926" s="83"/>
      <c r="C926" s="83"/>
      <c r="D926" s="83"/>
      <c r="E926" s="188"/>
      <c r="F926" s="188"/>
      <c r="G926" s="188"/>
      <c r="H926" s="188"/>
      <c r="J926" s="83"/>
      <c r="K926" s="83"/>
      <c r="L926" s="469"/>
      <c r="M926" s="83"/>
      <c r="N926" s="83"/>
      <c r="O926" s="83"/>
      <c r="P926" s="83"/>
      <c r="Q926" s="83"/>
      <c r="R926" s="83"/>
      <c r="S926" s="83"/>
      <c r="T926" s="83"/>
    </row>
    <row r="927" spans="1:20" s="14" customFormat="1" ht="14.15" customHeight="1">
      <c r="A927" s="404"/>
      <c r="B927" s="83"/>
      <c r="C927" s="83"/>
      <c r="D927" s="83"/>
      <c r="E927" s="188"/>
      <c r="F927" s="188"/>
      <c r="G927" s="188"/>
      <c r="H927" s="188"/>
      <c r="J927" s="83"/>
      <c r="K927" s="83"/>
      <c r="L927" s="469"/>
      <c r="M927" s="83"/>
      <c r="N927" s="83"/>
      <c r="O927" s="83"/>
      <c r="P927" s="83"/>
      <c r="Q927" s="83"/>
      <c r="R927" s="83"/>
      <c r="S927" s="83"/>
      <c r="T927" s="83"/>
    </row>
    <row r="928" spans="1:20" s="14" customFormat="1" ht="14.15" customHeight="1">
      <c r="A928" s="404"/>
      <c r="B928" s="83"/>
      <c r="C928" s="83"/>
      <c r="D928" s="83"/>
      <c r="E928" s="188"/>
      <c r="F928" s="188"/>
      <c r="G928" s="188"/>
      <c r="H928" s="188"/>
      <c r="J928" s="83"/>
      <c r="K928" s="83"/>
      <c r="L928" s="469"/>
      <c r="M928" s="83"/>
      <c r="N928" s="83"/>
      <c r="O928" s="83"/>
      <c r="P928" s="83"/>
      <c r="Q928" s="83"/>
      <c r="R928" s="83"/>
      <c r="S928" s="83"/>
      <c r="T928" s="83"/>
    </row>
    <row r="929" spans="1:20" s="14" customFormat="1" ht="14.15" customHeight="1">
      <c r="A929" s="404"/>
      <c r="B929" s="83"/>
      <c r="C929" s="83"/>
      <c r="D929" s="83"/>
      <c r="E929" s="188"/>
      <c r="F929" s="188"/>
      <c r="G929" s="188"/>
      <c r="H929" s="188"/>
      <c r="J929" s="83"/>
      <c r="K929" s="83"/>
      <c r="L929" s="469"/>
      <c r="M929" s="83"/>
      <c r="N929" s="83"/>
      <c r="O929" s="83"/>
      <c r="P929" s="83"/>
      <c r="Q929" s="83"/>
      <c r="R929" s="83"/>
      <c r="S929" s="83"/>
      <c r="T929" s="83"/>
    </row>
    <row r="930" spans="1:20" s="14" customFormat="1" ht="14.15" customHeight="1">
      <c r="A930" s="404"/>
      <c r="B930" s="83"/>
      <c r="C930" s="83"/>
      <c r="D930" s="83"/>
      <c r="E930" s="188"/>
      <c r="F930" s="188"/>
      <c r="G930" s="188"/>
      <c r="H930" s="188"/>
      <c r="J930" s="83"/>
      <c r="K930" s="83"/>
      <c r="L930" s="469"/>
      <c r="M930" s="83"/>
      <c r="N930" s="83"/>
      <c r="O930" s="83"/>
      <c r="P930" s="83"/>
      <c r="Q930" s="83"/>
      <c r="R930" s="83"/>
      <c r="S930" s="83"/>
      <c r="T930" s="83"/>
    </row>
    <row r="931" spans="1:20" s="14" customFormat="1" ht="14.15" customHeight="1">
      <c r="A931" s="404"/>
      <c r="B931" s="83"/>
      <c r="C931" s="83"/>
      <c r="D931" s="83"/>
      <c r="E931" s="188"/>
      <c r="F931" s="188"/>
      <c r="G931" s="188"/>
      <c r="H931" s="188"/>
      <c r="J931" s="83"/>
      <c r="K931" s="83"/>
      <c r="L931" s="469"/>
      <c r="M931" s="83"/>
      <c r="N931" s="83"/>
      <c r="O931" s="83"/>
      <c r="P931" s="83"/>
      <c r="Q931" s="83"/>
      <c r="R931" s="83"/>
      <c r="S931" s="83"/>
      <c r="T931" s="83"/>
    </row>
    <row r="932" spans="1:20" s="14" customFormat="1" ht="14.15" customHeight="1">
      <c r="A932" s="404"/>
      <c r="B932" s="83"/>
      <c r="C932" s="83"/>
      <c r="D932" s="83"/>
      <c r="E932" s="188"/>
      <c r="F932" s="188"/>
      <c r="G932" s="188"/>
      <c r="H932" s="188"/>
      <c r="J932" s="83"/>
      <c r="K932" s="83"/>
      <c r="L932" s="469"/>
      <c r="M932" s="83"/>
      <c r="N932" s="83"/>
      <c r="O932" s="83"/>
      <c r="P932" s="83"/>
      <c r="Q932" s="83"/>
      <c r="R932" s="83"/>
      <c r="S932" s="83"/>
      <c r="T932" s="83"/>
    </row>
    <row r="933" spans="1:20" s="14" customFormat="1" ht="14.15" customHeight="1">
      <c r="A933" s="404"/>
      <c r="B933" s="83"/>
      <c r="C933" s="83"/>
      <c r="D933" s="83"/>
      <c r="E933" s="188"/>
      <c r="F933" s="188"/>
      <c r="G933" s="188"/>
      <c r="H933" s="188"/>
      <c r="J933" s="83"/>
      <c r="K933" s="83"/>
      <c r="L933" s="469"/>
      <c r="M933" s="83"/>
      <c r="N933" s="83"/>
      <c r="O933" s="83"/>
      <c r="P933" s="83"/>
      <c r="Q933" s="83"/>
      <c r="R933" s="83"/>
      <c r="S933" s="83"/>
      <c r="T933" s="83"/>
    </row>
    <row r="934" spans="1:20" s="14" customFormat="1" ht="14.15" customHeight="1">
      <c r="A934" s="404"/>
      <c r="B934" s="83"/>
      <c r="C934" s="83"/>
      <c r="D934" s="83"/>
      <c r="E934" s="188"/>
      <c r="F934" s="188"/>
      <c r="G934" s="188"/>
      <c r="H934" s="188"/>
      <c r="J934" s="83"/>
      <c r="K934" s="83"/>
      <c r="L934" s="469"/>
      <c r="M934" s="83"/>
      <c r="N934" s="83"/>
      <c r="O934" s="83"/>
      <c r="P934" s="83"/>
      <c r="Q934" s="83"/>
      <c r="R934" s="83"/>
      <c r="S934" s="83"/>
      <c r="T934" s="83"/>
    </row>
    <row r="935" spans="1:20" s="14" customFormat="1" ht="14.15" customHeight="1">
      <c r="A935" s="404"/>
      <c r="B935" s="83"/>
      <c r="C935" s="83"/>
      <c r="D935" s="83"/>
      <c r="E935" s="188"/>
      <c r="F935" s="188"/>
      <c r="G935" s="188"/>
      <c r="H935" s="188"/>
      <c r="J935" s="83"/>
      <c r="K935" s="83"/>
      <c r="L935" s="469"/>
      <c r="M935" s="83"/>
      <c r="N935" s="83"/>
      <c r="O935" s="83"/>
      <c r="P935" s="83"/>
      <c r="Q935" s="83"/>
      <c r="R935" s="83"/>
      <c r="S935" s="83"/>
      <c r="T935" s="83"/>
    </row>
    <row r="936" spans="1:20" s="14" customFormat="1" ht="14.15" customHeight="1">
      <c r="A936" s="404"/>
      <c r="B936" s="83"/>
      <c r="C936" s="83"/>
      <c r="D936" s="83"/>
      <c r="E936" s="188"/>
      <c r="F936" s="188"/>
      <c r="G936" s="188"/>
      <c r="H936" s="188"/>
      <c r="J936" s="83"/>
      <c r="K936" s="83"/>
      <c r="L936" s="469"/>
      <c r="M936" s="83"/>
      <c r="N936" s="83"/>
      <c r="O936" s="83"/>
      <c r="P936" s="83"/>
      <c r="Q936" s="83"/>
      <c r="R936" s="83"/>
      <c r="S936" s="83"/>
      <c r="T936" s="83"/>
    </row>
    <row r="937" spans="1:20" s="14" customFormat="1" ht="14.15" customHeight="1">
      <c r="A937" s="404"/>
      <c r="B937" s="83"/>
      <c r="C937" s="83"/>
      <c r="D937" s="83"/>
      <c r="E937" s="188"/>
      <c r="F937" s="188"/>
      <c r="G937" s="188"/>
      <c r="H937" s="188"/>
      <c r="J937" s="83"/>
      <c r="K937" s="83"/>
      <c r="L937" s="469"/>
      <c r="M937" s="83"/>
      <c r="N937" s="83"/>
      <c r="O937" s="83"/>
      <c r="P937" s="83"/>
      <c r="Q937" s="83"/>
      <c r="R937" s="83"/>
      <c r="S937" s="83"/>
      <c r="T937" s="83"/>
    </row>
    <row r="938" spans="1:20" s="14" customFormat="1" ht="14.15" customHeight="1">
      <c r="A938" s="404"/>
      <c r="B938" s="83"/>
      <c r="C938" s="83"/>
      <c r="D938" s="83"/>
      <c r="E938" s="188"/>
      <c r="F938" s="188"/>
      <c r="G938" s="188"/>
      <c r="H938" s="188"/>
      <c r="J938" s="83"/>
      <c r="K938" s="83"/>
      <c r="L938" s="469"/>
      <c r="M938" s="83"/>
      <c r="N938" s="83"/>
      <c r="O938" s="83"/>
      <c r="P938" s="83"/>
      <c r="Q938" s="83"/>
      <c r="R938" s="83"/>
      <c r="S938" s="83"/>
      <c r="T938" s="83"/>
    </row>
    <row r="939" spans="1:20" s="14" customFormat="1" ht="14.15" customHeight="1">
      <c r="A939" s="404"/>
      <c r="B939" s="83"/>
      <c r="C939" s="83"/>
      <c r="D939" s="83"/>
      <c r="E939" s="188"/>
      <c r="F939" s="188"/>
      <c r="G939" s="188"/>
      <c r="H939" s="188"/>
      <c r="J939" s="83"/>
      <c r="K939" s="83"/>
      <c r="L939" s="469"/>
      <c r="M939" s="83"/>
      <c r="N939" s="83"/>
      <c r="O939" s="83"/>
      <c r="P939" s="83"/>
      <c r="Q939" s="83"/>
      <c r="R939" s="83"/>
      <c r="S939" s="83"/>
      <c r="T939" s="83"/>
    </row>
    <row r="940" spans="1:20" s="14" customFormat="1" ht="14.15" customHeight="1">
      <c r="A940" s="404"/>
      <c r="B940" s="83"/>
      <c r="C940" s="83"/>
      <c r="D940" s="83"/>
      <c r="E940" s="188"/>
      <c r="F940" s="188"/>
      <c r="G940" s="188"/>
      <c r="H940" s="188"/>
      <c r="J940" s="83"/>
      <c r="K940" s="83"/>
      <c r="L940" s="469"/>
      <c r="M940" s="83"/>
      <c r="N940" s="83"/>
      <c r="O940" s="83"/>
      <c r="P940" s="83"/>
      <c r="Q940" s="83"/>
      <c r="R940" s="83"/>
      <c r="S940" s="83"/>
      <c r="T940" s="83"/>
    </row>
    <row r="941" spans="1:20" s="14" customFormat="1" ht="14.15" customHeight="1">
      <c r="A941" s="404"/>
      <c r="B941" s="83"/>
      <c r="C941" s="83"/>
      <c r="D941" s="83"/>
      <c r="E941" s="188"/>
      <c r="F941" s="188"/>
      <c r="G941" s="188"/>
      <c r="H941" s="188"/>
      <c r="J941" s="83"/>
      <c r="K941" s="83"/>
      <c r="L941" s="469"/>
      <c r="M941" s="83"/>
      <c r="N941" s="83"/>
      <c r="O941" s="83"/>
      <c r="P941" s="83"/>
      <c r="Q941" s="83"/>
      <c r="R941" s="83"/>
      <c r="S941" s="83"/>
      <c r="T941" s="83"/>
    </row>
    <row r="942" spans="1:20" s="14" customFormat="1" ht="14.15" customHeight="1">
      <c r="A942" s="404"/>
      <c r="B942" s="83"/>
      <c r="C942" s="83"/>
      <c r="D942" s="83"/>
      <c r="E942" s="188"/>
      <c r="F942" s="188"/>
      <c r="G942" s="188"/>
      <c r="H942" s="188"/>
      <c r="J942" s="83"/>
      <c r="K942" s="83"/>
      <c r="L942" s="469"/>
      <c r="M942" s="83"/>
      <c r="N942" s="83"/>
      <c r="O942" s="83"/>
      <c r="P942" s="83"/>
      <c r="Q942" s="83"/>
      <c r="R942" s="83"/>
      <c r="S942" s="83"/>
      <c r="T942" s="83"/>
    </row>
    <row r="943" spans="1:20" s="14" customFormat="1" ht="14.15" customHeight="1">
      <c r="A943" s="404"/>
      <c r="B943" s="83"/>
      <c r="C943" s="83"/>
      <c r="D943" s="83"/>
      <c r="E943" s="188"/>
      <c r="F943" s="188"/>
      <c r="G943" s="188"/>
      <c r="H943" s="188"/>
      <c r="J943" s="83"/>
      <c r="K943" s="83"/>
      <c r="L943" s="469"/>
      <c r="M943" s="83"/>
      <c r="N943" s="83"/>
      <c r="O943" s="83"/>
      <c r="P943" s="83"/>
      <c r="Q943" s="83"/>
      <c r="R943" s="83"/>
      <c r="S943" s="83"/>
      <c r="T943" s="83"/>
    </row>
  </sheetData>
  <mergeCells count="2">
    <mergeCell ref="K138:L138"/>
    <mergeCell ref="K413:L413"/>
  </mergeCells>
  <phoneticPr fontId="22" type="noConversion"/>
  <pageMargins left="0.7" right="0.7" top="0.75" bottom="0.75" header="0.3" footer="0.3"/>
  <pageSetup scale="10" orientation="portrait" r:id="rId1"/>
  <headerFooter>
    <oddHeader>&amp;C&amp;"Arial,Bold"Kentucky Power Company
Case No. 2025-00257
Test Year Ended May 31, 2025&amp;RKPSC Case No. 2025-00257
SECTION V-Application
Exhibit 1
&amp;Pof&amp;N</oddHeader>
  </headerFooter>
  <rowBreaks count="5" manualBreakCount="5">
    <brk id="55" max="16383" man="1"/>
    <brk id="172" max="16383" man="1"/>
    <brk id="264" max="16383" man="1"/>
    <brk id="360" max="16383" man="1"/>
    <brk id="458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G910"/>
  <sheetViews>
    <sheetView showGridLines="0" view="pageBreakPreview" zoomScaleNormal="100" zoomScaleSheetLayoutView="100" workbookViewId="0">
      <pane xSplit="2" ySplit="3" topLeftCell="AT22" activePane="bottomRight" state="frozen"/>
      <selection activeCell="C26" sqref="C26"/>
      <selection pane="topRight" activeCell="C26" sqref="C26"/>
      <selection pane="bottomLeft" activeCell="C26" sqref="C26"/>
      <selection pane="bottomRight" activeCell="AW30" sqref="AW30"/>
    </sheetView>
  </sheetViews>
  <sheetFormatPr defaultColWidth="9.1796875" defaultRowHeight="14.15" customHeight="1"/>
  <cols>
    <col min="1" max="1" width="4.7265625" style="404" bestFit="1" customWidth="1"/>
    <col min="2" max="2" width="46" style="83" customWidth="1"/>
    <col min="3" max="3" width="16.7265625" style="83" customWidth="1"/>
    <col min="4" max="4" width="14" style="83" customWidth="1"/>
    <col min="5" max="5" width="14.1796875" style="83" customWidth="1"/>
    <col min="6" max="6" width="16.1796875" style="83" customWidth="1"/>
    <col min="7" max="7" width="15.54296875" style="83" customWidth="1"/>
    <col min="8" max="9" width="14.453125" style="83" customWidth="1"/>
    <col min="10" max="10" width="17.453125" style="83" customWidth="1"/>
    <col min="11" max="11" width="24.81640625" style="83" customWidth="1"/>
    <col min="12" max="12" width="13.7265625" style="83" customWidth="1"/>
    <col min="13" max="13" width="14" style="83" customWidth="1"/>
    <col min="14" max="14" width="13.453125" style="83" customWidth="1"/>
    <col min="15" max="15" width="12" style="83" customWidth="1"/>
    <col min="16" max="16" width="16.1796875" style="83" customWidth="1"/>
    <col min="17" max="17" width="13" style="83" customWidth="1"/>
    <col min="18" max="18" width="12.81640625" style="83" customWidth="1"/>
    <col min="19" max="19" width="12.54296875" style="83" customWidth="1"/>
    <col min="20" max="20" width="14.26953125" style="83" customWidth="1"/>
    <col min="21" max="21" width="14.453125" style="83" customWidth="1"/>
    <col min="22" max="22" width="14" style="83" customWidth="1"/>
    <col min="23" max="23" width="15.453125" style="83" customWidth="1"/>
    <col min="24" max="24" width="14.453125" style="83" customWidth="1"/>
    <col min="25" max="25" width="13" style="83" customWidth="1"/>
    <col min="26" max="26" width="16.453125" style="83" customWidth="1"/>
    <col min="27" max="27" width="12.54296875" style="83" customWidth="1"/>
    <col min="28" max="28" width="13.81640625" style="83" customWidth="1"/>
    <col min="29" max="29" width="16.1796875" style="83" customWidth="1"/>
    <col min="30" max="30" width="14" style="83" customWidth="1"/>
    <col min="31" max="31" width="14.453125" style="83" customWidth="1"/>
    <col min="32" max="32" width="16.1796875" style="83" customWidth="1"/>
    <col min="33" max="33" width="17.453125" style="83" customWidth="1"/>
    <col min="34" max="34" width="14.26953125" style="83" customWidth="1"/>
    <col min="35" max="35" width="19.54296875" style="83" customWidth="1"/>
    <col min="36" max="36" width="15.1796875" style="83" customWidth="1"/>
    <col min="37" max="37" width="14.453125" style="83" customWidth="1"/>
    <col min="38" max="38" width="14.26953125" style="83" customWidth="1"/>
    <col min="39" max="39" width="14.453125" style="83" customWidth="1"/>
    <col min="40" max="40" width="13.81640625" style="83" customWidth="1"/>
    <col min="41" max="41" width="10.81640625" style="83" customWidth="1"/>
    <col min="42" max="42" width="14.7265625" style="83" customWidth="1"/>
    <col min="43" max="45" width="14.81640625" style="83" customWidth="1"/>
    <col min="46" max="47" width="19.54296875" style="83" customWidth="1"/>
    <col min="48" max="48" width="24.1796875" style="83" customWidth="1"/>
    <col min="49" max="50" width="21" style="83" customWidth="1"/>
    <col min="51" max="51" width="14.453125" style="83" customWidth="1"/>
    <col min="52" max="52" width="20.54296875" style="83" customWidth="1"/>
    <col min="53" max="55" width="14.26953125" style="83" customWidth="1"/>
    <col min="56" max="56" width="19.7265625" style="83" customWidth="1"/>
    <col min="57" max="57" width="24.54296875" style="83" customWidth="1"/>
    <col min="58" max="58" width="14.453125" style="83" customWidth="1"/>
    <col min="59" max="16384" width="9.1796875" style="83"/>
  </cols>
  <sheetData>
    <row r="1" spans="1:58" ht="37.5" customHeight="1">
      <c r="H1" s="196"/>
      <c r="I1" s="196"/>
      <c r="L1" s="459"/>
      <c r="O1" s="196"/>
      <c r="Q1" s="460"/>
      <c r="R1" s="38"/>
      <c r="U1" s="196"/>
      <c r="AE1" s="196"/>
      <c r="AV1" s="459"/>
      <c r="AW1" s="196"/>
      <c r="AX1" s="196"/>
      <c r="AY1" s="196"/>
      <c r="AZ1" s="3"/>
      <c r="BE1" s="196"/>
      <c r="BF1" s="196" t="s">
        <v>539</v>
      </c>
    </row>
    <row r="2" spans="1:58" ht="14.15" customHeight="1">
      <c r="A2" s="404" t="s">
        <v>2</v>
      </c>
      <c r="D2" s="404">
        <v>1</v>
      </c>
      <c r="E2" s="404">
        <f>+D2+1</f>
        <v>2</v>
      </c>
      <c r="F2" s="404">
        <f t="shared" ref="F2:AV2" si="0">+E2+1</f>
        <v>3</v>
      </c>
      <c r="G2" s="404">
        <f t="shared" si="0"/>
        <v>4</v>
      </c>
      <c r="H2" s="404">
        <f t="shared" si="0"/>
        <v>5</v>
      </c>
      <c r="I2" s="404">
        <f t="shared" si="0"/>
        <v>6</v>
      </c>
      <c r="J2" s="404">
        <f t="shared" si="0"/>
        <v>7</v>
      </c>
      <c r="K2" s="404">
        <f t="shared" si="0"/>
        <v>8</v>
      </c>
      <c r="L2" s="404">
        <f t="shared" si="0"/>
        <v>9</v>
      </c>
      <c r="M2" s="404">
        <f t="shared" si="0"/>
        <v>10</v>
      </c>
      <c r="N2" s="404">
        <f t="shared" si="0"/>
        <v>11</v>
      </c>
      <c r="O2" s="404">
        <f t="shared" si="0"/>
        <v>12</v>
      </c>
      <c r="P2" s="404">
        <f t="shared" si="0"/>
        <v>13</v>
      </c>
      <c r="Q2" s="404">
        <f t="shared" si="0"/>
        <v>14</v>
      </c>
      <c r="R2" s="404">
        <f t="shared" si="0"/>
        <v>15</v>
      </c>
      <c r="S2" s="404">
        <f t="shared" si="0"/>
        <v>16</v>
      </c>
      <c r="T2" s="404">
        <f t="shared" si="0"/>
        <v>17</v>
      </c>
      <c r="U2" s="404">
        <f t="shared" si="0"/>
        <v>18</v>
      </c>
      <c r="V2" s="404">
        <f t="shared" si="0"/>
        <v>19</v>
      </c>
      <c r="W2" s="404">
        <f t="shared" si="0"/>
        <v>20</v>
      </c>
      <c r="X2" s="404">
        <f t="shared" si="0"/>
        <v>21</v>
      </c>
      <c r="Y2" s="404">
        <f t="shared" si="0"/>
        <v>22</v>
      </c>
      <c r="Z2" s="404">
        <f t="shared" si="0"/>
        <v>23</v>
      </c>
      <c r="AA2" s="404">
        <f t="shared" si="0"/>
        <v>24</v>
      </c>
      <c r="AB2" s="404">
        <f t="shared" si="0"/>
        <v>25</v>
      </c>
      <c r="AC2" s="404">
        <f t="shared" si="0"/>
        <v>26</v>
      </c>
      <c r="AD2" s="404">
        <f t="shared" si="0"/>
        <v>27</v>
      </c>
      <c r="AE2" s="404">
        <f t="shared" si="0"/>
        <v>28</v>
      </c>
      <c r="AF2" s="404">
        <f t="shared" si="0"/>
        <v>29</v>
      </c>
      <c r="AG2" s="404" t="s">
        <v>1102</v>
      </c>
      <c r="AH2" s="404">
        <v>36</v>
      </c>
      <c r="AI2" s="404">
        <f t="shared" si="0"/>
        <v>37</v>
      </c>
      <c r="AJ2" s="404">
        <f t="shared" si="0"/>
        <v>38</v>
      </c>
      <c r="AK2" s="404">
        <f t="shared" si="0"/>
        <v>39</v>
      </c>
      <c r="AL2" s="404">
        <f t="shared" si="0"/>
        <v>40</v>
      </c>
      <c r="AM2" s="404">
        <f t="shared" si="0"/>
        <v>41</v>
      </c>
      <c r="AN2" s="404">
        <f t="shared" si="0"/>
        <v>42</v>
      </c>
      <c r="AO2" s="404">
        <f t="shared" si="0"/>
        <v>43</v>
      </c>
      <c r="AP2" s="404">
        <f t="shared" si="0"/>
        <v>44</v>
      </c>
      <c r="AQ2" s="404">
        <f t="shared" si="0"/>
        <v>45</v>
      </c>
      <c r="AR2" s="404">
        <f t="shared" si="0"/>
        <v>46</v>
      </c>
      <c r="AS2" s="404">
        <f t="shared" si="0"/>
        <v>47</v>
      </c>
      <c r="AT2" s="404">
        <f t="shared" si="0"/>
        <v>48</v>
      </c>
      <c r="AU2" s="404">
        <f t="shared" si="0"/>
        <v>49</v>
      </c>
      <c r="AV2" s="404">
        <f t="shared" si="0"/>
        <v>50</v>
      </c>
      <c r="AW2" s="461" t="s">
        <v>1105</v>
      </c>
      <c r="AX2" s="461" t="s">
        <v>1106</v>
      </c>
      <c r="AY2" s="404">
        <v>52</v>
      </c>
      <c r="AZ2" s="404">
        <f>+AY2+1</f>
        <v>53</v>
      </c>
      <c r="BA2" s="404">
        <f t="shared" ref="BA2:BF2" si="1">+AZ2+1</f>
        <v>54</v>
      </c>
      <c r="BB2" s="404">
        <f t="shared" si="1"/>
        <v>55</v>
      </c>
      <c r="BC2" s="404">
        <f t="shared" si="1"/>
        <v>56</v>
      </c>
      <c r="BD2" s="404">
        <f t="shared" si="1"/>
        <v>57</v>
      </c>
      <c r="BE2" s="404">
        <f t="shared" si="1"/>
        <v>58</v>
      </c>
      <c r="BF2" s="479">
        <f t="shared" si="1"/>
        <v>59</v>
      </c>
    </row>
    <row r="3" spans="1:58" s="3" customFormat="1" ht="79.150000000000006" customHeight="1">
      <c r="A3" s="300" t="s">
        <v>6</v>
      </c>
      <c r="B3" s="300" t="s">
        <v>7</v>
      </c>
      <c r="C3" s="300"/>
      <c r="D3" s="462" t="s">
        <v>828</v>
      </c>
      <c r="E3" s="462" t="s">
        <v>1076</v>
      </c>
      <c r="F3" s="462" t="s">
        <v>888</v>
      </c>
      <c r="G3" s="462" t="s">
        <v>887</v>
      </c>
      <c r="H3" s="463" t="s">
        <v>1084</v>
      </c>
      <c r="I3" s="463" t="s">
        <v>1077</v>
      </c>
      <c r="J3" s="462" t="s">
        <v>831</v>
      </c>
      <c r="K3" s="462" t="s">
        <v>832</v>
      </c>
      <c r="L3" s="462" t="s">
        <v>1071</v>
      </c>
      <c r="M3" s="462" t="s">
        <v>889</v>
      </c>
      <c r="N3" s="463" t="s">
        <v>1072</v>
      </c>
      <c r="O3" s="462" t="s">
        <v>990</v>
      </c>
      <c r="P3" s="462" t="s">
        <v>1073</v>
      </c>
      <c r="Q3" s="463" t="s">
        <v>1173</v>
      </c>
      <c r="R3" s="462" t="s">
        <v>748</v>
      </c>
      <c r="S3" s="463" t="s">
        <v>827</v>
      </c>
      <c r="T3" s="462" t="s">
        <v>1151</v>
      </c>
      <c r="U3" s="463" t="s">
        <v>1078</v>
      </c>
      <c r="V3" s="462" t="s">
        <v>1069</v>
      </c>
      <c r="W3" s="462" t="s">
        <v>825</v>
      </c>
      <c r="X3" s="462" t="s">
        <v>1167</v>
      </c>
      <c r="Y3" s="462" t="s">
        <v>1152</v>
      </c>
      <c r="Z3" s="463" t="s">
        <v>1168</v>
      </c>
      <c r="AA3" s="463" t="s">
        <v>1172</v>
      </c>
      <c r="AB3" s="463" t="s">
        <v>1169</v>
      </c>
      <c r="AC3" s="462" t="s">
        <v>822</v>
      </c>
      <c r="AD3" s="462" t="s">
        <v>823</v>
      </c>
      <c r="AE3" s="463" t="s">
        <v>829</v>
      </c>
      <c r="AF3" s="462" t="s">
        <v>1111</v>
      </c>
      <c r="AG3" s="462" t="s">
        <v>824</v>
      </c>
      <c r="AH3" s="462" t="s">
        <v>826</v>
      </c>
      <c r="AI3" s="462" t="s">
        <v>1104</v>
      </c>
      <c r="AJ3" s="462" t="s">
        <v>1074</v>
      </c>
      <c r="AK3" s="462" t="s">
        <v>1075</v>
      </c>
      <c r="AL3" s="462" t="s">
        <v>1170</v>
      </c>
      <c r="AM3" s="462" t="s">
        <v>1171</v>
      </c>
      <c r="AN3" s="462" t="s">
        <v>844</v>
      </c>
      <c r="AO3" s="462" t="s">
        <v>882</v>
      </c>
      <c r="AP3" s="462" t="s">
        <v>883</v>
      </c>
      <c r="AQ3" s="463" t="s">
        <v>1153</v>
      </c>
      <c r="AR3" s="463" t="s">
        <v>1061</v>
      </c>
      <c r="AS3" s="463" t="s">
        <v>1062</v>
      </c>
      <c r="AT3" s="462" t="s">
        <v>1103</v>
      </c>
      <c r="AU3" s="462" t="s">
        <v>1068</v>
      </c>
      <c r="AV3" s="462" t="s">
        <v>995</v>
      </c>
      <c r="AW3" s="463" t="s">
        <v>1079</v>
      </c>
      <c r="AX3" s="463" t="s">
        <v>1079</v>
      </c>
      <c r="AY3" s="463" t="s">
        <v>1081</v>
      </c>
      <c r="AZ3" s="462" t="s">
        <v>1008</v>
      </c>
      <c r="BA3" s="462" t="s">
        <v>1011</v>
      </c>
      <c r="BB3" s="462" t="s">
        <v>1010</v>
      </c>
      <c r="BC3" s="462" t="s">
        <v>371</v>
      </c>
      <c r="BD3" s="462" t="s">
        <v>1070</v>
      </c>
      <c r="BE3" s="462" t="s">
        <v>1085</v>
      </c>
      <c r="BF3" s="463" t="s">
        <v>1080</v>
      </c>
    </row>
    <row r="4" spans="1:58" s="404" customFormat="1" ht="14.15" customHeight="1"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</row>
    <row r="5" spans="1:58" s="404" customFormat="1" ht="14.15" customHeight="1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</row>
    <row r="6" spans="1:58" ht="13.5" customHeight="1"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</row>
    <row r="7" spans="1:58" ht="14.15" customHeight="1">
      <c r="A7" s="404">
        <v>1</v>
      </c>
      <c r="B7" s="83" t="s">
        <v>316</v>
      </c>
      <c r="C7" s="38">
        <f>SUM(D7:BF7)</f>
        <v>-53897239.240777612</v>
      </c>
      <c r="D7" s="10">
        <f t="shared" ref="D7:I9" si="2">D254</f>
        <v>2449583</v>
      </c>
      <c r="E7" s="10">
        <f t="shared" si="2"/>
        <v>-515361.63697997667</v>
      </c>
      <c r="F7" s="10">
        <f t="shared" si="2"/>
        <v>145034</v>
      </c>
      <c r="G7" s="10">
        <f t="shared" si="2"/>
        <v>2712449.39</v>
      </c>
      <c r="H7" s="10">
        <f t="shared" si="2"/>
        <v>33001096.547184512</v>
      </c>
      <c r="I7" s="10">
        <f t="shared" si="2"/>
        <v>0</v>
      </c>
      <c r="J7" s="10">
        <f t="shared" ref="J7:J9" si="3">J254</f>
        <v>-5276.19</v>
      </c>
      <c r="K7" s="241">
        <f t="shared" ref="K7:L9" si="4">K254</f>
        <v>-19703413</v>
      </c>
      <c r="L7" s="241">
        <f t="shared" si="4"/>
        <v>-49418888</v>
      </c>
      <c r="M7" s="10">
        <f t="shared" ref="M7:R9" si="5">M254</f>
        <v>-16771447</v>
      </c>
      <c r="N7" s="10">
        <f t="shared" si="5"/>
        <v>0</v>
      </c>
      <c r="O7" s="10">
        <f t="shared" si="5"/>
        <v>-628079.1</v>
      </c>
      <c r="P7" s="10">
        <f t="shared" si="5"/>
        <v>-373893.79</v>
      </c>
      <c r="Q7" s="10">
        <f t="shared" si="5"/>
        <v>-3776111.9253208702</v>
      </c>
      <c r="R7" s="10">
        <f t="shared" si="5"/>
        <v>-1012931.5356612798</v>
      </c>
      <c r="S7" s="10">
        <f t="shared" ref="S7:S9" si="6">S254</f>
        <v>0</v>
      </c>
      <c r="T7" s="10">
        <f t="shared" ref="T7:U9" si="7">T254</f>
        <v>0</v>
      </c>
      <c r="U7" s="10">
        <f t="shared" si="7"/>
        <v>0</v>
      </c>
      <c r="V7" s="10">
        <f t="shared" ref="V7:V9" si="8">V254</f>
        <v>0</v>
      </c>
      <c r="W7" s="10">
        <f>W254</f>
        <v>0</v>
      </c>
      <c r="X7" s="10">
        <f t="shared" ref="X7:AD7" si="9">X254</f>
        <v>0</v>
      </c>
      <c r="Y7" s="10">
        <f>Y254</f>
        <v>0</v>
      </c>
      <c r="Z7" s="10">
        <f t="shared" si="9"/>
        <v>0</v>
      </c>
      <c r="AA7" s="10">
        <f t="shared" si="9"/>
        <v>0</v>
      </c>
      <c r="AB7" s="10">
        <f t="shared" si="9"/>
        <v>0</v>
      </c>
      <c r="AC7" s="10">
        <f t="shared" si="9"/>
        <v>0</v>
      </c>
      <c r="AD7" s="10">
        <f t="shared" si="9"/>
        <v>0</v>
      </c>
      <c r="AE7" s="10">
        <f t="shared" ref="AE7:AE9" si="10">AE254</f>
        <v>0</v>
      </c>
      <c r="AF7" s="10">
        <f t="shared" ref="AF7:AG9" si="11">AF254</f>
        <v>0</v>
      </c>
      <c r="AG7" s="10">
        <f t="shared" si="11"/>
        <v>0</v>
      </c>
      <c r="AH7" s="10">
        <f>AH254</f>
        <v>0</v>
      </c>
      <c r="AI7" s="10">
        <f t="shared" ref="AI7:AL7" si="12">AI254</f>
        <v>0</v>
      </c>
      <c r="AJ7" s="10">
        <f t="shared" si="12"/>
        <v>0</v>
      </c>
      <c r="AK7" s="10">
        <f t="shared" si="12"/>
        <v>0</v>
      </c>
      <c r="AL7" s="10">
        <f t="shared" si="12"/>
        <v>0</v>
      </c>
      <c r="AM7" s="10">
        <f t="shared" ref="AM7:AM9" si="13">AM254</f>
        <v>0</v>
      </c>
      <c r="AN7" s="10">
        <f>AN254</f>
        <v>0</v>
      </c>
      <c r="AO7" s="10">
        <f t="shared" ref="AO7:AP9" si="14">AO254</f>
        <v>0</v>
      </c>
      <c r="AP7" s="10">
        <f t="shared" si="14"/>
        <v>0</v>
      </c>
      <c r="AQ7" s="10">
        <f>AQ254</f>
        <v>0</v>
      </c>
      <c r="AR7" s="10">
        <f t="shared" ref="AR7:AR9" si="15">AR254</f>
        <v>0</v>
      </c>
      <c r="AS7" s="10">
        <f t="shared" ref="AS7:AS9" si="16">AS254</f>
        <v>0</v>
      </c>
      <c r="AT7" s="10">
        <f t="shared" ref="AT7" si="17">AT254</f>
        <v>0</v>
      </c>
      <c r="AU7" s="10">
        <f t="shared" ref="AU7" si="18">AU254</f>
        <v>0</v>
      </c>
      <c r="AV7" s="10">
        <f t="shared" ref="AV7" si="19">AV254</f>
        <v>0</v>
      </c>
      <c r="AW7" s="10">
        <f>AW254</f>
        <v>0</v>
      </c>
      <c r="AX7" s="10">
        <f t="shared" ref="AX7" si="20">AX254</f>
        <v>0</v>
      </c>
      <c r="AY7" s="10">
        <f t="shared" ref="AY7:AY9" si="21">AY254</f>
        <v>0</v>
      </c>
      <c r="AZ7" s="10">
        <f t="shared" ref="AZ7:AZ9" si="22">AZ254</f>
        <v>0</v>
      </c>
      <c r="BA7" s="10">
        <f>BA254</f>
        <v>0</v>
      </c>
      <c r="BB7" s="10">
        <f>BB254</f>
        <v>0</v>
      </c>
      <c r="BC7" s="10">
        <f>BC254</f>
        <v>0</v>
      </c>
      <c r="BD7" s="10">
        <f>BD254</f>
        <v>0</v>
      </c>
      <c r="BE7" s="10">
        <f t="shared" ref="BE7:BE9" si="23">BE254</f>
        <v>0</v>
      </c>
      <c r="BF7" s="10">
        <f t="shared" ref="BF7" si="24">BF254</f>
        <v>0</v>
      </c>
    </row>
    <row r="8" spans="1:58" ht="14.15" customHeight="1">
      <c r="A8" s="404">
        <f>A7+1</f>
        <v>2</v>
      </c>
      <c r="B8" s="123" t="s">
        <v>14</v>
      </c>
      <c r="C8" s="38">
        <f>SUM(D8:BF8)</f>
        <v>0</v>
      </c>
      <c r="D8" s="10">
        <f t="shared" si="2"/>
        <v>0</v>
      </c>
      <c r="E8" s="10">
        <f t="shared" si="2"/>
        <v>0</v>
      </c>
      <c r="F8" s="10">
        <f t="shared" si="2"/>
        <v>0</v>
      </c>
      <c r="G8" s="10">
        <f t="shared" si="2"/>
        <v>0</v>
      </c>
      <c r="H8" s="10">
        <f t="shared" si="2"/>
        <v>0</v>
      </c>
      <c r="I8" s="10">
        <f t="shared" si="2"/>
        <v>0</v>
      </c>
      <c r="J8" s="10">
        <f t="shared" si="3"/>
        <v>0</v>
      </c>
      <c r="K8" s="10">
        <f>K255</f>
        <v>0</v>
      </c>
      <c r="L8" s="10">
        <f t="shared" si="4"/>
        <v>0</v>
      </c>
      <c r="M8" s="10">
        <f t="shared" si="5"/>
        <v>0</v>
      </c>
      <c r="N8" s="10">
        <f t="shared" si="5"/>
        <v>0</v>
      </c>
      <c r="O8" s="10">
        <f t="shared" si="5"/>
        <v>0</v>
      </c>
      <c r="P8" s="10">
        <f t="shared" si="5"/>
        <v>0</v>
      </c>
      <c r="Q8" s="10">
        <f t="shared" si="5"/>
        <v>0</v>
      </c>
      <c r="R8" s="10">
        <f t="shared" si="5"/>
        <v>0</v>
      </c>
      <c r="S8" s="10">
        <f t="shared" si="6"/>
        <v>0</v>
      </c>
      <c r="T8" s="10">
        <f t="shared" si="7"/>
        <v>0</v>
      </c>
      <c r="U8" s="10">
        <f t="shared" si="7"/>
        <v>0</v>
      </c>
      <c r="V8" s="10">
        <f t="shared" si="8"/>
        <v>0</v>
      </c>
      <c r="W8" s="10">
        <f>W255</f>
        <v>0</v>
      </c>
      <c r="X8" s="10">
        <f t="shared" ref="X8:AD8" si="25">X255</f>
        <v>0</v>
      </c>
      <c r="Y8" s="10">
        <f>Y255</f>
        <v>0</v>
      </c>
      <c r="Z8" s="10">
        <f t="shared" si="25"/>
        <v>0</v>
      </c>
      <c r="AA8" s="10">
        <f t="shared" si="25"/>
        <v>0</v>
      </c>
      <c r="AB8" s="10">
        <f t="shared" si="25"/>
        <v>0</v>
      </c>
      <c r="AC8" s="10">
        <f t="shared" si="25"/>
        <v>0</v>
      </c>
      <c r="AD8" s="10">
        <f t="shared" si="25"/>
        <v>0</v>
      </c>
      <c r="AE8" s="10">
        <f t="shared" si="10"/>
        <v>0</v>
      </c>
      <c r="AF8" s="10">
        <f t="shared" si="11"/>
        <v>0</v>
      </c>
      <c r="AG8" s="10">
        <f t="shared" si="11"/>
        <v>0</v>
      </c>
      <c r="AH8" s="10">
        <f>AH255</f>
        <v>0</v>
      </c>
      <c r="AI8" s="10">
        <f t="shared" ref="AI8:AL8" si="26">AI255</f>
        <v>0</v>
      </c>
      <c r="AJ8" s="10">
        <f t="shared" si="26"/>
        <v>0</v>
      </c>
      <c r="AK8" s="10">
        <f t="shared" si="26"/>
        <v>0</v>
      </c>
      <c r="AL8" s="10">
        <f t="shared" si="26"/>
        <v>0</v>
      </c>
      <c r="AM8" s="10">
        <f t="shared" si="13"/>
        <v>0</v>
      </c>
      <c r="AN8" s="10">
        <f>AN255</f>
        <v>0</v>
      </c>
      <c r="AO8" s="10">
        <f t="shared" si="14"/>
        <v>0</v>
      </c>
      <c r="AP8" s="10">
        <f t="shared" si="14"/>
        <v>0</v>
      </c>
      <c r="AQ8" s="10">
        <f>AQ255</f>
        <v>0</v>
      </c>
      <c r="AR8" s="10">
        <f t="shared" si="15"/>
        <v>0</v>
      </c>
      <c r="AS8" s="10">
        <f t="shared" si="16"/>
        <v>0</v>
      </c>
      <c r="AT8" s="10">
        <f t="shared" ref="AT8" si="27">AT255</f>
        <v>0</v>
      </c>
      <c r="AU8" s="10">
        <f t="shared" ref="AU8" si="28">AU255</f>
        <v>0</v>
      </c>
      <c r="AV8" s="10">
        <f t="shared" ref="AV8:AV9" si="29">AV255</f>
        <v>0</v>
      </c>
      <c r="AW8" s="10">
        <f>AW255</f>
        <v>0</v>
      </c>
      <c r="AX8" s="10">
        <f t="shared" ref="AX8" si="30">AX255</f>
        <v>0</v>
      </c>
      <c r="AY8" s="10">
        <f t="shared" si="21"/>
        <v>0</v>
      </c>
      <c r="AZ8" s="10">
        <f t="shared" si="22"/>
        <v>0</v>
      </c>
      <c r="BA8" s="10">
        <f>BA255</f>
        <v>0</v>
      </c>
      <c r="BB8" s="10">
        <f t="shared" ref="BB8" si="31">BB255</f>
        <v>0</v>
      </c>
      <c r="BC8" s="10">
        <f>BC255</f>
        <v>0</v>
      </c>
      <c r="BD8" s="10">
        <f>BD255</f>
        <v>0</v>
      </c>
      <c r="BE8" s="10">
        <f t="shared" si="23"/>
        <v>0</v>
      </c>
      <c r="BF8" s="10">
        <f t="shared" ref="BF8" si="32">BF255</f>
        <v>0</v>
      </c>
    </row>
    <row r="9" spans="1:58" ht="14.15" customHeight="1">
      <c r="A9" s="404">
        <f>A8+1</f>
        <v>3</v>
      </c>
      <c r="B9" s="83" t="s">
        <v>15</v>
      </c>
      <c r="C9" s="38">
        <f>SUM(D9:BF9)</f>
        <v>0</v>
      </c>
      <c r="D9" s="10">
        <f t="shared" si="2"/>
        <v>0</v>
      </c>
      <c r="E9" s="10">
        <f t="shared" si="2"/>
        <v>0</v>
      </c>
      <c r="F9" s="10">
        <f t="shared" si="2"/>
        <v>0</v>
      </c>
      <c r="G9" s="10">
        <f t="shared" si="2"/>
        <v>0</v>
      </c>
      <c r="H9" s="10">
        <f t="shared" si="2"/>
        <v>0</v>
      </c>
      <c r="I9" s="10">
        <f t="shared" si="2"/>
        <v>0</v>
      </c>
      <c r="J9" s="10">
        <f t="shared" si="3"/>
        <v>0</v>
      </c>
      <c r="K9" s="10">
        <f>K256</f>
        <v>0</v>
      </c>
      <c r="L9" s="10">
        <f t="shared" si="4"/>
        <v>0</v>
      </c>
      <c r="M9" s="10">
        <f t="shared" si="5"/>
        <v>0</v>
      </c>
      <c r="N9" s="10">
        <f t="shared" si="5"/>
        <v>0</v>
      </c>
      <c r="O9" s="10">
        <f t="shared" si="5"/>
        <v>0</v>
      </c>
      <c r="P9" s="10">
        <f t="shared" si="5"/>
        <v>0</v>
      </c>
      <c r="Q9" s="10">
        <f t="shared" si="5"/>
        <v>0</v>
      </c>
      <c r="R9" s="10">
        <f t="shared" si="5"/>
        <v>0</v>
      </c>
      <c r="S9" s="10">
        <f t="shared" si="6"/>
        <v>0</v>
      </c>
      <c r="T9" s="10">
        <f t="shared" si="7"/>
        <v>0</v>
      </c>
      <c r="U9" s="10">
        <f t="shared" si="7"/>
        <v>0</v>
      </c>
      <c r="V9" s="10">
        <f t="shared" si="8"/>
        <v>0</v>
      </c>
      <c r="W9" s="10">
        <f>W256</f>
        <v>0</v>
      </c>
      <c r="X9" s="10">
        <f t="shared" ref="X9:AD9" si="33">X256</f>
        <v>0</v>
      </c>
      <c r="Y9" s="10">
        <f>Y256</f>
        <v>0</v>
      </c>
      <c r="Z9" s="10">
        <f t="shared" si="33"/>
        <v>0</v>
      </c>
      <c r="AA9" s="10">
        <f t="shared" si="33"/>
        <v>0</v>
      </c>
      <c r="AB9" s="10">
        <f t="shared" si="33"/>
        <v>0</v>
      </c>
      <c r="AC9" s="10">
        <f t="shared" si="33"/>
        <v>0</v>
      </c>
      <c r="AD9" s="10">
        <f t="shared" si="33"/>
        <v>0</v>
      </c>
      <c r="AE9" s="10">
        <f t="shared" si="10"/>
        <v>0</v>
      </c>
      <c r="AF9" s="10">
        <f t="shared" si="11"/>
        <v>0</v>
      </c>
      <c r="AG9" s="10">
        <f t="shared" si="11"/>
        <v>0</v>
      </c>
      <c r="AH9" s="10">
        <f>AH256</f>
        <v>0</v>
      </c>
      <c r="AI9" s="10">
        <f t="shared" ref="AI9:AL9" si="34">AI256</f>
        <v>0</v>
      </c>
      <c r="AJ9" s="10">
        <f t="shared" si="34"/>
        <v>0</v>
      </c>
      <c r="AK9" s="10">
        <f t="shared" si="34"/>
        <v>0</v>
      </c>
      <c r="AL9" s="10">
        <f t="shared" si="34"/>
        <v>0</v>
      </c>
      <c r="AM9" s="10">
        <f t="shared" si="13"/>
        <v>0</v>
      </c>
      <c r="AN9" s="10">
        <f>AN256</f>
        <v>0</v>
      </c>
      <c r="AO9" s="10">
        <f t="shared" si="14"/>
        <v>0</v>
      </c>
      <c r="AP9" s="10">
        <f t="shared" si="14"/>
        <v>0</v>
      </c>
      <c r="AQ9" s="10">
        <f>AQ256</f>
        <v>0</v>
      </c>
      <c r="AR9" s="10">
        <f t="shared" si="15"/>
        <v>0</v>
      </c>
      <c r="AS9" s="10">
        <f t="shared" si="16"/>
        <v>0</v>
      </c>
      <c r="AT9" s="10">
        <f t="shared" ref="AT9" si="35">AT256</f>
        <v>0</v>
      </c>
      <c r="AU9" s="10">
        <f t="shared" ref="AU9" si="36">AU256</f>
        <v>0</v>
      </c>
      <c r="AV9" s="10">
        <f t="shared" si="29"/>
        <v>0</v>
      </c>
      <c r="AW9" s="10">
        <f>AW256</f>
        <v>0</v>
      </c>
      <c r="AX9" s="10">
        <f t="shared" ref="AX9" si="37">AX256</f>
        <v>0</v>
      </c>
      <c r="AY9" s="10">
        <f t="shared" si="21"/>
        <v>0</v>
      </c>
      <c r="AZ9" s="10">
        <f t="shared" si="22"/>
        <v>0</v>
      </c>
      <c r="BA9" s="10">
        <f>BA256</f>
        <v>0</v>
      </c>
      <c r="BB9" s="10">
        <f t="shared" ref="BB9" si="38">BB256</f>
        <v>0</v>
      </c>
      <c r="BC9" s="10">
        <f>BC256</f>
        <v>0</v>
      </c>
      <c r="BD9" s="10">
        <f>BD256</f>
        <v>0</v>
      </c>
      <c r="BE9" s="10">
        <f t="shared" si="23"/>
        <v>0</v>
      </c>
      <c r="BF9" s="10">
        <f t="shared" ref="BF9" si="39">BF256</f>
        <v>0</v>
      </c>
    </row>
    <row r="10" spans="1:58" ht="14.15" customHeight="1">
      <c r="A10" s="404">
        <f>+A9+1</f>
        <v>4</v>
      </c>
      <c r="B10" s="83" t="s">
        <v>16</v>
      </c>
      <c r="C10" s="38">
        <f>SUM(D10:BF10)</f>
        <v>-2939757.4900000291</v>
      </c>
      <c r="D10" s="10">
        <f t="shared" ref="D10:I10" si="40">D291</f>
        <v>0</v>
      </c>
      <c r="E10" s="10">
        <f t="shared" si="40"/>
        <v>0</v>
      </c>
      <c r="F10" s="10">
        <f t="shared" si="40"/>
        <v>0</v>
      </c>
      <c r="G10" s="10">
        <f t="shared" si="40"/>
        <v>0</v>
      </c>
      <c r="H10" s="10">
        <f t="shared" si="40"/>
        <v>0</v>
      </c>
      <c r="I10" s="10">
        <f t="shared" si="40"/>
        <v>643148</v>
      </c>
      <c r="J10" s="10">
        <f t="shared" ref="J10:V10" si="41">J291</f>
        <v>0</v>
      </c>
      <c r="K10" s="10">
        <f t="shared" ref="K10:U10" si="42">K291</f>
        <v>0</v>
      </c>
      <c r="L10" s="10">
        <f t="shared" si="42"/>
        <v>0</v>
      </c>
      <c r="M10" s="10">
        <f t="shared" si="42"/>
        <v>0</v>
      </c>
      <c r="N10" s="10">
        <f t="shared" si="42"/>
        <v>-573589.96</v>
      </c>
      <c r="O10" s="10">
        <f t="shared" si="42"/>
        <v>0</v>
      </c>
      <c r="P10" s="10">
        <f t="shared" si="42"/>
        <v>0</v>
      </c>
      <c r="Q10" s="10">
        <f t="shared" si="42"/>
        <v>0</v>
      </c>
      <c r="R10" s="10">
        <f t="shared" si="42"/>
        <v>0</v>
      </c>
      <c r="S10" s="10">
        <f t="shared" si="42"/>
        <v>-4256853</v>
      </c>
      <c r="T10" s="10">
        <f t="shared" si="42"/>
        <v>-271393.99</v>
      </c>
      <c r="U10" s="10">
        <f t="shared" si="42"/>
        <v>1518931.4599999713</v>
      </c>
      <c r="V10" s="10">
        <f t="shared" si="41"/>
        <v>0</v>
      </c>
      <c r="W10" s="10">
        <f>W291</f>
        <v>0</v>
      </c>
      <c r="X10" s="10">
        <f t="shared" ref="X10:AD10" si="43">X291</f>
        <v>0</v>
      </c>
      <c r="Y10" s="10">
        <f>Y291</f>
        <v>0</v>
      </c>
      <c r="Z10" s="10">
        <f t="shared" si="43"/>
        <v>0</v>
      </c>
      <c r="AA10" s="10">
        <f t="shared" si="43"/>
        <v>0</v>
      </c>
      <c r="AB10" s="10">
        <f t="shared" si="43"/>
        <v>0</v>
      </c>
      <c r="AC10" s="10">
        <f t="shared" si="43"/>
        <v>0</v>
      </c>
      <c r="AD10" s="10">
        <f t="shared" si="43"/>
        <v>0</v>
      </c>
      <c r="AE10" s="10">
        <f>AE291</f>
        <v>0</v>
      </c>
      <c r="AF10" s="10">
        <f>AF291</f>
        <v>0</v>
      </c>
      <c r="AG10" s="10">
        <f>AG291</f>
        <v>0</v>
      </c>
      <c r="AH10" s="10">
        <f t="shared" ref="AH10" si="44">AH291</f>
        <v>0</v>
      </c>
      <c r="AI10" s="10">
        <f t="shared" ref="AI10:AL10" si="45">AI291</f>
        <v>0</v>
      </c>
      <c r="AJ10" s="10">
        <f t="shared" si="45"/>
        <v>0</v>
      </c>
      <c r="AK10" s="10">
        <f t="shared" si="45"/>
        <v>0</v>
      </c>
      <c r="AL10" s="10">
        <f t="shared" si="45"/>
        <v>0</v>
      </c>
      <c r="AM10" s="10">
        <f>AM291</f>
        <v>0</v>
      </c>
      <c r="AN10" s="10">
        <f>AN291</f>
        <v>0</v>
      </c>
      <c r="AO10" s="10">
        <f>AO291</f>
        <v>0</v>
      </c>
      <c r="AP10" s="10">
        <f>AP291</f>
        <v>0</v>
      </c>
      <c r="AQ10" s="10">
        <f>AQ291</f>
        <v>0</v>
      </c>
      <c r="AR10" s="10">
        <f t="shared" ref="AR10" si="46">AR291</f>
        <v>0</v>
      </c>
      <c r="AS10" s="10">
        <f>AS291</f>
        <v>0</v>
      </c>
      <c r="AT10" s="10">
        <f t="shared" ref="AT10" si="47">AT291</f>
        <v>0</v>
      </c>
      <c r="AU10" s="10">
        <f t="shared" ref="AU10" si="48">AU291</f>
        <v>0</v>
      </c>
      <c r="AV10" s="10">
        <f t="shared" ref="AV10" si="49">AV291</f>
        <v>0</v>
      </c>
      <c r="AW10" s="10">
        <f>AW291</f>
        <v>0</v>
      </c>
      <c r="AX10" s="10">
        <f t="shared" ref="AX10" si="50">AX291</f>
        <v>0</v>
      </c>
      <c r="AY10" s="10">
        <f t="shared" ref="AY10:BF10" si="51">AY291</f>
        <v>0</v>
      </c>
      <c r="AZ10" s="10">
        <f t="shared" si="51"/>
        <v>0</v>
      </c>
      <c r="BA10" s="10">
        <f t="shared" si="51"/>
        <v>0</v>
      </c>
      <c r="BB10" s="10">
        <f t="shared" si="51"/>
        <v>0</v>
      </c>
      <c r="BC10" s="10">
        <f t="shared" si="51"/>
        <v>0</v>
      </c>
      <c r="BD10" s="10">
        <f t="shared" si="51"/>
        <v>0</v>
      </c>
      <c r="BE10" s="10">
        <f t="shared" si="51"/>
        <v>0</v>
      </c>
      <c r="BF10" s="10">
        <f t="shared" si="51"/>
        <v>0</v>
      </c>
    </row>
    <row r="11" spans="1:58" ht="14.15" customHeight="1">
      <c r="A11" s="404">
        <f t="shared" ref="A11:A74" si="52">+A10+1</f>
        <v>5</v>
      </c>
      <c r="B11" s="56" t="s">
        <v>17</v>
      </c>
      <c r="C11" s="197">
        <f>SUM(D11:BF11)</f>
        <v>316449.31359999999</v>
      </c>
      <c r="D11" s="64">
        <f t="shared" ref="D11:I11" si="53">D262</f>
        <v>0</v>
      </c>
      <c r="E11" s="64">
        <f t="shared" si="53"/>
        <v>0</v>
      </c>
      <c r="F11" s="64">
        <f t="shared" si="53"/>
        <v>0</v>
      </c>
      <c r="G11" s="64">
        <f t="shared" si="53"/>
        <v>0</v>
      </c>
      <c r="H11" s="64">
        <f t="shared" si="53"/>
        <v>0</v>
      </c>
      <c r="I11" s="64">
        <f t="shared" si="53"/>
        <v>0</v>
      </c>
      <c r="J11" s="64">
        <f t="shared" ref="J11:V11" si="54">J262</f>
        <v>0</v>
      </c>
      <c r="K11" s="64">
        <f t="shared" ref="K11:U11" si="55">K262</f>
        <v>0</v>
      </c>
      <c r="L11" s="64">
        <f t="shared" si="55"/>
        <v>0</v>
      </c>
      <c r="M11" s="64">
        <f t="shared" si="55"/>
        <v>0</v>
      </c>
      <c r="N11" s="64">
        <f t="shared" si="55"/>
        <v>0</v>
      </c>
      <c r="O11" s="64">
        <f t="shared" si="55"/>
        <v>0</v>
      </c>
      <c r="P11" s="64">
        <f t="shared" si="55"/>
        <v>0</v>
      </c>
      <c r="Q11" s="64">
        <f t="shared" si="55"/>
        <v>0</v>
      </c>
      <c r="R11" s="64">
        <f t="shared" si="55"/>
        <v>0</v>
      </c>
      <c r="S11" s="64">
        <f t="shared" si="55"/>
        <v>0</v>
      </c>
      <c r="T11" s="64">
        <f t="shared" si="55"/>
        <v>0</v>
      </c>
      <c r="U11" s="64">
        <f t="shared" si="55"/>
        <v>316449.31359999999</v>
      </c>
      <c r="V11" s="64">
        <f t="shared" si="54"/>
        <v>0</v>
      </c>
      <c r="W11" s="64">
        <f>W262</f>
        <v>0</v>
      </c>
      <c r="X11" s="64">
        <f t="shared" ref="X11:AD11" si="56">X262</f>
        <v>0</v>
      </c>
      <c r="Y11" s="64">
        <f>Y262</f>
        <v>0</v>
      </c>
      <c r="Z11" s="64">
        <f t="shared" si="56"/>
        <v>0</v>
      </c>
      <c r="AA11" s="64">
        <f t="shared" si="56"/>
        <v>0</v>
      </c>
      <c r="AB11" s="64">
        <f t="shared" si="56"/>
        <v>0</v>
      </c>
      <c r="AC11" s="64">
        <f t="shared" si="56"/>
        <v>0</v>
      </c>
      <c r="AD11" s="64">
        <f t="shared" si="56"/>
        <v>0</v>
      </c>
      <c r="AE11" s="64">
        <f>AE262</f>
        <v>0</v>
      </c>
      <c r="AF11" s="64">
        <f>AF262</f>
        <v>0</v>
      </c>
      <c r="AG11" s="64">
        <f>AG262</f>
        <v>0</v>
      </c>
      <c r="AH11" s="64">
        <f t="shared" ref="AH11" si="57">AH262</f>
        <v>0</v>
      </c>
      <c r="AI11" s="64">
        <f t="shared" ref="AI11:AL11" si="58">AI262</f>
        <v>0</v>
      </c>
      <c r="AJ11" s="64">
        <f t="shared" si="58"/>
        <v>0</v>
      </c>
      <c r="AK11" s="64">
        <f t="shared" si="58"/>
        <v>0</v>
      </c>
      <c r="AL11" s="64">
        <f t="shared" si="58"/>
        <v>0</v>
      </c>
      <c r="AM11" s="64">
        <f>AM262</f>
        <v>0</v>
      </c>
      <c r="AN11" s="64">
        <f>AN262</f>
        <v>0</v>
      </c>
      <c r="AO11" s="64">
        <f>AO262</f>
        <v>0</v>
      </c>
      <c r="AP11" s="64">
        <f>AP262</f>
        <v>0</v>
      </c>
      <c r="AQ11" s="64">
        <f>AQ262</f>
        <v>0</v>
      </c>
      <c r="AR11" s="64">
        <f t="shared" ref="AR11" si="59">AR262</f>
        <v>0</v>
      </c>
      <c r="AS11" s="64">
        <f>AS262</f>
        <v>0</v>
      </c>
      <c r="AT11" s="64">
        <f t="shared" ref="AT11" si="60">AT262</f>
        <v>0</v>
      </c>
      <c r="AU11" s="64">
        <f t="shared" ref="AU11" si="61">AU262</f>
        <v>0</v>
      </c>
      <c r="AV11" s="64">
        <f t="shared" ref="AV11" si="62">AV262</f>
        <v>0</v>
      </c>
      <c r="AW11" s="64">
        <f>AW262</f>
        <v>0</v>
      </c>
      <c r="AX11" s="64">
        <f t="shared" ref="AX11" si="63">AX262</f>
        <v>0</v>
      </c>
      <c r="AY11" s="64">
        <f t="shared" ref="AY11:BF11" si="64">AY262</f>
        <v>0</v>
      </c>
      <c r="AZ11" s="64">
        <f t="shared" si="64"/>
        <v>0</v>
      </c>
      <c r="BA11" s="64">
        <f t="shared" si="64"/>
        <v>0</v>
      </c>
      <c r="BB11" s="64">
        <f t="shared" si="64"/>
        <v>0</v>
      </c>
      <c r="BC11" s="64">
        <f t="shared" si="64"/>
        <v>0</v>
      </c>
      <c r="BD11" s="64">
        <f t="shared" si="64"/>
        <v>0</v>
      </c>
      <c r="BE11" s="64">
        <f t="shared" si="64"/>
        <v>0</v>
      </c>
      <c r="BF11" s="64">
        <f t="shared" si="64"/>
        <v>0</v>
      </c>
    </row>
    <row r="12" spans="1:58" s="18" customFormat="1" ht="14.15" customHeight="1">
      <c r="A12" s="404">
        <f t="shared" si="52"/>
        <v>6</v>
      </c>
      <c r="B12" s="2" t="s">
        <v>18</v>
      </c>
      <c r="C12" s="16">
        <f t="shared" ref="C12:V12" si="65">SUM(C7:C11)</f>
        <v>-56520547.417177647</v>
      </c>
      <c r="D12" s="16">
        <f t="shared" ref="D12:I12" si="66">SUM(D7:D11)</f>
        <v>2449583</v>
      </c>
      <c r="E12" s="16">
        <f t="shared" si="66"/>
        <v>-515361.63697997667</v>
      </c>
      <c r="F12" s="16">
        <f t="shared" si="66"/>
        <v>145034</v>
      </c>
      <c r="G12" s="16">
        <f t="shared" si="66"/>
        <v>2712449.39</v>
      </c>
      <c r="H12" s="16">
        <f t="shared" si="66"/>
        <v>33001096.547184512</v>
      </c>
      <c r="I12" s="16">
        <f t="shared" si="66"/>
        <v>643148</v>
      </c>
      <c r="J12" s="16">
        <f t="shared" si="65"/>
        <v>-5276.19</v>
      </c>
      <c r="K12" s="16">
        <f t="shared" ref="K12:U12" si="67">SUM(K7:K11)</f>
        <v>-19703413</v>
      </c>
      <c r="L12" s="16">
        <f t="shared" si="67"/>
        <v>-49418888</v>
      </c>
      <c r="M12" s="16">
        <f t="shared" si="67"/>
        <v>-16771447</v>
      </c>
      <c r="N12" s="16">
        <f t="shared" si="67"/>
        <v>-573589.96</v>
      </c>
      <c r="O12" s="16">
        <f t="shared" si="67"/>
        <v>-628079.1</v>
      </c>
      <c r="P12" s="16">
        <f t="shared" si="67"/>
        <v>-373893.79</v>
      </c>
      <c r="Q12" s="16">
        <f t="shared" si="67"/>
        <v>-3776111.9253208702</v>
      </c>
      <c r="R12" s="16">
        <f t="shared" si="67"/>
        <v>-1012931.5356612798</v>
      </c>
      <c r="S12" s="16">
        <f t="shared" si="67"/>
        <v>-4256853</v>
      </c>
      <c r="T12" s="16">
        <f t="shared" si="67"/>
        <v>-271393.99</v>
      </c>
      <c r="U12" s="16">
        <f t="shared" si="67"/>
        <v>1835380.7735999713</v>
      </c>
      <c r="V12" s="16">
        <f t="shared" si="65"/>
        <v>0</v>
      </c>
      <c r="W12" s="16">
        <f>SUM(W7:W11)</f>
        <v>0</v>
      </c>
      <c r="X12" s="16">
        <f t="shared" ref="X12:AD12" si="68">SUM(X7:X11)</f>
        <v>0</v>
      </c>
      <c r="Y12" s="16">
        <f>SUM(Y7:Y11)</f>
        <v>0</v>
      </c>
      <c r="Z12" s="16">
        <f t="shared" si="68"/>
        <v>0</v>
      </c>
      <c r="AA12" s="16">
        <f t="shared" si="68"/>
        <v>0</v>
      </c>
      <c r="AB12" s="16">
        <f t="shared" si="68"/>
        <v>0</v>
      </c>
      <c r="AC12" s="16">
        <f t="shared" si="68"/>
        <v>0</v>
      </c>
      <c r="AD12" s="16">
        <f t="shared" si="68"/>
        <v>0</v>
      </c>
      <c r="AE12" s="16">
        <f>SUM(AE7:AE11)</f>
        <v>0</v>
      </c>
      <c r="AF12" s="16">
        <f>SUM(AF7:AF11)</f>
        <v>0</v>
      </c>
      <c r="AG12" s="16">
        <f>SUM(AG7:AG11)</f>
        <v>0</v>
      </c>
      <c r="AH12" s="16">
        <f t="shared" ref="AH12" si="69">SUM(AH7:AH11)</f>
        <v>0</v>
      </c>
      <c r="AI12" s="16">
        <f t="shared" ref="AI12:AL12" si="70">SUM(AI7:AI11)</f>
        <v>0</v>
      </c>
      <c r="AJ12" s="16">
        <f t="shared" si="70"/>
        <v>0</v>
      </c>
      <c r="AK12" s="16">
        <f t="shared" si="70"/>
        <v>0</v>
      </c>
      <c r="AL12" s="16">
        <f t="shared" si="70"/>
        <v>0</v>
      </c>
      <c r="AM12" s="16">
        <f>SUM(AM7:AM11)</f>
        <v>0</v>
      </c>
      <c r="AN12" s="16">
        <f>SUM(AN7:AN11)</f>
        <v>0</v>
      </c>
      <c r="AO12" s="16">
        <f>SUM(AO7:AO11)</f>
        <v>0</v>
      </c>
      <c r="AP12" s="16">
        <f>SUM(AP7:AP11)</f>
        <v>0</v>
      </c>
      <c r="AQ12" s="16">
        <f>SUM(AQ7:AQ11)</f>
        <v>0</v>
      </c>
      <c r="AR12" s="16">
        <f t="shared" ref="AR12" si="71">SUM(AR7:AR11)</f>
        <v>0</v>
      </c>
      <c r="AS12" s="16">
        <f>SUM(AS7:AS11)</f>
        <v>0</v>
      </c>
      <c r="AT12" s="16">
        <f t="shared" ref="AT12" si="72">SUM(AT7:AT11)</f>
        <v>0</v>
      </c>
      <c r="AU12" s="16">
        <f t="shared" ref="AU12" si="73">SUM(AU7:AU11)</f>
        <v>0</v>
      </c>
      <c r="AV12" s="16">
        <f t="shared" ref="AV12" si="74">SUM(AV7:AV11)</f>
        <v>0</v>
      </c>
      <c r="AW12" s="16">
        <f>SUM(AW7:AW11)</f>
        <v>0</v>
      </c>
      <c r="AX12" s="16">
        <f t="shared" ref="AX12" si="75">SUM(AX7:AX11)</f>
        <v>0</v>
      </c>
      <c r="AY12" s="16">
        <f t="shared" ref="AY12:BF12" si="76">SUM(AY7:AY11)</f>
        <v>0</v>
      </c>
      <c r="AZ12" s="16">
        <f t="shared" si="76"/>
        <v>0</v>
      </c>
      <c r="BA12" s="16">
        <f t="shared" si="76"/>
        <v>0</v>
      </c>
      <c r="BB12" s="16">
        <f t="shared" si="76"/>
        <v>0</v>
      </c>
      <c r="BC12" s="16">
        <f t="shared" si="76"/>
        <v>0</v>
      </c>
      <c r="BD12" s="16">
        <f t="shared" si="76"/>
        <v>0</v>
      </c>
      <c r="BE12" s="16">
        <f t="shared" si="76"/>
        <v>0</v>
      </c>
      <c r="BF12" s="16">
        <f t="shared" si="76"/>
        <v>0</v>
      </c>
    </row>
    <row r="13" spans="1:58" s="18" customFormat="1" ht="14.15" customHeight="1">
      <c r="A13" s="404">
        <f t="shared" si="52"/>
        <v>7</v>
      </c>
      <c r="B13" s="6"/>
      <c r="C13" s="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</row>
    <row r="14" spans="1:58" ht="14.15" customHeight="1">
      <c r="A14" s="404">
        <f t="shared" si="52"/>
        <v>8</v>
      </c>
      <c r="B14" s="3" t="s">
        <v>19</v>
      </c>
      <c r="C14" s="3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</row>
    <row r="15" spans="1:58" ht="14.15" customHeight="1">
      <c r="A15" s="404">
        <f t="shared" si="52"/>
        <v>9</v>
      </c>
      <c r="B15" s="83" t="s">
        <v>20</v>
      </c>
      <c r="C15" s="38">
        <f t="shared" ref="C15:C22" si="77">SUM(D15:BF15)</f>
        <v>-41409833.259649344</v>
      </c>
      <c r="D15" s="10">
        <f t="shared" ref="D15:I15" si="78">D332</f>
        <v>0</v>
      </c>
      <c r="E15" s="10">
        <f t="shared" si="78"/>
        <v>0</v>
      </c>
      <c r="F15" s="10">
        <f t="shared" si="78"/>
        <v>0</v>
      </c>
      <c r="G15" s="10">
        <f t="shared" si="78"/>
        <v>0</v>
      </c>
      <c r="H15" s="10">
        <f t="shared" si="78"/>
        <v>0</v>
      </c>
      <c r="I15" s="10">
        <f t="shared" si="78"/>
        <v>0</v>
      </c>
      <c r="J15" s="10">
        <f t="shared" ref="J15:V15" si="79">J332</f>
        <v>0</v>
      </c>
      <c r="K15" s="10">
        <f t="shared" ref="K15:U15" si="80">K332</f>
        <v>0</v>
      </c>
      <c r="L15" s="10">
        <f t="shared" si="80"/>
        <v>-42632032</v>
      </c>
      <c r="M15" s="10">
        <f t="shared" si="80"/>
        <v>611599</v>
      </c>
      <c r="N15" s="10">
        <f t="shared" si="80"/>
        <v>0</v>
      </c>
      <c r="O15" s="10">
        <f t="shared" si="80"/>
        <v>0</v>
      </c>
      <c r="P15" s="10">
        <f t="shared" si="80"/>
        <v>0</v>
      </c>
      <c r="Q15" s="10">
        <f t="shared" si="80"/>
        <v>-1596917.7332181961</v>
      </c>
      <c r="R15" s="10">
        <f t="shared" si="80"/>
        <v>-428368.74643115525</v>
      </c>
      <c r="S15" s="10">
        <f t="shared" si="80"/>
        <v>0</v>
      </c>
      <c r="T15" s="10">
        <f t="shared" si="80"/>
        <v>0</v>
      </c>
      <c r="U15" s="10">
        <f t="shared" si="80"/>
        <v>4309513.5300000077</v>
      </c>
      <c r="V15" s="10">
        <f t="shared" si="79"/>
        <v>-3541349</v>
      </c>
      <c r="W15" s="10">
        <f>W332</f>
        <v>0</v>
      </c>
      <c r="X15" s="10">
        <f t="shared" ref="X15:AD15" si="81">X332</f>
        <v>0</v>
      </c>
      <c r="Y15" s="10">
        <f>Y332</f>
        <v>0</v>
      </c>
      <c r="Z15" s="10">
        <f t="shared" si="81"/>
        <v>0</v>
      </c>
      <c r="AA15" s="10">
        <f t="shared" si="81"/>
        <v>0</v>
      </c>
      <c r="AB15" s="10">
        <f t="shared" si="81"/>
        <v>8701.0299999999988</v>
      </c>
      <c r="AC15" s="10">
        <f t="shared" si="81"/>
        <v>0</v>
      </c>
      <c r="AD15" s="10">
        <f t="shared" si="81"/>
        <v>0</v>
      </c>
      <c r="AE15" s="10">
        <f>AE332</f>
        <v>0</v>
      </c>
      <c r="AF15" s="10">
        <f>AF332</f>
        <v>-741761</v>
      </c>
      <c r="AG15" s="10">
        <f>AG332</f>
        <v>1388584.01</v>
      </c>
      <c r="AH15" s="10">
        <f t="shared" ref="AH15" si="82">AH332</f>
        <v>0</v>
      </c>
      <c r="AI15" s="10">
        <f t="shared" ref="AI15:AL15" si="83">AI332</f>
        <v>0</v>
      </c>
      <c r="AJ15" s="10">
        <f t="shared" si="83"/>
        <v>0</v>
      </c>
      <c r="AK15" s="10">
        <f t="shared" si="83"/>
        <v>0</v>
      </c>
      <c r="AL15" s="10">
        <f t="shared" si="83"/>
        <v>0</v>
      </c>
      <c r="AM15" s="10">
        <f>AM332</f>
        <v>0</v>
      </c>
      <c r="AN15" s="10">
        <f>AN332</f>
        <v>0</v>
      </c>
      <c r="AO15" s="10">
        <f>AO332</f>
        <v>0</v>
      </c>
      <c r="AP15" s="10">
        <f>AP332</f>
        <v>0</v>
      </c>
      <c r="AQ15" s="10">
        <f>AQ332</f>
        <v>1212197.6499999999</v>
      </c>
      <c r="AR15" s="10">
        <f t="shared" ref="AR15" si="84">AR332</f>
        <v>0</v>
      </c>
      <c r="AS15" s="10">
        <f>AS332</f>
        <v>0</v>
      </c>
      <c r="AT15" s="10">
        <f t="shared" ref="AT15" si="85">AT332</f>
        <v>0</v>
      </c>
      <c r="AU15" s="10">
        <f t="shared" ref="AU15" si="86">AU332</f>
        <v>0</v>
      </c>
      <c r="AV15" s="10">
        <f t="shared" ref="AV15" si="87">AV332</f>
        <v>0</v>
      </c>
      <c r="AW15" s="10">
        <f>AW332</f>
        <v>0</v>
      </c>
      <c r="AX15" s="10">
        <f t="shared" ref="AX15" si="88">AX332</f>
        <v>0</v>
      </c>
      <c r="AY15" s="10">
        <f t="shared" ref="AY15:BF15" si="89">AY332</f>
        <v>0</v>
      </c>
      <c r="AZ15" s="10">
        <f t="shared" si="89"/>
        <v>0</v>
      </c>
      <c r="BA15" s="10">
        <f t="shared" si="89"/>
        <v>0</v>
      </c>
      <c r="BB15" s="10">
        <f t="shared" si="89"/>
        <v>0</v>
      </c>
      <c r="BC15" s="10">
        <f t="shared" si="89"/>
        <v>0</v>
      </c>
      <c r="BD15" s="10">
        <f t="shared" si="89"/>
        <v>0</v>
      </c>
      <c r="BE15" s="10">
        <f t="shared" si="89"/>
        <v>0</v>
      </c>
      <c r="BF15" s="10">
        <f t="shared" si="89"/>
        <v>0</v>
      </c>
    </row>
    <row r="16" spans="1:58" ht="14.15" customHeight="1">
      <c r="A16" s="404">
        <f t="shared" si="52"/>
        <v>10</v>
      </c>
      <c r="B16" s="83" t="s">
        <v>21</v>
      </c>
      <c r="C16" s="38">
        <f t="shared" si="77"/>
        <v>1762451.7700000228</v>
      </c>
      <c r="D16" s="10">
        <f t="shared" ref="D16:I16" si="90">D359</f>
        <v>0</v>
      </c>
      <c r="E16" s="10">
        <f t="shared" si="90"/>
        <v>0</v>
      </c>
      <c r="F16" s="10">
        <f t="shared" si="90"/>
        <v>0</v>
      </c>
      <c r="G16" s="10">
        <f t="shared" si="90"/>
        <v>0</v>
      </c>
      <c r="H16" s="10">
        <f t="shared" si="90"/>
        <v>0</v>
      </c>
      <c r="I16" s="10">
        <f t="shared" si="90"/>
        <v>0</v>
      </c>
      <c r="J16" s="10">
        <f t="shared" ref="J16:V16" si="91">J359</f>
        <v>0</v>
      </c>
      <c r="K16" s="10">
        <f t="shared" ref="K16:U16" si="92">K359</f>
        <v>0</v>
      </c>
      <c r="L16" s="10">
        <f t="shared" si="92"/>
        <v>0</v>
      </c>
      <c r="M16" s="10">
        <f t="shared" si="92"/>
        <v>-4174374.15</v>
      </c>
      <c r="N16" s="10">
        <f t="shared" si="92"/>
        <v>0</v>
      </c>
      <c r="O16" s="10">
        <f t="shared" si="92"/>
        <v>0</v>
      </c>
      <c r="P16" s="10">
        <f t="shared" si="92"/>
        <v>0</v>
      </c>
      <c r="Q16" s="10">
        <f t="shared" si="92"/>
        <v>0</v>
      </c>
      <c r="R16" s="10">
        <f t="shared" si="92"/>
        <v>0</v>
      </c>
      <c r="S16" s="10">
        <f t="shared" si="92"/>
        <v>5725020</v>
      </c>
      <c r="T16" s="10">
        <f t="shared" si="92"/>
        <v>0</v>
      </c>
      <c r="U16" s="10">
        <f t="shared" si="92"/>
        <v>209103.03000002285</v>
      </c>
      <c r="V16" s="10">
        <f t="shared" si="91"/>
        <v>0</v>
      </c>
      <c r="W16" s="10">
        <f>W359</f>
        <v>0</v>
      </c>
      <c r="X16" s="10">
        <f t="shared" ref="X16:AD16" si="93">X359</f>
        <v>0</v>
      </c>
      <c r="Y16" s="10">
        <f>Y359</f>
        <v>0</v>
      </c>
      <c r="Z16" s="10">
        <f t="shared" si="93"/>
        <v>0</v>
      </c>
      <c r="AA16" s="10">
        <f t="shared" si="93"/>
        <v>0</v>
      </c>
      <c r="AB16" s="10">
        <f t="shared" si="93"/>
        <v>-87.77</v>
      </c>
      <c r="AC16" s="10">
        <f t="shared" si="93"/>
        <v>0</v>
      </c>
      <c r="AD16" s="10">
        <f t="shared" si="93"/>
        <v>0</v>
      </c>
      <c r="AE16" s="10">
        <f>AE359</f>
        <v>0</v>
      </c>
      <c r="AF16" s="10">
        <f>AF359</f>
        <v>0</v>
      </c>
      <c r="AG16" s="10">
        <f>AG359</f>
        <v>2790.6600000000003</v>
      </c>
      <c r="AH16" s="10">
        <f t="shared" ref="AH16" si="94">AH359</f>
        <v>0</v>
      </c>
      <c r="AI16" s="10">
        <f t="shared" ref="AI16:AL16" si="95">AI359</f>
        <v>0</v>
      </c>
      <c r="AJ16" s="10">
        <f t="shared" si="95"/>
        <v>0</v>
      </c>
      <c r="AK16" s="10">
        <f t="shared" si="95"/>
        <v>0</v>
      </c>
      <c r="AL16" s="10">
        <f t="shared" si="95"/>
        <v>0</v>
      </c>
      <c r="AM16" s="10">
        <f>AM359</f>
        <v>0</v>
      </c>
      <c r="AN16" s="10">
        <f>AN359</f>
        <v>0</v>
      </c>
      <c r="AO16" s="10">
        <f>AO359</f>
        <v>0</v>
      </c>
      <c r="AP16" s="10">
        <f>AP359</f>
        <v>0</v>
      </c>
      <c r="AQ16" s="10">
        <f>AQ359</f>
        <v>0</v>
      </c>
      <c r="AR16" s="10">
        <f t="shared" ref="AR16" si="96">AR359</f>
        <v>0</v>
      </c>
      <c r="AS16" s="10">
        <f>AS359</f>
        <v>0</v>
      </c>
      <c r="AT16" s="10">
        <f t="shared" ref="AT16" si="97">AT359</f>
        <v>0</v>
      </c>
      <c r="AU16" s="10">
        <f t="shared" ref="AU16" si="98">AU359</f>
        <v>0</v>
      </c>
      <c r="AV16" s="10">
        <f t="shared" ref="AV16" si="99">AV359</f>
        <v>0</v>
      </c>
      <c r="AW16" s="10">
        <f>AW359</f>
        <v>0</v>
      </c>
      <c r="AX16" s="10">
        <f t="shared" ref="AX16" si="100">AX359</f>
        <v>0</v>
      </c>
      <c r="AY16" s="10">
        <f t="shared" ref="AY16:BF16" si="101">AY359</f>
        <v>0</v>
      </c>
      <c r="AZ16" s="10">
        <f t="shared" si="101"/>
        <v>0</v>
      </c>
      <c r="BA16" s="10">
        <f t="shared" si="101"/>
        <v>0</v>
      </c>
      <c r="BB16" s="10">
        <f t="shared" si="101"/>
        <v>0</v>
      </c>
      <c r="BC16" s="10">
        <f t="shared" si="101"/>
        <v>0</v>
      </c>
      <c r="BD16" s="10">
        <f t="shared" si="101"/>
        <v>0</v>
      </c>
      <c r="BE16" s="10">
        <f t="shared" si="101"/>
        <v>0</v>
      </c>
      <c r="BF16" s="10">
        <f t="shared" si="101"/>
        <v>0</v>
      </c>
    </row>
    <row r="17" spans="1:58" ht="14.15" customHeight="1">
      <c r="A17" s="404">
        <f t="shared" si="52"/>
        <v>11</v>
      </c>
      <c r="B17" s="83" t="s">
        <v>22</v>
      </c>
      <c r="C17" s="38">
        <f t="shared" si="77"/>
        <v>-6810104.4930000026</v>
      </c>
      <c r="D17" s="10">
        <f t="shared" ref="D17:I17" si="102">D387</f>
        <v>0</v>
      </c>
      <c r="E17" s="10">
        <f t="shared" si="102"/>
        <v>0</v>
      </c>
      <c r="F17" s="10">
        <f t="shared" si="102"/>
        <v>0</v>
      </c>
      <c r="G17" s="10">
        <f t="shared" si="102"/>
        <v>0</v>
      </c>
      <c r="H17" s="10">
        <f t="shared" si="102"/>
        <v>0</v>
      </c>
      <c r="I17" s="10">
        <f t="shared" si="102"/>
        <v>0</v>
      </c>
      <c r="J17" s="10">
        <f t="shared" ref="J17:V17" si="103">J387</f>
        <v>0</v>
      </c>
      <c r="K17" s="10">
        <f t="shared" ref="K17:U17" si="104">K387</f>
        <v>0</v>
      </c>
      <c r="L17" s="10">
        <f t="shared" si="104"/>
        <v>0</v>
      </c>
      <c r="M17" s="10">
        <f t="shared" si="104"/>
        <v>0</v>
      </c>
      <c r="N17" s="10">
        <f t="shared" si="104"/>
        <v>0</v>
      </c>
      <c r="O17" s="10">
        <f t="shared" si="104"/>
        <v>0</v>
      </c>
      <c r="P17" s="10">
        <f t="shared" si="104"/>
        <v>0</v>
      </c>
      <c r="Q17" s="10">
        <f t="shared" si="104"/>
        <v>0</v>
      </c>
      <c r="R17" s="10">
        <f t="shared" si="104"/>
        <v>0</v>
      </c>
      <c r="S17" s="10">
        <f t="shared" si="104"/>
        <v>0</v>
      </c>
      <c r="T17" s="10">
        <f t="shared" si="104"/>
        <v>21148.080000000002</v>
      </c>
      <c r="U17" s="10">
        <f t="shared" si="104"/>
        <v>42023.206999998336</v>
      </c>
      <c r="V17" s="10">
        <f t="shared" si="103"/>
        <v>0</v>
      </c>
      <c r="W17" s="10">
        <f>W387</f>
        <v>0</v>
      </c>
      <c r="X17" s="10">
        <f t="shared" ref="X17:AD17" si="105">X387</f>
        <v>215408.01999999955</v>
      </c>
      <c r="Y17" s="10">
        <f>Y387</f>
        <v>0</v>
      </c>
      <c r="Z17" s="10">
        <f t="shared" si="105"/>
        <v>0</v>
      </c>
      <c r="AA17" s="10">
        <f t="shared" si="105"/>
        <v>0</v>
      </c>
      <c r="AB17" s="10">
        <f t="shared" si="105"/>
        <v>95939.059999999969</v>
      </c>
      <c r="AC17" s="10">
        <f t="shared" si="105"/>
        <v>0</v>
      </c>
      <c r="AD17" s="10">
        <f t="shared" si="105"/>
        <v>0</v>
      </c>
      <c r="AE17" s="10">
        <f>AE387</f>
        <v>0</v>
      </c>
      <c r="AF17" s="10">
        <f>AF387</f>
        <v>-2257483</v>
      </c>
      <c r="AG17" s="10">
        <f>AG387</f>
        <v>1237190.04</v>
      </c>
      <c r="AH17" s="10">
        <f t="shared" ref="AH17" si="106">AH387</f>
        <v>-4368.0999999999995</v>
      </c>
      <c r="AI17" s="10">
        <f t="shared" ref="AI17:AL17" si="107">AI387</f>
        <v>0</v>
      </c>
      <c r="AJ17" s="10">
        <f t="shared" si="107"/>
        <v>0</v>
      </c>
      <c r="AK17" s="10">
        <f t="shared" si="107"/>
        <v>0</v>
      </c>
      <c r="AL17" s="10">
        <f t="shared" si="107"/>
        <v>0</v>
      </c>
      <c r="AM17" s="10">
        <f>AM387</f>
        <v>0</v>
      </c>
      <c r="AN17" s="10">
        <f>AN387</f>
        <v>0</v>
      </c>
      <c r="AO17" s="10">
        <f>AO387</f>
        <v>0</v>
      </c>
      <c r="AP17" s="10">
        <f>AP387</f>
        <v>0</v>
      </c>
      <c r="AQ17" s="10">
        <f>AQ387</f>
        <v>0</v>
      </c>
      <c r="AR17" s="10">
        <f t="shared" ref="AR17" si="108">AR387</f>
        <v>0</v>
      </c>
      <c r="AS17" s="10">
        <f>AS387</f>
        <v>0</v>
      </c>
      <c r="AT17" s="10">
        <f t="shared" ref="AT17" si="109">AT387</f>
        <v>0</v>
      </c>
      <c r="AU17" s="10">
        <f t="shared" ref="AU17" si="110">AU387</f>
        <v>0</v>
      </c>
      <c r="AV17" s="10">
        <f t="shared" ref="AV17" si="111">AV387</f>
        <v>-6159961.8000000007</v>
      </c>
      <c r="AW17" s="10">
        <f>AW387</f>
        <v>0</v>
      </c>
      <c r="AX17" s="10">
        <f t="shared" ref="AX17" si="112">AX387</f>
        <v>0</v>
      </c>
      <c r="AY17" s="10">
        <f t="shared" ref="AY17:BF17" si="113">AY387</f>
        <v>0</v>
      </c>
      <c r="AZ17" s="10">
        <f t="shared" si="113"/>
        <v>0</v>
      </c>
      <c r="BA17" s="10">
        <f t="shared" si="113"/>
        <v>0</v>
      </c>
      <c r="BB17" s="10">
        <f t="shared" si="113"/>
        <v>0</v>
      </c>
      <c r="BC17" s="10">
        <f t="shared" si="113"/>
        <v>0</v>
      </c>
      <c r="BD17" s="10">
        <f t="shared" si="113"/>
        <v>0</v>
      </c>
      <c r="BE17" s="10">
        <f t="shared" si="113"/>
        <v>0</v>
      </c>
      <c r="BF17" s="10">
        <f t="shared" si="113"/>
        <v>0</v>
      </c>
    </row>
    <row r="18" spans="1:58" ht="14.15" customHeight="1">
      <c r="A18" s="404">
        <f t="shared" si="52"/>
        <v>12</v>
      </c>
      <c r="B18" s="83" t="s">
        <v>23</v>
      </c>
      <c r="C18" s="38">
        <f t="shared" si="77"/>
        <v>109613.42000000013</v>
      </c>
      <c r="D18" s="10">
        <f t="shared" ref="D18:I18" si="114">D396</f>
        <v>0</v>
      </c>
      <c r="E18" s="10">
        <f t="shared" si="114"/>
        <v>0</v>
      </c>
      <c r="F18" s="10">
        <f t="shared" si="114"/>
        <v>0</v>
      </c>
      <c r="G18" s="10">
        <f t="shared" si="114"/>
        <v>0</v>
      </c>
      <c r="H18" s="10">
        <f t="shared" si="114"/>
        <v>0</v>
      </c>
      <c r="I18" s="10">
        <f t="shared" si="114"/>
        <v>0</v>
      </c>
      <c r="J18" s="10">
        <f t="shared" ref="J18:V18" si="115">J396</f>
        <v>0</v>
      </c>
      <c r="K18" s="10">
        <f t="shared" ref="K18:U18" si="116">K396</f>
        <v>0</v>
      </c>
      <c r="L18" s="10">
        <f t="shared" si="116"/>
        <v>0</v>
      </c>
      <c r="M18" s="10">
        <f t="shared" si="116"/>
        <v>0</v>
      </c>
      <c r="N18" s="10">
        <f t="shared" si="116"/>
        <v>0</v>
      </c>
      <c r="O18" s="10">
        <f t="shared" si="116"/>
        <v>0</v>
      </c>
      <c r="P18" s="10">
        <f t="shared" si="116"/>
        <v>0</v>
      </c>
      <c r="Q18" s="10">
        <f t="shared" si="116"/>
        <v>0</v>
      </c>
      <c r="R18" s="10">
        <f t="shared" si="116"/>
        <v>0</v>
      </c>
      <c r="S18" s="10">
        <f t="shared" si="116"/>
        <v>0</v>
      </c>
      <c r="T18" s="10">
        <f t="shared" si="116"/>
        <v>0</v>
      </c>
      <c r="U18" s="10">
        <f t="shared" si="116"/>
        <v>61.080000000136351</v>
      </c>
      <c r="V18" s="10">
        <f t="shared" si="115"/>
        <v>0</v>
      </c>
      <c r="W18" s="10">
        <f>W396</f>
        <v>0</v>
      </c>
      <c r="X18" s="10">
        <f t="shared" ref="X18:AD18" si="117">X396</f>
        <v>0</v>
      </c>
      <c r="Y18" s="10">
        <f>Y396</f>
        <v>0</v>
      </c>
      <c r="Z18" s="10">
        <f t="shared" si="117"/>
        <v>0</v>
      </c>
      <c r="AA18" s="10">
        <f t="shared" si="117"/>
        <v>0</v>
      </c>
      <c r="AB18" s="10">
        <f t="shared" si="117"/>
        <v>8190.0499999999993</v>
      </c>
      <c r="AC18" s="10">
        <f t="shared" si="117"/>
        <v>0</v>
      </c>
      <c r="AD18" s="10">
        <f t="shared" si="117"/>
        <v>0</v>
      </c>
      <c r="AE18" s="10">
        <f>AE396</f>
        <v>0</v>
      </c>
      <c r="AF18" s="10">
        <f>AF396</f>
        <v>0</v>
      </c>
      <c r="AG18" s="10">
        <f>AG396</f>
        <v>101362.29</v>
      </c>
      <c r="AH18" s="10">
        <f t="shared" ref="AH18" si="118">AH396</f>
        <v>0</v>
      </c>
      <c r="AI18" s="10">
        <f t="shared" ref="AI18:AL18" si="119">AI396</f>
        <v>0</v>
      </c>
      <c r="AJ18" s="10">
        <f t="shared" si="119"/>
        <v>0</v>
      </c>
      <c r="AK18" s="10">
        <f t="shared" si="119"/>
        <v>0</v>
      </c>
      <c r="AL18" s="10">
        <f t="shared" si="119"/>
        <v>0</v>
      </c>
      <c r="AM18" s="10">
        <f>AM396</f>
        <v>0</v>
      </c>
      <c r="AN18" s="10">
        <f>AN396</f>
        <v>0</v>
      </c>
      <c r="AO18" s="10">
        <f>AO396</f>
        <v>0</v>
      </c>
      <c r="AP18" s="10">
        <f>AP396</f>
        <v>0</v>
      </c>
      <c r="AQ18" s="10">
        <f>AQ396</f>
        <v>0</v>
      </c>
      <c r="AR18" s="10">
        <f t="shared" ref="AR18" si="120">AR396</f>
        <v>0</v>
      </c>
      <c r="AS18" s="10">
        <f>AS396</f>
        <v>0</v>
      </c>
      <c r="AT18" s="10">
        <f t="shared" ref="AT18" si="121">AT396</f>
        <v>0</v>
      </c>
      <c r="AU18" s="10">
        <f t="shared" ref="AU18" si="122">AU396</f>
        <v>0</v>
      </c>
      <c r="AV18" s="10">
        <f t="shared" ref="AV18" si="123">AV396</f>
        <v>0</v>
      </c>
      <c r="AW18" s="10">
        <f>AW396</f>
        <v>0</v>
      </c>
      <c r="AX18" s="10">
        <f t="shared" ref="AX18" si="124">AX396</f>
        <v>0</v>
      </c>
      <c r="AY18" s="10">
        <f t="shared" ref="AY18:BF18" si="125">AY396</f>
        <v>0</v>
      </c>
      <c r="AZ18" s="10">
        <f t="shared" si="125"/>
        <v>0</v>
      </c>
      <c r="BA18" s="10">
        <f t="shared" si="125"/>
        <v>0</v>
      </c>
      <c r="BB18" s="10">
        <f t="shared" si="125"/>
        <v>0</v>
      </c>
      <c r="BC18" s="10">
        <f t="shared" si="125"/>
        <v>0</v>
      </c>
      <c r="BD18" s="10">
        <f t="shared" si="125"/>
        <v>0</v>
      </c>
      <c r="BE18" s="10">
        <f t="shared" si="125"/>
        <v>0</v>
      </c>
      <c r="BF18" s="10">
        <f t="shared" si="125"/>
        <v>0</v>
      </c>
    </row>
    <row r="19" spans="1:58" ht="14.15" customHeight="1">
      <c r="A19" s="404">
        <f t="shared" si="52"/>
        <v>13</v>
      </c>
      <c r="B19" s="83" t="s">
        <v>24</v>
      </c>
      <c r="C19" s="38">
        <f t="shared" si="77"/>
        <v>0</v>
      </c>
      <c r="D19" s="10">
        <f t="shared" ref="D19:I19" si="126">D410</f>
        <v>0</v>
      </c>
      <c r="E19" s="10">
        <f t="shared" si="126"/>
        <v>0</v>
      </c>
      <c r="F19" s="10">
        <f t="shared" si="126"/>
        <v>0</v>
      </c>
      <c r="G19" s="10">
        <f t="shared" si="126"/>
        <v>0</v>
      </c>
      <c r="H19" s="10">
        <f t="shared" si="126"/>
        <v>0</v>
      </c>
      <c r="I19" s="10">
        <f t="shared" si="126"/>
        <v>0</v>
      </c>
      <c r="J19" s="10">
        <f t="shared" ref="J19:V19" si="127">J410</f>
        <v>0</v>
      </c>
      <c r="K19" s="10">
        <f t="shared" ref="K19:U19" si="128">K410</f>
        <v>0</v>
      </c>
      <c r="L19" s="10">
        <f t="shared" si="128"/>
        <v>0</v>
      </c>
      <c r="M19" s="10">
        <f t="shared" si="128"/>
        <v>0</v>
      </c>
      <c r="N19" s="10">
        <f t="shared" si="128"/>
        <v>0</v>
      </c>
      <c r="O19" s="10">
        <f t="shared" si="128"/>
        <v>0</v>
      </c>
      <c r="P19" s="10">
        <f t="shared" si="128"/>
        <v>0</v>
      </c>
      <c r="Q19" s="10">
        <f t="shared" si="128"/>
        <v>0</v>
      </c>
      <c r="R19" s="10">
        <f t="shared" si="128"/>
        <v>0</v>
      </c>
      <c r="S19" s="10">
        <f t="shared" si="128"/>
        <v>0</v>
      </c>
      <c r="T19" s="10">
        <f t="shared" si="128"/>
        <v>0</v>
      </c>
      <c r="U19" s="10">
        <f t="shared" si="128"/>
        <v>0</v>
      </c>
      <c r="V19" s="10">
        <f t="shared" si="127"/>
        <v>0</v>
      </c>
      <c r="W19" s="10">
        <f>W410</f>
        <v>0</v>
      </c>
      <c r="X19" s="10">
        <f t="shared" ref="X19:AD19" si="129">X410</f>
        <v>0</v>
      </c>
      <c r="Y19" s="10">
        <f>Y410</f>
        <v>0</v>
      </c>
      <c r="Z19" s="10">
        <f t="shared" si="129"/>
        <v>0</v>
      </c>
      <c r="AA19" s="10">
        <f t="shared" si="129"/>
        <v>0</v>
      </c>
      <c r="AB19" s="10">
        <f t="shared" si="129"/>
        <v>0</v>
      </c>
      <c r="AC19" s="10">
        <f t="shared" si="129"/>
        <v>0</v>
      </c>
      <c r="AD19" s="10">
        <f t="shared" si="129"/>
        <v>0</v>
      </c>
      <c r="AE19" s="10">
        <f>AE410</f>
        <v>0</v>
      </c>
      <c r="AF19" s="10">
        <f>AF410</f>
        <v>0</v>
      </c>
      <c r="AG19" s="10">
        <f>AG410</f>
        <v>0</v>
      </c>
      <c r="AH19" s="10">
        <f t="shared" ref="AH19" si="130">AH410</f>
        <v>0</v>
      </c>
      <c r="AI19" s="10">
        <f t="shared" ref="AI19:AL19" si="131">AI410</f>
        <v>0</v>
      </c>
      <c r="AJ19" s="10">
        <f t="shared" si="131"/>
        <v>0</v>
      </c>
      <c r="AK19" s="10">
        <f t="shared" si="131"/>
        <v>0</v>
      </c>
      <c r="AL19" s="10">
        <f t="shared" si="131"/>
        <v>0</v>
      </c>
      <c r="AM19" s="10">
        <f>AM410</f>
        <v>0</v>
      </c>
      <c r="AN19" s="10">
        <f>AN410</f>
        <v>0</v>
      </c>
      <c r="AO19" s="10">
        <f>AO410</f>
        <v>0</v>
      </c>
      <c r="AP19" s="10">
        <f>AP410</f>
        <v>0</v>
      </c>
      <c r="AQ19" s="10">
        <f>AQ410</f>
        <v>0</v>
      </c>
      <c r="AR19" s="10">
        <f t="shared" ref="AR19" si="132">AR410</f>
        <v>0</v>
      </c>
      <c r="AS19" s="10">
        <f>AS410</f>
        <v>0</v>
      </c>
      <c r="AT19" s="10">
        <f t="shared" ref="AT19" si="133">AT410</f>
        <v>0</v>
      </c>
      <c r="AU19" s="10">
        <f t="shared" ref="AU19" si="134">AU410</f>
        <v>0</v>
      </c>
      <c r="AV19" s="10">
        <f t="shared" ref="AV19" si="135">AV410</f>
        <v>0</v>
      </c>
      <c r="AW19" s="10">
        <f>AW410</f>
        <v>0</v>
      </c>
      <c r="AX19" s="10">
        <f t="shared" ref="AX19" si="136">AX410</f>
        <v>0</v>
      </c>
      <c r="AY19" s="10">
        <f t="shared" ref="AY19:BF19" si="137">AY410</f>
        <v>0</v>
      </c>
      <c r="AZ19" s="10">
        <f t="shared" si="137"/>
        <v>0</v>
      </c>
      <c r="BA19" s="10">
        <f t="shared" si="137"/>
        <v>0</v>
      </c>
      <c r="BB19" s="10">
        <f t="shared" si="137"/>
        <v>0</v>
      </c>
      <c r="BC19" s="10">
        <f t="shared" si="137"/>
        <v>0</v>
      </c>
      <c r="BD19" s="10">
        <f t="shared" si="137"/>
        <v>0</v>
      </c>
      <c r="BE19" s="10">
        <f t="shared" si="137"/>
        <v>0</v>
      </c>
      <c r="BF19" s="10">
        <f t="shared" si="137"/>
        <v>0</v>
      </c>
    </row>
    <row r="20" spans="1:58" ht="14.15" customHeight="1">
      <c r="A20" s="404">
        <f t="shared" si="52"/>
        <v>14</v>
      </c>
      <c r="B20" s="83" t="s">
        <v>25</v>
      </c>
      <c r="C20" s="38">
        <f t="shared" si="77"/>
        <v>-1495547.3</v>
      </c>
      <c r="D20" s="10">
        <f t="shared" ref="D20:I20" si="138">D403</f>
        <v>0</v>
      </c>
      <c r="E20" s="10">
        <f t="shared" si="138"/>
        <v>0</v>
      </c>
      <c r="F20" s="10">
        <f t="shared" si="138"/>
        <v>0</v>
      </c>
      <c r="G20" s="10">
        <f t="shared" si="138"/>
        <v>0</v>
      </c>
      <c r="H20" s="10">
        <f t="shared" si="138"/>
        <v>0</v>
      </c>
      <c r="I20" s="10">
        <f t="shared" si="138"/>
        <v>0</v>
      </c>
      <c r="J20" s="10">
        <f t="shared" ref="J20:V20" si="139">J403</f>
        <v>0</v>
      </c>
      <c r="K20" s="10">
        <f t="shared" ref="K20:U20" si="140">K403</f>
        <v>0</v>
      </c>
      <c r="L20" s="10">
        <f t="shared" si="140"/>
        <v>0</v>
      </c>
      <c r="M20" s="10">
        <f t="shared" si="140"/>
        <v>0</v>
      </c>
      <c r="N20" s="10">
        <f t="shared" si="140"/>
        <v>-515763.11999999994</v>
      </c>
      <c r="O20" s="10">
        <f t="shared" si="140"/>
        <v>-628079.1</v>
      </c>
      <c r="P20" s="10">
        <f t="shared" si="140"/>
        <v>-373893.79</v>
      </c>
      <c r="Q20" s="10">
        <f t="shared" si="140"/>
        <v>0</v>
      </c>
      <c r="R20" s="10">
        <f t="shared" si="140"/>
        <v>0</v>
      </c>
      <c r="S20" s="10">
        <f t="shared" si="140"/>
        <v>0</v>
      </c>
      <c r="T20" s="10">
        <f t="shared" si="140"/>
        <v>0</v>
      </c>
      <c r="U20" s="10">
        <f t="shared" si="140"/>
        <v>22.010000000038417</v>
      </c>
      <c r="V20" s="10">
        <f t="shared" si="139"/>
        <v>0</v>
      </c>
      <c r="W20" s="10">
        <f>W403</f>
        <v>0</v>
      </c>
      <c r="X20" s="10">
        <f t="shared" ref="X20:AD20" si="141">X403</f>
        <v>0</v>
      </c>
      <c r="Y20" s="10">
        <f>Y403</f>
        <v>0</v>
      </c>
      <c r="Z20" s="10">
        <f t="shared" si="141"/>
        <v>0</v>
      </c>
      <c r="AA20" s="10">
        <f t="shared" si="141"/>
        <v>0</v>
      </c>
      <c r="AB20" s="10">
        <f t="shared" si="141"/>
        <v>56.289999999999971</v>
      </c>
      <c r="AC20" s="10">
        <f t="shared" si="141"/>
        <v>0</v>
      </c>
      <c r="AD20" s="10">
        <f t="shared" si="141"/>
        <v>0</v>
      </c>
      <c r="AE20" s="10">
        <f>AE403</f>
        <v>0</v>
      </c>
      <c r="AF20" s="10">
        <f>AF403</f>
        <v>0</v>
      </c>
      <c r="AG20" s="10">
        <f>AG403</f>
        <v>29997.9</v>
      </c>
      <c r="AH20" s="10">
        <f t="shared" ref="AH20" si="142">AH403</f>
        <v>-7887.49</v>
      </c>
      <c r="AI20" s="10">
        <f t="shared" ref="AI20:AL20" si="143">AI403</f>
        <v>0</v>
      </c>
      <c r="AJ20" s="10">
        <f t="shared" si="143"/>
        <v>0</v>
      </c>
      <c r="AK20" s="10">
        <f t="shared" si="143"/>
        <v>0</v>
      </c>
      <c r="AL20" s="10">
        <f t="shared" si="143"/>
        <v>0</v>
      </c>
      <c r="AM20" s="10">
        <f>AM403</f>
        <v>0</v>
      </c>
      <c r="AN20" s="10">
        <f>AN403</f>
        <v>0</v>
      </c>
      <c r="AO20" s="10">
        <f>AO403</f>
        <v>0</v>
      </c>
      <c r="AP20" s="10">
        <f>AP403</f>
        <v>0</v>
      </c>
      <c r="AQ20" s="10">
        <f>AQ403</f>
        <v>0</v>
      </c>
      <c r="AR20" s="10">
        <f t="shared" ref="AR20" si="144">AR403</f>
        <v>0</v>
      </c>
      <c r="AS20" s="10">
        <f>AS403</f>
        <v>0</v>
      </c>
      <c r="AT20" s="10">
        <f t="shared" ref="AT20" si="145">AT403</f>
        <v>0</v>
      </c>
      <c r="AU20" s="10">
        <f t="shared" ref="AU20" si="146">AU403</f>
        <v>0</v>
      </c>
      <c r="AV20" s="10">
        <f t="shared" ref="AV20" si="147">AV403</f>
        <v>0</v>
      </c>
      <c r="AW20" s="10">
        <f>AW403</f>
        <v>0</v>
      </c>
      <c r="AX20" s="10">
        <f t="shared" ref="AX20" si="148">AX403</f>
        <v>0</v>
      </c>
      <c r="AY20" s="10">
        <f t="shared" ref="AY20:BF20" si="149">AY403</f>
        <v>0</v>
      </c>
      <c r="AZ20" s="10">
        <f t="shared" si="149"/>
        <v>0</v>
      </c>
      <c r="BA20" s="10">
        <f t="shared" si="149"/>
        <v>0</v>
      </c>
      <c r="BB20" s="10">
        <f t="shared" si="149"/>
        <v>0</v>
      </c>
      <c r="BC20" s="10">
        <f t="shared" si="149"/>
        <v>0</v>
      </c>
      <c r="BD20" s="10">
        <f t="shared" si="149"/>
        <v>0</v>
      </c>
      <c r="BE20" s="10">
        <f t="shared" si="149"/>
        <v>0</v>
      </c>
      <c r="BF20" s="10">
        <f t="shared" si="149"/>
        <v>0</v>
      </c>
    </row>
    <row r="21" spans="1:58" ht="14.15" customHeight="1">
      <c r="A21" s="404">
        <f t="shared" si="52"/>
        <v>15</v>
      </c>
      <c r="B21" s="83" t="s">
        <v>26</v>
      </c>
      <c r="C21" s="38">
        <f t="shared" si="77"/>
        <v>4293253.1536336001</v>
      </c>
      <c r="D21" s="10">
        <f t="shared" ref="D21:I21" si="150">D431</f>
        <v>0</v>
      </c>
      <c r="E21" s="10">
        <f t="shared" si="150"/>
        <v>0</v>
      </c>
      <c r="F21" s="10">
        <f t="shared" si="150"/>
        <v>0</v>
      </c>
      <c r="G21" s="10">
        <f t="shared" si="150"/>
        <v>0</v>
      </c>
      <c r="H21" s="10">
        <f t="shared" si="150"/>
        <v>0</v>
      </c>
      <c r="I21" s="10">
        <f t="shared" si="150"/>
        <v>0</v>
      </c>
      <c r="J21" s="10">
        <f t="shared" ref="J21:V21" si="151">J431</f>
        <v>0</v>
      </c>
      <c r="K21" s="10">
        <f t="shared" ref="K21:U21" si="152">K431</f>
        <v>0</v>
      </c>
      <c r="L21" s="10">
        <f t="shared" si="152"/>
        <v>0</v>
      </c>
      <c r="M21" s="10">
        <f t="shared" si="152"/>
        <v>0</v>
      </c>
      <c r="N21" s="10">
        <f t="shared" si="152"/>
        <v>0</v>
      </c>
      <c r="O21" s="10">
        <f t="shared" si="152"/>
        <v>0</v>
      </c>
      <c r="P21" s="10">
        <f t="shared" si="152"/>
        <v>0</v>
      </c>
      <c r="Q21" s="10">
        <f t="shared" si="152"/>
        <v>0</v>
      </c>
      <c r="R21" s="10">
        <f t="shared" si="152"/>
        <v>0</v>
      </c>
      <c r="S21" s="10">
        <f t="shared" si="152"/>
        <v>0</v>
      </c>
      <c r="T21" s="10">
        <f t="shared" si="152"/>
        <v>0</v>
      </c>
      <c r="U21" s="10">
        <f t="shared" si="152"/>
        <v>340970.47239999985</v>
      </c>
      <c r="V21" s="10">
        <f t="shared" si="151"/>
        <v>0</v>
      </c>
      <c r="W21" s="10">
        <f>W431</f>
        <v>0</v>
      </c>
      <c r="X21" s="10">
        <f t="shared" ref="X21:AD21" si="153">X431</f>
        <v>0</v>
      </c>
      <c r="Y21" s="10">
        <f>Y431</f>
        <v>0</v>
      </c>
      <c r="Z21" s="10">
        <f t="shared" si="153"/>
        <v>241938.96000000002</v>
      </c>
      <c r="AA21" s="10">
        <f t="shared" si="153"/>
        <v>-54803.77</v>
      </c>
      <c r="AB21" s="10">
        <f t="shared" si="153"/>
        <v>4144.7999999999993</v>
      </c>
      <c r="AC21" s="10">
        <f t="shared" si="153"/>
        <v>4985006.8612336004</v>
      </c>
      <c r="AD21" s="10">
        <f t="shared" si="153"/>
        <v>-61787</v>
      </c>
      <c r="AE21" s="10">
        <f>AE431</f>
        <v>0</v>
      </c>
      <c r="AF21" s="10">
        <f>AF431</f>
        <v>-87305</v>
      </c>
      <c r="AG21" s="10">
        <f>AG431</f>
        <v>370977.9</v>
      </c>
      <c r="AH21" s="10">
        <f t="shared" ref="AH21" si="154">AH431</f>
        <v>-11915.79</v>
      </c>
      <c r="AI21" s="10">
        <f t="shared" ref="AI21:AL21" si="155">AI431</f>
        <v>0</v>
      </c>
      <c r="AJ21" s="10">
        <f t="shared" si="155"/>
        <v>0</v>
      </c>
      <c r="AK21" s="10">
        <f t="shared" si="155"/>
        <v>0</v>
      </c>
      <c r="AL21" s="10">
        <f t="shared" si="155"/>
        <v>114528.71999999997</v>
      </c>
      <c r="AM21" s="10">
        <f>AM431</f>
        <v>0</v>
      </c>
      <c r="AN21" s="10">
        <f>AN431</f>
        <v>0</v>
      </c>
      <c r="AO21" s="10">
        <f>AO431</f>
        <v>0</v>
      </c>
      <c r="AP21" s="10">
        <f>AP431</f>
        <v>0</v>
      </c>
      <c r="AQ21" s="10">
        <f>AQ431</f>
        <v>0</v>
      </c>
      <c r="AR21" s="10">
        <f t="shared" ref="AR21" si="156">AR431</f>
        <v>-1689276</v>
      </c>
      <c r="AS21" s="10">
        <f>AS431</f>
        <v>140773</v>
      </c>
      <c r="AT21" s="10">
        <f t="shared" ref="AT21" si="157">AT431</f>
        <v>0</v>
      </c>
      <c r="AU21" s="10">
        <f t="shared" ref="AU21" si="158">AU431</f>
        <v>0</v>
      </c>
      <c r="AV21" s="10">
        <f t="shared" ref="AV21" si="159">AV431</f>
        <v>0</v>
      </c>
      <c r="AW21" s="10">
        <f>AW431</f>
        <v>0</v>
      </c>
      <c r="AX21" s="10">
        <f t="shared" ref="AX21" si="160">AX431</f>
        <v>0</v>
      </c>
      <c r="AY21" s="10">
        <f t="shared" ref="AY21:BF21" si="161">AY431</f>
        <v>0</v>
      </c>
      <c r="AZ21" s="10">
        <f t="shared" si="161"/>
        <v>0</v>
      </c>
      <c r="BA21" s="10">
        <f t="shared" si="161"/>
        <v>0</v>
      </c>
      <c r="BB21" s="10">
        <f t="shared" si="161"/>
        <v>0</v>
      </c>
      <c r="BC21" s="10">
        <f t="shared" si="161"/>
        <v>0</v>
      </c>
      <c r="BD21" s="10">
        <f t="shared" si="161"/>
        <v>0</v>
      </c>
      <c r="BE21" s="10">
        <f t="shared" si="161"/>
        <v>0</v>
      </c>
      <c r="BF21" s="10">
        <f t="shared" si="161"/>
        <v>0</v>
      </c>
    </row>
    <row r="22" spans="1:58" ht="14.15" customHeight="1">
      <c r="A22" s="404">
        <f t="shared" si="52"/>
        <v>16</v>
      </c>
      <c r="B22" s="56" t="s">
        <v>27</v>
      </c>
      <c r="C22" s="197">
        <f t="shared" si="77"/>
        <v>0</v>
      </c>
      <c r="D22" s="64">
        <v>0</v>
      </c>
      <c r="E22" s="64">
        <v>0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  <c r="N22" s="64">
        <v>0</v>
      </c>
      <c r="O22" s="64">
        <v>0</v>
      </c>
      <c r="P22" s="64">
        <v>0</v>
      </c>
      <c r="Q22" s="64">
        <v>0</v>
      </c>
      <c r="R22" s="64">
        <v>0</v>
      </c>
      <c r="S22" s="64">
        <v>0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4">
        <v>0</v>
      </c>
      <c r="AA22" s="64">
        <v>0</v>
      </c>
      <c r="AB22" s="64">
        <v>0</v>
      </c>
      <c r="AC22" s="64">
        <v>0</v>
      </c>
      <c r="AD22" s="64">
        <v>0</v>
      </c>
      <c r="AE22" s="64">
        <v>0</v>
      </c>
      <c r="AF22" s="64">
        <v>0</v>
      </c>
      <c r="AG22" s="64">
        <v>0</v>
      </c>
      <c r="AH22" s="64">
        <v>0</v>
      </c>
      <c r="AI22" s="64">
        <v>0</v>
      </c>
      <c r="AJ22" s="64">
        <v>0</v>
      </c>
      <c r="AK22" s="64">
        <v>0</v>
      </c>
      <c r="AL22" s="64">
        <v>0</v>
      </c>
      <c r="AM22" s="64">
        <v>0</v>
      </c>
      <c r="AN22" s="64">
        <v>0</v>
      </c>
      <c r="AO22" s="64">
        <v>0</v>
      </c>
      <c r="AP22" s="64">
        <v>0</v>
      </c>
      <c r="AQ22" s="64">
        <v>0</v>
      </c>
      <c r="AR22" s="64">
        <v>0</v>
      </c>
      <c r="AS22" s="64">
        <v>0</v>
      </c>
      <c r="AT22" s="64">
        <v>0</v>
      </c>
      <c r="AU22" s="64">
        <v>0</v>
      </c>
      <c r="AV22" s="64">
        <v>0</v>
      </c>
      <c r="AW22" s="64">
        <v>0</v>
      </c>
      <c r="AX22" s="64">
        <v>0</v>
      </c>
      <c r="AY22" s="64">
        <v>0</v>
      </c>
      <c r="AZ22" s="64">
        <v>0</v>
      </c>
      <c r="BA22" s="64">
        <v>0</v>
      </c>
      <c r="BB22" s="64">
        <v>0</v>
      </c>
      <c r="BC22" s="64">
        <v>0</v>
      </c>
      <c r="BD22" s="64">
        <v>0</v>
      </c>
      <c r="BE22" s="64">
        <v>0</v>
      </c>
      <c r="BF22" s="64">
        <v>0</v>
      </c>
    </row>
    <row r="23" spans="1:58" s="18" customFormat="1" ht="14.15" customHeight="1">
      <c r="A23" s="404">
        <f t="shared" si="52"/>
        <v>17</v>
      </c>
      <c r="B23" s="2" t="s">
        <v>28</v>
      </c>
      <c r="C23" s="16">
        <f t="shared" ref="C23:V23" si="162">SUM(C15:C22)</f>
        <v>-43550166.709015712</v>
      </c>
      <c r="D23" s="16">
        <f t="shared" ref="D23:I23" si="163">SUM(D15:D22)</f>
        <v>0</v>
      </c>
      <c r="E23" s="16">
        <f t="shared" si="163"/>
        <v>0</v>
      </c>
      <c r="F23" s="16">
        <f t="shared" si="163"/>
        <v>0</v>
      </c>
      <c r="G23" s="16">
        <f t="shared" si="163"/>
        <v>0</v>
      </c>
      <c r="H23" s="16">
        <f t="shared" si="163"/>
        <v>0</v>
      </c>
      <c r="I23" s="16">
        <f t="shared" si="163"/>
        <v>0</v>
      </c>
      <c r="J23" s="16">
        <f t="shared" si="162"/>
        <v>0</v>
      </c>
      <c r="K23" s="16">
        <f t="shared" ref="K23:T23" si="164">SUM(K15:K22)</f>
        <v>0</v>
      </c>
      <c r="L23" s="16">
        <f t="shared" si="164"/>
        <v>-42632032</v>
      </c>
      <c r="M23" s="16">
        <f t="shared" si="164"/>
        <v>-3562775.15</v>
      </c>
      <c r="N23" s="16">
        <f t="shared" si="164"/>
        <v>-515763.11999999994</v>
      </c>
      <c r="O23" s="16">
        <f t="shared" si="164"/>
        <v>-628079.1</v>
      </c>
      <c r="P23" s="16">
        <f t="shared" si="164"/>
        <v>-373893.79</v>
      </c>
      <c r="Q23" s="16">
        <f t="shared" si="164"/>
        <v>-1596917.7332181961</v>
      </c>
      <c r="R23" s="16">
        <f t="shared" si="164"/>
        <v>-428368.74643115525</v>
      </c>
      <c r="S23" s="16">
        <f t="shared" si="164"/>
        <v>5725020</v>
      </c>
      <c r="T23" s="16">
        <f t="shared" si="164"/>
        <v>21148.080000000002</v>
      </c>
      <c r="U23" s="16">
        <f>SUM(U15:U22)</f>
        <v>4901693.329400029</v>
      </c>
      <c r="V23" s="16">
        <f t="shared" si="162"/>
        <v>-3541349</v>
      </c>
      <c r="W23" s="16">
        <f>SUM(W15:W22)</f>
        <v>0</v>
      </c>
      <c r="X23" s="16">
        <f t="shared" ref="X23:AD23" si="165">SUM(X15:X22)</f>
        <v>215408.01999999955</v>
      </c>
      <c r="Y23" s="16">
        <f>SUM(Y15:Y22)</f>
        <v>0</v>
      </c>
      <c r="Z23" s="16">
        <f t="shared" si="165"/>
        <v>241938.96000000002</v>
      </c>
      <c r="AA23" s="16">
        <f t="shared" si="165"/>
        <v>-54803.77</v>
      </c>
      <c r="AB23" s="16">
        <f t="shared" si="165"/>
        <v>116943.45999999996</v>
      </c>
      <c r="AC23" s="16">
        <f t="shared" si="165"/>
        <v>4985006.8612336004</v>
      </c>
      <c r="AD23" s="16">
        <f t="shared" si="165"/>
        <v>-61787</v>
      </c>
      <c r="AE23" s="16">
        <f>SUM(AE15:AE22)</f>
        <v>0</v>
      </c>
      <c r="AF23" s="16">
        <f>SUM(AF15:AF22)</f>
        <v>-3086549</v>
      </c>
      <c r="AG23" s="16">
        <f>SUM(AG15:AG22)</f>
        <v>3130902.8</v>
      </c>
      <c r="AH23" s="16">
        <f t="shared" ref="AH23" si="166">SUM(AH15:AH22)</f>
        <v>-24171.38</v>
      </c>
      <c r="AI23" s="16">
        <f t="shared" ref="AI23:AL23" si="167">SUM(AI15:AI22)</f>
        <v>0</v>
      </c>
      <c r="AJ23" s="16">
        <f t="shared" si="167"/>
        <v>0</v>
      </c>
      <c r="AK23" s="16">
        <f t="shared" si="167"/>
        <v>0</v>
      </c>
      <c r="AL23" s="16">
        <f t="shared" si="167"/>
        <v>114528.71999999997</v>
      </c>
      <c r="AM23" s="16">
        <f>SUM(AM15:AM22)</f>
        <v>0</v>
      </c>
      <c r="AN23" s="16">
        <f>SUM(AN15:AN22)</f>
        <v>0</v>
      </c>
      <c r="AO23" s="16">
        <f>SUM(AO15:AO22)</f>
        <v>0</v>
      </c>
      <c r="AP23" s="16">
        <f>SUM(AP15:AP22)</f>
        <v>0</v>
      </c>
      <c r="AQ23" s="16">
        <f>SUM(AQ15:AQ22)</f>
        <v>1212197.6499999999</v>
      </c>
      <c r="AR23" s="16">
        <f t="shared" ref="AR23" si="168">SUM(AR15:AR22)</f>
        <v>-1689276</v>
      </c>
      <c r="AS23" s="16">
        <f>SUM(AS15:AS22)</f>
        <v>140773</v>
      </c>
      <c r="AT23" s="16">
        <f t="shared" ref="AT23" si="169">SUM(AT15:AT22)</f>
        <v>0</v>
      </c>
      <c r="AU23" s="16">
        <f t="shared" ref="AU23" si="170">SUM(AU15:AU22)</f>
        <v>0</v>
      </c>
      <c r="AV23" s="16">
        <f t="shared" ref="AV23" si="171">SUM(AV15:AV22)</f>
        <v>-6159961.8000000007</v>
      </c>
      <c r="AW23" s="16">
        <f>SUM(AW15:AW22)</f>
        <v>0</v>
      </c>
      <c r="AX23" s="16">
        <f t="shared" ref="AX23" si="172">SUM(AX15:AX22)</f>
        <v>0</v>
      </c>
      <c r="AY23" s="16">
        <f t="shared" ref="AY23:BF23" si="173">SUM(AY15:AY22)</f>
        <v>0</v>
      </c>
      <c r="AZ23" s="16">
        <f t="shared" si="173"/>
        <v>0</v>
      </c>
      <c r="BA23" s="16">
        <f t="shared" si="173"/>
        <v>0</v>
      </c>
      <c r="BB23" s="16">
        <f t="shared" si="173"/>
        <v>0</v>
      </c>
      <c r="BC23" s="16">
        <f t="shared" si="173"/>
        <v>0</v>
      </c>
      <c r="BD23" s="16">
        <f t="shared" si="173"/>
        <v>0</v>
      </c>
      <c r="BE23" s="16">
        <f t="shared" si="173"/>
        <v>0</v>
      </c>
      <c r="BF23" s="16">
        <f t="shared" si="173"/>
        <v>0</v>
      </c>
    </row>
    <row r="24" spans="1:58" s="18" customFormat="1" ht="14.15" customHeight="1">
      <c r="A24" s="404">
        <f t="shared" si="52"/>
        <v>18</v>
      </c>
      <c r="B24" s="6"/>
      <c r="C24" s="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</row>
    <row r="25" spans="1:58" ht="14.15" customHeight="1">
      <c r="A25" s="404">
        <f t="shared" si="52"/>
        <v>19</v>
      </c>
      <c r="B25" s="83" t="s">
        <v>29</v>
      </c>
      <c r="C25" s="38">
        <f>SUM(D25:BF25)</f>
        <v>-8351712.5660330001</v>
      </c>
      <c r="D25" s="10">
        <f t="shared" ref="D25:I25" si="174">D464</f>
        <v>0</v>
      </c>
      <c r="E25" s="10">
        <f t="shared" si="174"/>
        <v>0</v>
      </c>
      <c r="F25" s="10">
        <f t="shared" si="174"/>
        <v>0</v>
      </c>
      <c r="G25" s="10">
        <f t="shared" si="174"/>
        <v>0</v>
      </c>
      <c r="H25" s="10">
        <f t="shared" si="174"/>
        <v>0</v>
      </c>
      <c r="I25" s="10">
        <f t="shared" si="174"/>
        <v>0</v>
      </c>
      <c r="J25" s="10">
        <f t="shared" ref="J25:V25" si="175">J464</f>
        <v>-209318.32</v>
      </c>
      <c r="K25" s="10">
        <f t="shared" ref="K25:U25" si="176">K464</f>
        <v>1980517.1109499999</v>
      </c>
      <c r="L25" s="10">
        <f t="shared" si="176"/>
        <v>0</v>
      </c>
      <c r="M25" s="10">
        <f t="shared" si="176"/>
        <v>0</v>
      </c>
      <c r="N25" s="10">
        <f t="shared" si="176"/>
        <v>0</v>
      </c>
      <c r="O25" s="10">
        <f t="shared" si="176"/>
        <v>0</v>
      </c>
      <c r="P25" s="10">
        <f t="shared" si="176"/>
        <v>0</v>
      </c>
      <c r="Q25" s="10">
        <f t="shared" si="176"/>
        <v>0</v>
      </c>
      <c r="R25" s="10">
        <f t="shared" si="176"/>
        <v>0</v>
      </c>
      <c r="S25" s="10">
        <f t="shared" si="176"/>
        <v>0</v>
      </c>
      <c r="T25" s="10">
        <f t="shared" si="176"/>
        <v>0</v>
      </c>
      <c r="U25" s="10">
        <f t="shared" si="176"/>
        <v>1384417.7399999979</v>
      </c>
      <c r="V25" s="10">
        <f t="shared" si="175"/>
        <v>-9355669</v>
      </c>
      <c r="W25" s="10">
        <f>W464</f>
        <v>0</v>
      </c>
      <c r="X25" s="10">
        <f t="shared" ref="X25:AD25" si="177">X464</f>
        <v>0</v>
      </c>
      <c r="Y25" s="10">
        <f>Y464</f>
        <v>0</v>
      </c>
      <c r="Z25" s="10">
        <f t="shared" si="177"/>
        <v>0</v>
      </c>
      <c r="AA25" s="10">
        <f t="shared" si="177"/>
        <v>0</v>
      </c>
      <c r="AB25" s="10">
        <f t="shared" si="177"/>
        <v>0</v>
      </c>
      <c r="AC25" s="10">
        <f t="shared" si="177"/>
        <v>0</v>
      </c>
      <c r="AD25" s="10">
        <f t="shared" si="177"/>
        <v>0</v>
      </c>
      <c r="AE25" s="10">
        <f>AE464</f>
        <v>465475.20400000003</v>
      </c>
      <c r="AF25" s="10">
        <f>AF464</f>
        <v>0</v>
      </c>
      <c r="AG25" s="10">
        <f>AG464</f>
        <v>0</v>
      </c>
      <c r="AH25" s="10">
        <f t="shared" ref="AH25" si="178">AH464</f>
        <v>0</v>
      </c>
      <c r="AI25" s="10">
        <f t="shared" ref="AI25:AL25" si="179">AI464</f>
        <v>3942450</v>
      </c>
      <c r="AJ25" s="10">
        <f t="shared" si="179"/>
        <v>113368.78</v>
      </c>
      <c r="AK25" s="10">
        <f t="shared" si="179"/>
        <v>0</v>
      </c>
      <c r="AL25" s="10">
        <f t="shared" si="179"/>
        <v>0</v>
      </c>
      <c r="AM25" s="10">
        <f>AM464</f>
        <v>0</v>
      </c>
      <c r="AN25" s="10">
        <f>AN464</f>
        <v>0</v>
      </c>
      <c r="AO25" s="10">
        <f>AO464</f>
        <v>0</v>
      </c>
      <c r="AP25" s="10">
        <f>AP464</f>
        <v>0</v>
      </c>
      <c r="AQ25" s="10">
        <f>AQ464</f>
        <v>0</v>
      </c>
      <c r="AR25" s="10">
        <f t="shared" ref="AR25" si="180">AR464</f>
        <v>0</v>
      </c>
      <c r="AS25" s="10">
        <f>AS464</f>
        <v>0</v>
      </c>
      <c r="AT25" s="10">
        <f t="shared" ref="AT25" si="181">AT464</f>
        <v>1167941.9025000017</v>
      </c>
      <c r="AU25" s="10">
        <f t="shared" ref="AU25" si="182">AU464</f>
        <v>-8425895.9834829997</v>
      </c>
      <c r="AV25" s="10">
        <f t="shared" ref="AV25" si="183">AV464</f>
        <v>585000</v>
      </c>
      <c r="AW25" s="10">
        <f>AW464</f>
        <v>915968.91411599994</v>
      </c>
      <c r="AX25" s="10">
        <f t="shared" ref="AX25" si="184">AX464</f>
        <v>-915968.91411599994</v>
      </c>
      <c r="AY25" s="10">
        <f t="shared" ref="AY25:BF25" si="185">AY464</f>
        <v>0</v>
      </c>
      <c r="AZ25" s="10">
        <f t="shared" si="185"/>
        <v>0</v>
      </c>
      <c r="BA25" s="10">
        <f t="shared" si="185"/>
        <v>0</v>
      </c>
      <c r="BB25" s="10">
        <f t="shared" si="185"/>
        <v>0</v>
      </c>
      <c r="BC25" s="10">
        <f t="shared" si="185"/>
        <v>0</v>
      </c>
      <c r="BD25" s="10">
        <f t="shared" si="185"/>
        <v>0</v>
      </c>
      <c r="BE25" s="10">
        <f t="shared" si="185"/>
        <v>0</v>
      </c>
      <c r="BF25" s="10">
        <f t="shared" si="185"/>
        <v>0</v>
      </c>
    </row>
    <row r="26" spans="1:58" ht="14.15" customHeight="1">
      <c r="A26" s="404">
        <f t="shared" si="52"/>
        <v>20</v>
      </c>
      <c r="B26" s="83" t="s">
        <v>30</v>
      </c>
      <c r="C26" s="38">
        <f>SUM(D26:BF26)</f>
        <v>5888215.6612645462</v>
      </c>
      <c r="D26" s="10">
        <f t="shared" ref="D26:I26" si="186">D483</f>
        <v>0</v>
      </c>
      <c r="E26" s="10">
        <f t="shared" si="186"/>
        <v>0</v>
      </c>
      <c r="F26" s="10">
        <f t="shared" si="186"/>
        <v>0</v>
      </c>
      <c r="G26" s="10">
        <f t="shared" si="186"/>
        <v>0</v>
      </c>
      <c r="H26" s="10">
        <f t="shared" si="186"/>
        <v>0</v>
      </c>
      <c r="I26" s="10">
        <f t="shared" si="186"/>
        <v>0</v>
      </c>
      <c r="J26" s="10">
        <f t="shared" ref="J26:V26" si="187">J483</f>
        <v>0</v>
      </c>
      <c r="K26" s="10">
        <f t="shared" ref="K26:U26" si="188">K483</f>
        <v>0</v>
      </c>
      <c r="L26" s="10">
        <f t="shared" si="188"/>
        <v>0</v>
      </c>
      <c r="M26" s="10">
        <f t="shared" si="188"/>
        <v>0</v>
      </c>
      <c r="N26" s="10">
        <f t="shared" si="188"/>
        <v>0</v>
      </c>
      <c r="O26" s="10">
        <f t="shared" si="188"/>
        <v>0</v>
      </c>
      <c r="P26" s="10">
        <f t="shared" si="188"/>
        <v>0</v>
      </c>
      <c r="Q26" s="10">
        <f t="shared" si="188"/>
        <v>0</v>
      </c>
      <c r="R26" s="10">
        <f t="shared" si="188"/>
        <v>0</v>
      </c>
      <c r="S26" s="10">
        <f t="shared" si="188"/>
        <v>0</v>
      </c>
      <c r="T26" s="10">
        <f t="shared" si="188"/>
        <v>0</v>
      </c>
      <c r="U26" s="10">
        <f t="shared" si="188"/>
        <v>376559.890000001</v>
      </c>
      <c r="V26" s="10">
        <f t="shared" si="187"/>
        <v>-188833</v>
      </c>
      <c r="W26" s="10">
        <f>W483</f>
        <v>0</v>
      </c>
      <c r="X26" s="10">
        <f t="shared" ref="X26:AD26" si="189">X483</f>
        <v>0</v>
      </c>
      <c r="Y26" s="10">
        <f>Y483</f>
        <v>0</v>
      </c>
      <c r="Z26" s="10">
        <f t="shared" si="189"/>
        <v>0</v>
      </c>
      <c r="AA26" s="10">
        <f t="shared" si="189"/>
        <v>0</v>
      </c>
      <c r="AB26" s="10">
        <f t="shared" si="189"/>
        <v>0</v>
      </c>
      <c r="AC26" s="10">
        <f t="shared" si="189"/>
        <v>0</v>
      </c>
      <c r="AD26" s="10">
        <f t="shared" si="189"/>
        <v>0</v>
      </c>
      <c r="AE26" s="10">
        <f>AE483</f>
        <v>0</v>
      </c>
      <c r="AF26" s="10">
        <f>AF483</f>
        <v>0</v>
      </c>
      <c r="AG26" s="10">
        <f>AG483</f>
        <v>247150.41459788004</v>
      </c>
      <c r="AH26" s="10">
        <f t="shared" ref="AH26" si="190">AH483</f>
        <v>0</v>
      </c>
      <c r="AI26" s="10">
        <f t="shared" ref="AI26:AL26" si="191">AI483</f>
        <v>0</v>
      </c>
      <c r="AJ26" s="10">
        <f t="shared" si="191"/>
        <v>0</v>
      </c>
      <c r="AK26" s="10">
        <f t="shared" si="191"/>
        <v>0</v>
      </c>
      <c r="AL26" s="10">
        <f t="shared" si="191"/>
        <v>0</v>
      </c>
      <c r="AM26" s="10">
        <f>AM483</f>
        <v>0</v>
      </c>
      <c r="AN26" s="10">
        <f>AN483</f>
        <v>4262813.3566666655</v>
      </c>
      <c r="AO26" s="10">
        <f>AO483</f>
        <v>0</v>
      </c>
      <c r="AP26" s="10">
        <f>AP483</f>
        <v>1190525</v>
      </c>
      <c r="AQ26" s="10">
        <f>AQ483</f>
        <v>0</v>
      </c>
      <c r="AR26" s="10">
        <f t="shared" ref="AR26" si="192">AR483</f>
        <v>0</v>
      </c>
      <c r="AS26" s="10">
        <f>AS483</f>
        <v>0</v>
      </c>
      <c r="AT26" s="10">
        <f t="shared" ref="AT26" si="193">AT483</f>
        <v>0</v>
      </c>
      <c r="AU26" s="10">
        <f t="shared" ref="AU26" si="194">AU483</f>
        <v>0</v>
      </c>
      <c r="AV26" s="10">
        <f t="shared" ref="AV26" si="195">AV483</f>
        <v>0</v>
      </c>
      <c r="AW26" s="10">
        <f>AW483</f>
        <v>0</v>
      </c>
      <c r="AX26" s="10">
        <f t="shared" ref="AX26" si="196">AX483</f>
        <v>0</v>
      </c>
      <c r="AY26" s="10">
        <f t="shared" ref="AY26:BF26" si="197">AY483</f>
        <v>0</v>
      </c>
      <c r="AZ26" s="10">
        <f t="shared" si="197"/>
        <v>0</v>
      </c>
      <c r="BA26" s="10">
        <f t="shared" si="197"/>
        <v>0</v>
      </c>
      <c r="BB26" s="10">
        <f t="shared" si="197"/>
        <v>0</v>
      </c>
      <c r="BC26" s="10">
        <f t="shared" si="197"/>
        <v>0</v>
      </c>
      <c r="BD26" s="10">
        <f t="shared" si="197"/>
        <v>0</v>
      </c>
      <c r="BE26" s="10">
        <f t="shared" si="197"/>
        <v>0</v>
      </c>
      <c r="BF26" s="10">
        <f t="shared" si="197"/>
        <v>0</v>
      </c>
    </row>
    <row r="27" spans="1:58" ht="14.15" customHeight="1">
      <c r="A27" s="404">
        <f t="shared" si="52"/>
        <v>21</v>
      </c>
      <c r="B27" s="83" t="s">
        <v>31</v>
      </c>
      <c r="C27" s="38">
        <f>SUM(D27:BF27)</f>
        <v>-132462.65003622149</v>
      </c>
      <c r="D27" s="10">
        <f t="shared" ref="D27:I27" si="198">D505</f>
        <v>122717</v>
      </c>
      <c r="E27" s="10">
        <f t="shared" si="198"/>
        <v>-25818</v>
      </c>
      <c r="F27" s="10">
        <f t="shared" si="198"/>
        <v>7266</v>
      </c>
      <c r="G27" s="10">
        <f t="shared" si="198"/>
        <v>135886</v>
      </c>
      <c r="H27" s="10">
        <f t="shared" si="198"/>
        <v>1653256</v>
      </c>
      <c r="I27" s="10">
        <f t="shared" si="198"/>
        <v>32220</v>
      </c>
      <c r="J27" s="10">
        <f t="shared" ref="J27:V27" si="199">J505</f>
        <v>10222</v>
      </c>
      <c r="K27" s="10">
        <f t="shared" ref="K27:U27" si="200">K505</f>
        <v>-1086300</v>
      </c>
      <c r="L27" s="10">
        <f t="shared" si="200"/>
        <v>-340001</v>
      </c>
      <c r="M27" s="10">
        <f t="shared" si="200"/>
        <v>-661715</v>
      </c>
      <c r="N27" s="10">
        <f t="shared" si="200"/>
        <v>-2897</v>
      </c>
      <c r="O27" s="10">
        <f t="shared" si="200"/>
        <v>0</v>
      </c>
      <c r="P27" s="10">
        <f t="shared" si="200"/>
        <v>0</v>
      </c>
      <c r="Q27" s="10">
        <f t="shared" si="200"/>
        <v>-109171</v>
      </c>
      <c r="R27" s="10">
        <f t="shared" si="200"/>
        <v>-29285</v>
      </c>
      <c r="S27" s="10">
        <f t="shared" si="200"/>
        <v>-500062</v>
      </c>
      <c r="T27" s="10">
        <f t="shared" si="200"/>
        <v>-14655</v>
      </c>
      <c r="U27" s="10">
        <f t="shared" si="200"/>
        <v>-243261</v>
      </c>
      <c r="V27" s="10">
        <f t="shared" si="199"/>
        <v>655562</v>
      </c>
      <c r="W27" s="10">
        <f>W505</f>
        <v>12218</v>
      </c>
      <c r="X27" s="10">
        <f t="shared" ref="X27:AD27" si="201">X505</f>
        <v>-10791</v>
      </c>
      <c r="Y27" s="10">
        <f>Y505</f>
        <v>0</v>
      </c>
      <c r="Z27" s="10">
        <f t="shared" si="201"/>
        <v>-12120</v>
      </c>
      <c r="AA27" s="10">
        <f t="shared" si="201"/>
        <v>2746</v>
      </c>
      <c r="AB27" s="10">
        <f t="shared" si="201"/>
        <v>-5859</v>
      </c>
      <c r="AC27" s="10">
        <f t="shared" si="201"/>
        <v>0</v>
      </c>
      <c r="AD27" s="10">
        <f t="shared" si="201"/>
        <v>3095</v>
      </c>
      <c r="AE27" s="10">
        <f>AE505</f>
        <v>-23319</v>
      </c>
      <c r="AF27" s="10">
        <f>AF505</f>
        <v>154627</v>
      </c>
      <c r="AG27" s="10">
        <f>AG505</f>
        <v>-169230</v>
      </c>
      <c r="AH27" s="10">
        <f t="shared" ref="AH27" si="202">AH505</f>
        <v>1211</v>
      </c>
      <c r="AI27" s="10">
        <f t="shared" ref="AI27:AL27" si="203">AI505</f>
        <v>0</v>
      </c>
      <c r="AJ27" s="10">
        <f t="shared" si="203"/>
        <v>0</v>
      </c>
      <c r="AK27" s="10">
        <f t="shared" si="203"/>
        <v>-6240</v>
      </c>
      <c r="AL27" s="10">
        <f t="shared" si="203"/>
        <v>-5738</v>
      </c>
      <c r="AM27" s="10">
        <f>AM505</f>
        <v>-294880</v>
      </c>
      <c r="AN27" s="10">
        <f>AN505</f>
        <v>-213554</v>
      </c>
      <c r="AO27" s="10">
        <f>AO505</f>
        <v>0</v>
      </c>
      <c r="AP27" s="10">
        <f>AP505</f>
        <v>-59642</v>
      </c>
      <c r="AQ27" s="10">
        <f>AQ505</f>
        <v>-60727</v>
      </c>
      <c r="AR27" s="10">
        <f t="shared" ref="AR27" si="204">AR505</f>
        <v>84628</v>
      </c>
      <c r="AS27" s="10">
        <f>AS505</f>
        <v>-7052</v>
      </c>
      <c r="AT27" s="10">
        <f t="shared" ref="AT27" si="205">AT505</f>
        <v>-422112</v>
      </c>
      <c r="AU27" s="10">
        <f t="shared" ref="AU27" si="206">AU505</f>
        <v>422112</v>
      </c>
      <c r="AV27" s="10">
        <f t="shared" ref="AV27" si="207">AV505</f>
        <v>279289</v>
      </c>
      <c r="AW27" s="10">
        <f>AW505</f>
        <v>-45887</v>
      </c>
      <c r="AX27" s="10">
        <f t="shared" ref="AX27" si="208">AX505</f>
        <v>45887</v>
      </c>
      <c r="AY27" s="10">
        <f t="shared" ref="AY27:BF27" si="209">AY505</f>
        <v>0</v>
      </c>
      <c r="AZ27" s="10">
        <f t="shared" si="209"/>
        <v>0</v>
      </c>
      <c r="BA27" s="10">
        <f t="shared" si="209"/>
        <v>594911.34996377851</v>
      </c>
      <c r="BB27" s="10">
        <f t="shared" si="209"/>
        <v>0</v>
      </c>
      <c r="BC27" s="10">
        <f t="shared" si="209"/>
        <v>0</v>
      </c>
      <c r="BD27" s="10">
        <f t="shared" si="209"/>
        <v>0</v>
      </c>
      <c r="BE27" s="10">
        <f t="shared" si="209"/>
        <v>0</v>
      </c>
      <c r="BF27" s="10">
        <f t="shared" si="209"/>
        <v>0</v>
      </c>
    </row>
    <row r="28" spans="1:58" ht="14.15" customHeight="1">
      <c r="A28" s="404">
        <f t="shared" si="52"/>
        <v>22</v>
      </c>
      <c r="B28" s="83" t="s">
        <v>32</v>
      </c>
      <c r="C28" s="38">
        <f>SUM(D28:BF28)</f>
        <v>-243878.88847500016</v>
      </c>
      <c r="D28" s="10">
        <f t="shared" ref="D28:I28" si="210">D490</f>
        <v>0</v>
      </c>
      <c r="E28" s="10">
        <f t="shared" si="210"/>
        <v>0</v>
      </c>
      <c r="F28" s="10">
        <f t="shared" si="210"/>
        <v>0</v>
      </c>
      <c r="G28" s="10">
        <f t="shared" si="210"/>
        <v>0</v>
      </c>
      <c r="H28" s="10">
        <f t="shared" si="210"/>
        <v>0</v>
      </c>
      <c r="I28" s="10">
        <f t="shared" si="210"/>
        <v>0</v>
      </c>
      <c r="J28" s="10">
        <f t="shared" ref="J28:V28" si="211">J490</f>
        <v>0</v>
      </c>
      <c r="K28" s="10">
        <f t="shared" ref="K28:U28" si="212">K490</f>
        <v>0</v>
      </c>
      <c r="L28" s="10">
        <f t="shared" si="212"/>
        <v>0</v>
      </c>
      <c r="M28" s="10">
        <f t="shared" si="212"/>
        <v>0</v>
      </c>
      <c r="N28" s="10">
        <f t="shared" si="212"/>
        <v>0</v>
      </c>
      <c r="O28" s="10">
        <f t="shared" si="212"/>
        <v>0</v>
      </c>
      <c r="P28" s="10">
        <f t="shared" si="212"/>
        <v>0</v>
      </c>
      <c r="Q28" s="10">
        <f t="shared" si="212"/>
        <v>0</v>
      </c>
      <c r="R28" s="10">
        <f t="shared" si="212"/>
        <v>0</v>
      </c>
      <c r="S28" s="10">
        <f t="shared" si="212"/>
        <v>0</v>
      </c>
      <c r="T28" s="10">
        <f t="shared" si="212"/>
        <v>0</v>
      </c>
      <c r="U28" s="10">
        <f t="shared" si="212"/>
        <v>0</v>
      </c>
      <c r="V28" s="10">
        <f t="shared" si="211"/>
        <v>0</v>
      </c>
      <c r="W28" s="10">
        <f>W490</f>
        <v>-243878.88847500016</v>
      </c>
      <c r="X28" s="10">
        <f t="shared" ref="X28:AD28" si="213">X490</f>
        <v>0</v>
      </c>
      <c r="Y28" s="10">
        <f>Y490</f>
        <v>0</v>
      </c>
      <c r="Z28" s="10">
        <f t="shared" si="213"/>
        <v>0</v>
      </c>
      <c r="AA28" s="10">
        <f t="shared" si="213"/>
        <v>0</v>
      </c>
      <c r="AB28" s="10">
        <f t="shared" si="213"/>
        <v>0</v>
      </c>
      <c r="AC28" s="10">
        <f t="shared" si="213"/>
        <v>0</v>
      </c>
      <c r="AD28" s="10">
        <f t="shared" si="213"/>
        <v>0</v>
      </c>
      <c r="AE28" s="10">
        <f>AE490</f>
        <v>0</v>
      </c>
      <c r="AF28" s="10">
        <f>AF490</f>
        <v>0</v>
      </c>
      <c r="AG28" s="10">
        <f>AG490</f>
        <v>0</v>
      </c>
      <c r="AH28" s="10">
        <f t="shared" ref="AH28" si="214">AH490</f>
        <v>0</v>
      </c>
      <c r="AI28" s="10">
        <f t="shared" ref="AI28:AL28" si="215">AI490</f>
        <v>0</v>
      </c>
      <c r="AJ28" s="10">
        <f t="shared" si="215"/>
        <v>0</v>
      </c>
      <c r="AK28" s="10">
        <f t="shared" si="215"/>
        <v>0</v>
      </c>
      <c r="AL28" s="10">
        <f t="shared" si="215"/>
        <v>0</v>
      </c>
      <c r="AM28" s="10">
        <f>AM490</f>
        <v>0</v>
      </c>
      <c r="AN28" s="10">
        <f>AN490</f>
        <v>0</v>
      </c>
      <c r="AO28" s="10">
        <f>AO490</f>
        <v>0</v>
      </c>
      <c r="AP28" s="10">
        <f>AP490</f>
        <v>0</v>
      </c>
      <c r="AQ28" s="10">
        <f>AQ490</f>
        <v>0</v>
      </c>
      <c r="AR28" s="10">
        <f t="shared" ref="AR28" si="216">AR490</f>
        <v>0</v>
      </c>
      <c r="AS28" s="10">
        <f>AS490</f>
        <v>0</v>
      </c>
      <c r="AT28" s="10">
        <f t="shared" ref="AT28" si="217">AT490</f>
        <v>0</v>
      </c>
      <c r="AU28" s="10">
        <f t="shared" ref="AU28" si="218">AU490</f>
        <v>0</v>
      </c>
      <c r="AV28" s="10">
        <f t="shared" ref="AV28" si="219">AV490</f>
        <v>0</v>
      </c>
      <c r="AW28" s="10">
        <f>AW490</f>
        <v>0</v>
      </c>
      <c r="AX28" s="10">
        <f t="shared" ref="AX28" si="220">AX490</f>
        <v>0</v>
      </c>
      <c r="AY28" s="10">
        <f t="shared" ref="AY28:BF28" si="221">AY490</f>
        <v>0</v>
      </c>
      <c r="AZ28" s="10">
        <f t="shared" si="221"/>
        <v>0</v>
      </c>
      <c r="BA28" s="10">
        <f t="shared" si="221"/>
        <v>0</v>
      </c>
      <c r="BB28" s="10">
        <f t="shared" si="221"/>
        <v>0</v>
      </c>
      <c r="BC28" s="10">
        <f t="shared" si="221"/>
        <v>0</v>
      </c>
      <c r="BD28" s="10">
        <f t="shared" si="221"/>
        <v>0</v>
      </c>
      <c r="BE28" s="10">
        <f t="shared" si="221"/>
        <v>0</v>
      </c>
      <c r="BF28" s="10">
        <f t="shared" si="221"/>
        <v>0</v>
      </c>
    </row>
    <row r="29" spans="1:58" ht="14.15" customHeight="1">
      <c r="A29" s="404">
        <f t="shared" si="52"/>
        <v>23</v>
      </c>
      <c r="B29" s="56" t="s">
        <v>33</v>
      </c>
      <c r="C29" s="197">
        <f>SUM(D29:BF29)</f>
        <v>153068.90000000008</v>
      </c>
      <c r="D29" s="64">
        <f t="shared" ref="D29:I29" si="222">D501</f>
        <v>0</v>
      </c>
      <c r="E29" s="64">
        <f t="shared" si="222"/>
        <v>0</v>
      </c>
      <c r="F29" s="64">
        <f t="shared" si="222"/>
        <v>0</v>
      </c>
      <c r="G29" s="64">
        <f t="shared" si="222"/>
        <v>0</v>
      </c>
      <c r="H29" s="64">
        <f t="shared" si="222"/>
        <v>0</v>
      </c>
      <c r="I29" s="64">
        <f t="shared" si="222"/>
        <v>0</v>
      </c>
      <c r="J29" s="64">
        <f t="shared" ref="J29:V29" si="223">J501</f>
        <v>0</v>
      </c>
      <c r="K29" s="64">
        <f t="shared" ref="K29:U29" si="224">K501</f>
        <v>0</v>
      </c>
      <c r="L29" s="64">
        <f t="shared" si="224"/>
        <v>0</v>
      </c>
      <c r="M29" s="64">
        <f t="shared" si="224"/>
        <v>0</v>
      </c>
      <c r="N29" s="64">
        <f t="shared" si="224"/>
        <v>0</v>
      </c>
      <c r="O29" s="64">
        <f t="shared" si="224"/>
        <v>0</v>
      </c>
      <c r="P29" s="64">
        <f t="shared" si="224"/>
        <v>0</v>
      </c>
      <c r="Q29" s="64">
        <f t="shared" si="224"/>
        <v>0</v>
      </c>
      <c r="R29" s="64">
        <f t="shared" si="224"/>
        <v>0</v>
      </c>
      <c r="S29" s="64">
        <f t="shared" si="224"/>
        <v>0</v>
      </c>
      <c r="T29" s="64">
        <f t="shared" si="224"/>
        <v>0</v>
      </c>
      <c r="U29" s="64">
        <f t="shared" si="224"/>
        <v>28502.250000000091</v>
      </c>
      <c r="V29" s="64">
        <f t="shared" si="223"/>
        <v>0</v>
      </c>
      <c r="W29" s="64">
        <f>W501</f>
        <v>0</v>
      </c>
      <c r="X29" s="64">
        <f t="shared" ref="X29:AD29" si="225">X501</f>
        <v>0</v>
      </c>
      <c r="Y29" s="64">
        <f>Y501</f>
        <v>0</v>
      </c>
      <c r="Z29" s="64">
        <f t="shared" si="225"/>
        <v>0</v>
      </c>
      <c r="AA29" s="64">
        <f t="shared" si="225"/>
        <v>0</v>
      </c>
      <c r="AB29" s="64">
        <f t="shared" si="225"/>
        <v>0</v>
      </c>
      <c r="AC29" s="64">
        <f t="shared" si="225"/>
        <v>0</v>
      </c>
      <c r="AD29" s="64">
        <f t="shared" si="225"/>
        <v>0</v>
      </c>
      <c r="AE29" s="64">
        <f>AE501</f>
        <v>0</v>
      </c>
      <c r="AF29" s="64">
        <f>AF501</f>
        <v>0</v>
      </c>
      <c r="AG29" s="64">
        <f>AG501</f>
        <v>0</v>
      </c>
      <c r="AH29" s="64">
        <f t="shared" ref="AH29" si="226">AH501</f>
        <v>0</v>
      </c>
      <c r="AI29" s="64">
        <f t="shared" ref="AI29:AL29" si="227">AI501</f>
        <v>0</v>
      </c>
      <c r="AJ29" s="64">
        <f t="shared" si="227"/>
        <v>0</v>
      </c>
      <c r="AK29" s="64">
        <f t="shared" si="227"/>
        <v>124566.65</v>
      </c>
      <c r="AL29" s="64">
        <f t="shared" si="227"/>
        <v>0</v>
      </c>
      <c r="AM29" s="64">
        <f>AM501</f>
        <v>0</v>
      </c>
      <c r="AN29" s="64">
        <f>AN501</f>
        <v>0</v>
      </c>
      <c r="AO29" s="64">
        <f>AO501</f>
        <v>0</v>
      </c>
      <c r="AP29" s="64">
        <f>AP501</f>
        <v>0</v>
      </c>
      <c r="AQ29" s="64">
        <f>AQ501</f>
        <v>0</v>
      </c>
      <c r="AR29" s="64">
        <f t="shared" ref="AR29" si="228">AR501</f>
        <v>0</v>
      </c>
      <c r="AS29" s="64">
        <f>AS501</f>
        <v>0</v>
      </c>
      <c r="AT29" s="64">
        <f t="shared" ref="AT29" si="229">AT501</f>
        <v>0</v>
      </c>
      <c r="AU29" s="64">
        <f t="shared" ref="AU29" si="230">AU501</f>
        <v>0</v>
      </c>
      <c r="AV29" s="64">
        <f t="shared" ref="AV29" si="231">AV501</f>
        <v>0</v>
      </c>
      <c r="AW29" s="64">
        <f>AW501</f>
        <v>0</v>
      </c>
      <c r="AX29" s="64">
        <f t="shared" ref="AX29" si="232">AX501</f>
        <v>0</v>
      </c>
      <c r="AY29" s="64">
        <f t="shared" ref="AY29:BF29" si="233">AY501</f>
        <v>0</v>
      </c>
      <c r="AZ29" s="64">
        <f t="shared" si="233"/>
        <v>0</v>
      </c>
      <c r="BA29" s="64">
        <f t="shared" si="233"/>
        <v>0</v>
      </c>
      <c r="BB29" s="64">
        <f t="shared" si="233"/>
        <v>0</v>
      </c>
      <c r="BC29" s="64">
        <f t="shared" si="233"/>
        <v>0</v>
      </c>
      <c r="BD29" s="64">
        <f t="shared" si="233"/>
        <v>0</v>
      </c>
      <c r="BE29" s="64">
        <f t="shared" si="233"/>
        <v>0</v>
      </c>
      <c r="BF29" s="64">
        <f t="shared" si="233"/>
        <v>0</v>
      </c>
    </row>
    <row r="30" spans="1:58" s="18" customFormat="1" ht="14.15" customHeight="1">
      <c r="A30" s="404">
        <f t="shared" si="52"/>
        <v>24</v>
      </c>
      <c r="B30" s="2" t="s">
        <v>34</v>
      </c>
      <c r="C30" s="16">
        <f t="shared" ref="C30" si="234">SUM(C12)-SUM(C23:C29)</f>
        <v>-10283611.164882258</v>
      </c>
      <c r="D30" s="16">
        <f t="shared" ref="D30:W30" si="235">SUM(D12)-SUM(D23:D29)</f>
        <v>2326866</v>
      </c>
      <c r="E30" s="16">
        <f t="shared" si="235"/>
        <v>-489543.63697997667</v>
      </c>
      <c r="F30" s="16">
        <f t="shared" si="235"/>
        <v>137768</v>
      </c>
      <c r="G30" s="16">
        <f t="shared" si="235"/>
        <v>2576563.39</v>
      </c>
      <c r="H30" s="16">
        <f t="shared" si="235"/>
        <v>31347840.547184512</v>
      </c>
      <c r="I30" s="16">
        <f t="shared" si="235"/>
        <v>610928</v>
      </c>
      <c r="J30" s="16">
        <f t="shared" si="235"/>
        <v>193820.13</v>
      </c>
      <c r="K30" s="16">
        <f t="shared" si="235"/>
        <v>-20597630.110950001</v>
      </c>
      <c r="L30" s="16">
        <f t="shared" si="235"/>
        <v>-6446855</v>
      </c>
      <c r="M30" s="16">
        <f t="shared" si="235"/>
        <v>-12546956.85</v>
      </c>
      <c r="N30" s="16">
        <f t="shared" si="235"/>
        <v>-54929.840000000026</v>
      </c>
      <c r="O30" s="16">
        <f t="shared" si="235"/>
        <v>0</v>
      </c>
      <c r="P30" s="16">
        <f t="shared" si="235"/>
        <v>0</v>
      </c>
      <c r="Q30" s="16">
        <f t="shared" si="235"/>
        <v>-2070023.1921026742</v>
      </c>
      <c r="R30" s="16">
        <f t="shared" si="235"/>
        <v>-555277.78923012456</v>
      </c>
      <c r="S30" s="16">
        <f t="shared" si="235"/>
        <v>-9481811</v>
      </c>
      <c r="T30" s="16">
        <f t="shared" si="235"/>
        <v>-277887.07</v>
      </c>
      <c r="U30" s="16">
        <f t="shared" si="235"/>
        <v>-4612531.4358000569</v>
      </c>
      <c r="V30" s="16">
        <f t="shared" si="235"/>
        <v>12430289</v>
      </c>
      <c r="W30" s="16">
        <f t="shared" si="235"/>
        <v>231660.88847500016</v>
      </c>
      <c r="X30" s="16">
        <f t="shared" ref="X30:AD30" si="236">SUM(X12)-SUM(X23:X29)</f>
        <v>-204617.01999999955</v>
      </c>
      <c r="Y30" s="16">
        <f>SUM(Y12)-SUM(Y23:Y29)</f>
        <v>0</v>
      </c>
      <c r="Z30" s="16">
        <f t="shared" si="236"/>
        <v>-229818.96000000002</v>
      </c>
      <c r="AA30" s="16">
        <f t="shared" si="236"/>
        <v>52057.77</v>
      </c>
      <c r="AB30" s="16">
        <f t="shared" si="236"/>
        <v>-111084.45999999996</v>
      </c>
      <c r="AC30" s="16">
        <f t="shared" si="236"/>
        <v>-4985006.8612336004</v>
      </c>
      <c r="AD30" s="16">
        <f t="shared" si="236"/>
        <v>58692</v>
      </c>
      <c r="AE30" s="16">
        <f t="shared" ref="AE30:AF30" si="237">SUM(AE12)-SUM(AE23:AE29)</f>
        <v>-442156.20400000003</v>
      </c>
      <c r="AF30" s="16">
        <f t="shared" si="237"/>
        <v>2931922</v>
      </c>
      <c r="AG30" s="16">
        <f>SUM(AG12)-SUM(AG23:AG29)</f>
        <v>-3208823.2145978799</v>
      </c>
      <c r="AH30" s="16">
        <f t="shared" ref="AH30:AL30" si="238">SUM(AH12)-SUM(AH23:AH29)</f>
        <v>22960.38</v>
      </c>
      <c r="AI30" s="16">
        <f t="shared" si="238"/>
        <v>-3942450</v>
      </c>
      <c r="AJ30" s="16">
        <f t="shared" si="238"/>
        <v>-113368.78</v>
      </c>
      <c r="AK30" s="16">
        <f t="shared" si="238"/>
        <v>-118326.65</v>
      </c>
      <c r="AL30" s="16">
        <f t="shared" si="238"/>
        <v>-108790.71999999997</v>
      </c>
      <c r="AM30" s="16">
        <f>SUM(AM12)-SUM(AM23:AM29)</f>
        <v>294880</v>
      </c>
      <c r="AN30" s="16">
        <f>SUM(AN12)-SUM(AN23:AN29)</f>
        <v>-4049259.3566666655</v>
      </c>
      <c r="AO30" s="16">
        <f>SUM(AO12)-SUM(AO23:AO29)</f>
        <v>0</v>
      </c>
      <c r="AP30" s="16">
        <f>SUM(AP12)-SUM(AP23:AP29)</f>
        <v>-1130883</v>
      </c>
      <c r="AQ30" s="16">
        <f>SUM(AQ12)-SUM(AQ23:AQ29)</f>
        <v>-1151470.6499999999</v>
      </c>
      <c r="AR30" s="16">
        <f t="shared" ref="AR30" si="239">SUM(AR12)-SUM(AR23:AR29)</f>
        <v>1604648</v>
      </c>
      <c r="AS30" s="16">
        <f t="shared" ref="AS30" si="240">SUM(AS12)-SUM(AS23:AS29)</f>
        <v>-133721</v>
      </c>
      <c r="AT30" s="16">
        <f t="shared" ref="AT30:AU30" si="241">SUM(AT12)-SUM(AT23:AT29)</f>
        <v>-745829.90250000171</v>
      </c>
      <c r="AU30" s="16">
        <f t="shared" si="241"/>
        <v>8003783.9834829997</v>
      </c>
      <c r="AV30" s="16">
        <f t="shared" ref="AV30" si="242">SUM(AV12)-SUM(AV23:AV29)</f>
        <v>5295672.8000000007</v>
      </c>
      <c r="AW30" s="16">
        <f>SUM(AW12)-SUM(AW23:AW29)</f>
        <v>-870081.91411599994</v>
      </c>
      <c r="AX30" s="16">
        <f t="shared" ref="AX30" si="243">SUM(AX12)-SUM(AX23:AX29)</f>
        <v>870081.91411599994</v>
      </c>
      <c r="AY30" s="16">
        <f t="shared" ref="AY30:BF30" si="244">SUM(AY12)-SUM(AY23:AY29)</f>
        <v>0</v>
      </c>
      <c r="AZ30" s="16">
        <f t="shared" si="244"/>
        <v>0</v>
      </c>
      <c r="BA30" s="16">
        <f t="shared" si="244"/>
        <v>-594911.34996377851</v>
      </c>
      <c r="BB30" s="16">
        <f t="shared" si="244"/>
        <v>0</v>
      </c>
      <c r="BC30" s="16">
        <f t="shared" si="244"/>
        <v>0</v>
      </c>
      <c r="BD30" s="16">
        <f t="shared" si="244"/>
        <v>0</v>
      </c>
      <c r="BE30" s="16">
        <f t="shared" si="244"/>
        <v>0</v>
      </c>
      <c r="BF30" s="16">
        <f t="shared" si="244"/>
        <v>0</v>
      </c>
    </row>
    <row r="31" spans="1:58" s="18" customFormat="1" ht="14.15" customHeight="1">
      <c r="A31" s="404">
        <f t="shared" si="52"/>
        <v>25</v>
      </c>
      <c r="B31" s="6" t="s">
        <v>989</v>
      </c>
      <c r="C31" s="16">
        <f t="shared" ref="C31:V31" si="245">C30+C27</f>
        <v>-10416073.814918479</v>
      </c>
      <c r="D31" s="16">
        <f t="shared" ref="D31:I31" si="246">D30+D27</f>
        <v>2449583</v>
      </c>
      <c r="E31" s="16">
        <f t="shared" si="246"/>
        <v>-515361.63697997667</v>
      </c>
      <c r="F31" s="16">
        <f t="shared" si="246"/>
        <v>145034</v>
      </c>
      <c r="G31" s="16">
        <f t="shared" si="246"/>
        <v>2712449.39</v>
      </c>
      <c r="H31" s="16">
        <f t="shared" si="246"/>
        <v>33001096.547184512</v>
      </c>
      <c r="I31" s="16">
        <f t="shared" si="246"/>
        <v>643148</v>
      </c>
      <c r="J31" s="16">
        <f t="shared" si="245"/>
        <v>204042.13</v>
      </c>
      <c r="K31" s="16">
        <f t="shared" ref="K31:U31" si="247">K30+K27</f>
        <v>-21683930.110950001</v>
      </c>
      <c r="L31" s="16">
        <f t="shared" si="247"/>
        <v>-6786856</v>
      </c>
      <c r="M31" s="16">
        <f t="shared" si="247"/>
        <v>-13208671.85</v>
      </c>
      <c r="N31" s="16">
        <f t="shared" si="247"/>
        <v>-57826.840000000026</v>
      </c>
      <c r="O31" s="16">
        <f t="shared" si="247"/>
        <v>0</v>
      </c>
      <c r="P31" s="16">
        <f t="shared" si="247"/>
        <v>0</v>
      </c>
      <c r="Q31" s="16">
        <f t="shared" si="247"/>
        <v>-2179194.1921026744</v>
      </c>
      <c r="R31" s="16">
        <f t="shared" si="247"/>
        <v>-584562.78923012456</v>
      </c>
      <c r="S31" s="16">
        <f t="shared" si="247"/>
        <v>-9981873</v>
      </c>
      <c r="T31" s="16">
        <f t="shared" si="247"/>
        <v>-292542.07</v>
      </c>
      <c r="U31" s="16">
        <f t="shared" si="247"/>
        <v>-4855792.4358000569</v>
      </c>
      <c r="V31" s="16">
        <f t="shared" si="245"/>
        <v>13085851</v>
      </c>
      <c r="W31" s="16">
        <f t="shared" ref="W31:AG31" si="248">W30+W27</f>
        <v>243878.88847500016</v>
      </c>
      <c r="X31" s="16">
        <f t="shared" si="248"/>
        <v>-215408.01999999955</v>
      </c>
      <c r="Y31" s="16">
        <f t="shared" si="248"/>
        <v>0</v>
      </c>
      <c r="Z31" s="16">
        <f t="shared" si="248"/>
        <v>-241938.96000000002</v>
      </c>
      <c r="AA31" s="16">
        <f t="shared" si="248"/>
        <v>54803.77</v>
      </c>
      <c r="AB31" s="16">
        <f t="shared" si="248"/>
        <v>-116943.45999999996</v>
      </c>
      <c r="AC31" s="16">
        <f t="shared" si="248"/>
        <v>-4985006.8612336004</v>
      </c>
      <c r="AD31" s="16">
        <f t="shared" si="248"/>
        <v>61787</v>
      </c>
      <c r="AE31" s="16">
        <f t="shared" si="248"/>
        <v>-465475.20400000003</v>
      </c>
      <c r="AF31" s="16">
        <f t="shared" si="248"/>
        <v>3086549</v>
      </c>
      <c r="AG31" s="16">
        <f t="shared" si="248"/>
        <v>-3378053.2145978799</v>
      </c>
      <c r="AH31" s="16">
        <f t="shared" ref="AH31:AL31" si="249">AH30+AH27</f>
        <v>24171.38</v>
      </c>
      <c r="AI31" s="16">
        <f t="shared" si="249"/>
        <v>-3942450</v>
      </c>
      <c r="AJ31" s="16">
        <f t="shared" si="249"/>
        <v>-113368.78</v>
      </c>
      <c r="AK31" s="16">
        <f t="shared" si="249"/>
        <v>-124566.65</v>
      </c>
      <c r="AL31" s="16">
        <f t="shared" si="249"/>
        <v>-114528.71999999997</v>
      </c>
      <c r="AM31" s="16">
        <f t="shared" ref="AM31:AS31" si="250">AM30+AM27</f>
        <v>0</v>
      </c>
      <c r="AN31" s="16">
        <f t="shared" si="250"/>
        <v>-4262813.3566666655</v>
      </c>
      <c r="AO31" s="16">
        <f t="shared" si="250"/>
        <v>0</v>
      </c>
      <c r="AP31" s="16">
        <f t="shared" si="250"/>
        <v>-1190525</v>
      </c>
      <c r="AQ31" s="16">
        <f t="shared" si="250"/>
        <v>-1212197.6499999999</v>
      </c>
      <c r="AR31" s="16">
        <f t="shared" si="250"/>
        <v>1689276</v>
      </c>
      <c r="AS31" s="16">
        <f t="shared" si="250"/>
        <v>-140773</v>
      </c>
      <c r="AT31" s="16">
        <f t="shared" ref="AT31" si="251">AT30+AT27</f>
        <v>-1167941.9025000017</v>
      </c>
      <c r="AU31" s="16">
        <f t="shared" ref="AU31" si="252">AU30+AU27</f>
        <v>8425895.9834829997</v>
      </c>
      <c r="AV31" s="16">
        <f>AV30+AV27</f>
        <v>5574961.8000000007</v>
      </c>
      <c r="AW31" s="16">
        <f>AW30+AW27</f>
        <v>-915968.91411599994</v>
      </c>
      <c r="AX31" s="16">
        <f t="shared" ref="AX31" si="253">AX30+AX27</f>
        <v>915968.91411599994</v>
      </c>
      <c r="AY31" s="16">
        <f t="shared" ref="AY31:BF31" si="254">AY30+AY27</f>
        <v>0</v>
      </c>
      <c r="AZ31" s="16">
        <f t="shared" si="254"/>
        <v>0</v>
      </c>
      <c r="BA31" s="16">
        <f t="shared" si="254"/>
        <v>0</v>
      </c>
      <c r="BB31" s="16">
        <f t="shared" si="254"/>
        <v>0</v>
      </c>
      <c r="BC31" s="16">
        <f t="shared" si="254"/>
        <v>0</v>
      </c>
      <c r="BD31" s="16">
        <f t="shared" si="254"/>
        <v>0</v>
      </c>
      <c r="BE31" s="16">
        <f t="shared" si="254"/>
        <v>0</v>
      </c>
      <c r="BF31" s="16">
        <f t="shared" si="254"/>
        <v>0</v>
      </c>
    </row>
    <row r="32" spans="1:58" ht="14.15" customHeight="1">
      <c r="A32" s="404">
        <f t="shared" si="52"/>
        <v>26</v>
      </c>
      <c r="B32" s="3" t="s">
        <v>35</v>
      </c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</row>
    <row r="33" spans="1:58" ht="14.15" customHeight="1">
      <c r="A33" s="404">
        <f t="shared" si="52"/>
        <v>27</v>
      </c>
      <c r="B33" s="83" t="s">
        <v>36</v>
      </c>
      <c r="C33" s="38">
        <f>SUM(D33:BF33)</f>
        <v>-527461.66569704702</v>
      </c>
      <c r="D33" s="10">
        <f t="shared" ref="D33:H36" si="255">D506</f>
        <v>488642</v>
      </c>
      <c r="E33" s="10">
        <f t="shared" si="255"/>
        <v>-102804</v>
      </c>
      <c r="F33" s="10">
        <f t="shared" si="255"/>
        <v>28931</v>
      </c>
      <c r="G33" s="10">
        <f t="shared" si="255"/>
        <v>541078</v>
      </c>
      <c r="H33" s="10">
        <f t="shared" si="255"/>
        <v>6583047</v>
      </c>
      <c r="I33" s="10">
        <f t="shared" ref="I33" si="256">I506</f>
        <v>128295</v>
      </c>
      <c r="J33" s="10">
        <f>J506</f>
        <v>40702</v>
      </c>
      <c r="K33" s="10">
        <f>K506</f>
        <v>-4325502</v>
      </c>
      <c r="L33" s="10">
        <f t="shared" ref="L33:L36" si="257">L506</f>
        <v>-1353840</v>
      </c>
      <c r="M33" s="10">
        <f t="shared" ref="M33:R36" si="258">M506</f>
        <v>-2634861</v>
      </c>
      <c r="N33" s="10">
        <f t="shared" si="258"/>
        <v>-11535</v>
      </c>
      <c r="O33" s="10">
        <f t="shared" si="258"/>
        <v>0</v>
      </c>
      <c r="P33" s="10">
        <f t="shared" si="258"/>
        <v>0</v>
      </c>
      <c r="Q33" s="10">
        <f t="shared" si="258"/>
        <v>-434705</v>
      </c>
      <c r="R33" s="10">
        <f t="shared" si="258"/>
        <v>-116608</v>
      </c>
      <c r="S33" s="10">
        <f t="shared" ref="S33:S36" si="259">S506</f>
        <v>-1991180</v>
      </c>
      <c r="T33" s="10">
        <f>T506</f>
        <v>-58356</v>
      </c>
      <c r="U33" s="10">
        <f>U506</f>
        <v>-968632</v>
      </c>
      <c r="V33" s="10">
        <f>V506</f>
        <v>2610361</v>
      </c>
      <c r="W33" s="10">
        <f>W506</f>
        <v>48649</v>
      </c>
      <c r="X33" s="10">
        <f t="shared" ref="X33:AD33" si="260">X506</f>
        <v>-42970</v>
      </c>
      <c r="Y33" s="10">
        <f>Y506</f>
        <v>0</v>
      </c>
      <c r="Z33" s="10">
        <f t="shared" si="260"/>
        <v>-48262</v>
      </c>
      <c r="AA33" s="10">
        <f t="shared" si="260"/>
        <v>10932</v>
      </c>
      <c r="AB33" s="10">
        <f t="shared" si="260"/>
        <v>-23328</v>
      </c>
      <c r="AC33" s="10">
        <f t="shared" si="260"/>
        <v>0</v>
      </c>
      <c r="AD33" s="10">
        <f t="shared" si="260"/>
        <v>12325</v>
      </c>
      <c r="AE33" s="10">
        <f t="shared" ref="AE33:AE36" si="261">AE506</f>
        <v>-92853</v>
      </c>
      <c r="AF33" s="10">
        <f t="shared" ref="AF33:AG36" si="262">AF506</f>
        <v>615704</v>
      </c>
      <c r="AG33" s="10">
        <f t="shared" si="262"/>
        <v>-673853</v>
      </c>
      <c r="AH33" s="10">
        <f>AH506</f>
        <v>4822</v>
      </c>
      <c r="AI33" s="10">
        <f t="shared" ref="AI33:AL33" si="263">AI506</f>
        <v>0</v>
      </c>
      <c r="AJ33" s="10">
        <f t="shared" si="263"/>
        <v>0</v>
      </c>
      <c r="AK33" s="10">
        <f t="shared" si="263"/>
        <v>-24849</v>
      </c>
      <c r="AL33" s="10">
        <f t="shared" si="263"/>
        <v>-22846</v>
      </c>
      <c r="AM33" s="10">
        <f>AM506</f>
        <v>-1174172</v>
      </c>
      <c r="AN33" s="10">
        <f t="shared" ref="AN33:AP36" si="264">AN506</f>
        <v>-850344</v>
      </c>
      <c r="AO33" s="10">
        <f t="shared" si="264"/>
        <v>0</v>
      </c>
      <c r="AP33" s="10">
        <f t="shared" si="264"/>
        <v>-237485</v>
      </c>
      <c r="AQ33" s="10">
        <f>AQ506</f>
        <v>-241809</v>
      </c>
      <c r="AR33" s="10">
        <f t="shared" ref="AR33:AR36" si="265">AR506</f>
        <v>336976</v>
      </c>
      <c r="AS33" s="10">
        <f>AS506</f>
        <v>-28081</v>
      </c>
      <c r="AT33" s="10">
        <f t="shared" ref="AT33" si="266">AT506</f>
        <v>-1680795</v>
      </c>
      <c r="AU33" s="10">
        <f>AU506</f>
        <v>1680795</v>
      </c>
      <c r="AV33" s="10">
        <f t="shared" ref="AV33" si="267">AV506</f>
        <v>1112091</v>
      </c>
      <c r="AW33" s="10">
        <f t="shared" ref="AW33" si="268">AW506</f>
        <v>-182717</v>
      </c>
      <c r="AX33" s="10">
        <f t="shared" ref="AX33" si="269">AX506</f>
        <v>182717</v>
      </c>
      <c r="AY33" s="10">
        <f t="shared" ref="AY33:AY36" si="270">AY506</f>
        <v>0</v>
      </c>
      <c r="AZ33" s="10">
        <f t="shared" ref="AZ33:AZ36" si="271">AZ506</f>
        <v>0</v>
      </c>
      <c r="BA33" s="10">
        <f>BA506</f>
        <v>2368858.334302953</v>
      </c>
      <c r="BB33" s="10">
        <f>BB506</f>
        <v>0</v>
      </c>
      <c r="BC33" s="10">
        <f>BC506</f>
        <v>0</v>
      </c>
      <c r="BD33" s="10">
        <f>BD506</f>
        <v>0</v>
      </c>
      <c r="BE33" s="10">
        <f t="shared" ref="BE33:BE36" si="272">BE506</f>
        <v>0</v>
      </c>
      <c r="BF33" s="10">
        <f t="shared" ref="BF33" si="273">BF506</f>
        <v>0</v>
      </c>
    </row>
    <row r="34" spans="1:58" ht="14.15" customHeight="1">
      <c r="A34" s="404">
        <f t="shared" si="52"/>
        <v>28</v>
      </c>
      <c r="B34" s="83" t="s">
        <v>37</v>
      </c>
      <c r="C34" s="38">
        <f>SUM(D34:BF34)</f>
        <v>4873835</v>
      </c>
      <c r="D34" s="10">
        <f t="shared" si="255"/>
        <v>0</v>
      </c>
      <c r="E34" s="10">
        <f t="shared" si="255"/>
        <v>0</v>
      </c>
      <c r="F34" s="10">
        <f t="shared" si="255"/>
        <v>0</v>
      </c>
      <c r="G34" s="10">
        <f t="shared" si="255"/>
        <v>0</v>
      </c>
      <c r="H34" s="10">
        <f t="shared" si="255"/>
        <v>0</v>
      </c>
      <c r="I34" s="10">
        <f t="shared" ref="I34" si="274">I507</f>
        <v>0</v>
      </c>
      <c r="J34" s="10">
        <f t="shared" ref="J34:J36" si="275">J507</f>
        <v>0</v>
      </c>
      <c r="K34" s="10">
        <f>K507</f>
        <v>0</v>
      </c>
      <c r="L34" s="10">
        <f t="shared" si="257"/>
        <v>0</v>
      </c>
      <c r="M34" s="10">
        <f t="shared" si="258"/>
        <v>0</v>
      </c>
      <c r="N34" s="10">
        <f t="shared" si="258"/>
        <v>0</v>
      </c>
      <c r="O34" s="10">
        <f t="shared" si="258"/>
        <v>0</v>
      </c>
      <c r="P34" s="10">
        <f t="shared" si="258"/>
        <v>0</v>
      </c>
      <c r="Q34" s="10">
        <f t="shared" si="258"/>
        <v>0</v>
      </c>
      <c r="R34" s="10">
        <f t="shared" si="258"/>
        <v>0</v>
      </c>
      <c r="S34" s="10">
        <f t="shared" si="259"/>
        <v>0</v>
      </c>
      <c r="T34" s="10">
        <f t="shared" ref="T34:U36" si="276">T507</f>
        <v>0</v>
      </c>
      <c r="U34" s="10">
        <f t="shared" si="276"/>
        <v>195366</v>
      </c>
      <c r="V34" s="10">
        <f t="shared" ref="V34:V36" si="277">V507</f>
        <v>0</v>
      </c>
      <c r="W34" s="10">
        <f>W507</f>
        <v>0</v>
      </c>
      <c r="X34" s="10">
        <f t="shared" ref="X34:AD34" si="278">X507</f>
        <v>0</v>
      </c>
      <c r="Y34" s="10">
        <f>Y507</f>
        <v>0</v>
      </c>
      <c r="Z34" s="10">
        <f t="shared" si="278"/>
        <v>0</v>
      </c>
      <c r="AA34" s="10">
        <f t="shared" si="278"/>
        <v>0</v>
      </c>
      <c r="AB34" s="10">
        <f t="shared" si="278"/>
        <v>0</v>
      </c>
      <c r="AC34" s="10">
        <f t="shared" si="278"/>
        <v>-1046851</v>
      </c>
      <c r="AD34" s="10">
        <f t="shared" si="278"/>
        <v>0</v>
      </c>
      <c r="AE34" s="10">
        <f t="shared" si="261"/>
        <v>0</v>
      </c>
      <c r="AF34" s="10">
        <f t="shared" si="262"/>
        <v>0</v>
      </c>
      <c r="AG34" s="10">
        <f t="shared" si="262"/>
        <v>0</v>
      </c>
      <c r="AH34" s="10">
        <f>AH507</f>
        <v>0</v>
      </c>
      <c r="AI34" s="10">
        <f t="shared" ref="AI34:AL34" si="279">AI507</f>
        <v>-442599</v>
      </c>
      <c r="AJ34" s="10">
        <f t="shared" si="279"/>
        <v>-23807</v>
      </c>
      <c r="AK34" s="10">
        <f t="shared" si="279"/>
        <v>0</v>
      </c>
      <c r="AL34" s="10">
        <f t="shared" si="279"/>
        <v>0</v>
      </c>
      <c r="AM34" s="10">
        <f>AM507</f>
        <v>1236096</v>
      </c>
      <c r="AN34" s="10">
        <f t="shared" si="264"/>
        <v>0</v>
      </c>
      <c r="AO34" s="10">
        <f t="shared" si="264"/>
        <v>0</v>
      </c>
      <c r="AP34" s="10">
        <f t="shared" si="264"/>
        <v>0</v>
      </c>
      <c r="AQ34" s="10">
        <f>AQ507</f>
        <v>0</v>
      </c>
      <c r="AR34" s="10">
        <f t="shared" si="265"/>
        <v>0</v>
      </c>
      <c r="AS34" s="10">
        <f>AS507</f>
        <v>0</v>
      </c>
      <c r="AT34" s="10">
        <f t="shared" ref="AT34" si="280">AT507</f>
        <v>1053489</v>
      </c>
      <c r="AU34" s="10">
        <f t="shared" ref="AU34" si="281">AU507</f>
        <v>0</v>
      </c>
      <c r="AV34" s="10">
        <f t="shared" ref="AV34:AV36" si="282">AV507</f>
        <v>0</v>
      </c>
      <c r="AW34" s="10">
        <f t="shared" ref="AW34" si="283">AW507</f>
        <v>0</v>
      </c>
      <c r="AX34" s="10">
        <f t="shared" ref="AX34" si="284">AX507</f>
        <v>0</v>
      </c>
      <c r="AY34" s="10">
        <f t="shared" si="270"/>
        <v>0</v>
      </c>
      <c r="AZ34" s="10">
        <f t="shared" si="271"/>
        <v>3902141</v>
      </c>
      <c r="BA34" s="10">
        <f>BA507</f>
        <v>0</v>
      </c>
      <c r="BB34" s="10">
        <f t="shared" ref="BB34" si="285">BB507</f>
        <v>0</v>
      </c>
      <c r="BC34" s="10">
        <f t="shared" ref="BC34:BD36" si="286">BC507</f>
        <v>0</v>
      </c>
      <c r="BD34" s="10">
        <f t="shared" si="286"/>
        <v>0</v>
      </c>
      <c r="BE34" s="10">
        <f t="shared" si="272"/>
        <v>0</v>
      </c>
      <c r="BF34" s="10">
        <f t="shared" ref="BF34" si="287">BF507</f>
        <v>0</v>
      </c>
    </row>
    <row r="35" spans="1:58" s="22" customFormat="1" ht="14.15" customHeight="1">
      <c r="A35" s="404">
        <f t="shared" si="52"/>
        <v>29</v>
      </c>
      <c r="B35" s="22" t="s">
        <v>38</v>
      </c>
      <c r="C35" s="38">
        <f>SUM(D35:BF35)</f>
        <v>0</v>
      </c>
      <c r="D35" s="43">
        <f t="shared" si="255"/>
        <v>0</v>
      </c>
      <c r="E35" s="43">
        <f t="shared" si="255"/>
        <v>0</v>
      </c>
      <c r="F35" s="43">
        <f t="shared" si="255"/>
        <v>0</v>
      </c>
      <c r="G35" s="43">
        <f t="shared" si="255"/>
        <v>0</v>
      </c>
      <c r="H35" s="43">
        <f t="shared" si="255"/>
        <v>0</v>
      </c>
      <c r="I35" s="43">
        <f t="shared" ref="I35" si="288">I508</f>
        <v>0</v>
      </c>
      <c r="J35" s="43">
        <f t="shared" si="275"/>
        <v>0</v>
      </c>
      <c r="K35" s="43">
        <f>K508</f>
        <v>0</v>
      </c>
      <c r="L35" s="43">
        <f t="shared" si="257"/>
        <v>0</v>
      </c>
      <c r="M35" s="43">
        <f t="shared" si="258"/>
        <v>0</v>
      </c>
      <c r="N35" s="43">
        <f t="shared" si="258"/>
        <v>0</v>
      </c>
      <c r="O35" s="43">
        <f t="shared" si="258"/>
        <v>0</v>
      </c>
      <c r="P35" s="43">
        <f t="shared" si="258"/>
        <v>0</v>
      </c>
      <c r="Q35" s="43">
        <f t="shared" si="258"/>
        <v>0</v>
      </c>
      <c r="R35" s="43">
        <f t="shared" si="258"/>
        <v>0</v>
      </c>
      <c r="S35" s="43">
        <f t="shared" si="259"/>
        <v>0</v>
      </c>
      <c r="T35" s="43">
        <f t="shared" si="276"/>
        <v>0</v>
      </c>
      <c r="U35" s="43">
        <f t="shared" si="276"/>
        <v>0</v>
      </c>
      <c r="V35" s="43">
        <f t="shared" si="277"/>
        <v>0</v>
      </c>
      <c r="W35" s="43">
        <f>W508</f>
        <v>0</v>
      </c>
      <c r="X35" s="43">
        <f t="shared" ref="X35:AD35" si="289">X508</f>
        <v>0</v>
      </c>
      <c r="Y35" s="43">
        <f>Y508</f>
        <v>0</v>
      </c>
      <c r="Z35" s="43">
        <f t="shared" si="289"/>
        <v>0</v>
      </c>
      <c r="AA35" s="43">
        <f t="shared" si="289"/>
        <v>0</v>
      </c>
      <c r="AB35" s="43">
        <f t="shared" si="289"/>
        <v>0</v>
      </c>
      <c r="AC35" s="43">
        <f t="shared" si="289"/>
        <v>0</v>
      </c>
      <c r="AD35" s="43">
        <f t="shared" si="289"/>
        <v>0</v>
      </c>
      <c r="AE35" s="43">
        <f t="shared" si="261"/>
        <v>0</v>
      </c>
      <c r="AF35" s="43">
        <f t="shared" si="262"/>
        <v>0</v>
      </c>
      <c r="AG35" s="43">
        <f t="shared" si="262"/>
        <v>0</v>
      </c>
      <c r="AH35" s="43">
        <f>AH508</f>
        <v>0</v>
      </c>
      <c r="AI35" s="43">
        <f t="shared" ref="AI35:AL35" si="290">AI508</f>
        <v>0</v>
      </c>
      <c r="AJ35" s="43">
        <f t="shared" si="290"/>
        <v>0</v>
      </c>
      <c r="AK35" s="43">
        <f t="shared" si="290"/>
        <v>0</v>
      </c>
      <c r="AL35" s="43">
        <f t="shared" si="290"/>
        <v>0</v>
      </c>
      <c r="AM35" s="43">
        <f>AM508</f>
        <v>0</v>
      </c>
      <c r="AN35" s="43">
        <f t="shared" si="264"/>
        <v>0</v>
      </c>
      <c r="AO35" s="43">
        <f t="shared" si="264"/>
        <v>0</v>
      </c>
      <c r="AP35" s="43">
        <f t="shared" si="264"/>
        <v>0</v>
      </c>
      <c r="AQ35" s="43">
        <f>AQ508</f>
        <v>0</v>
      </c>
      <c r="AR35" s="43">
        <f t="shared" si="265"/>
        <v>0</v>
      </c>
      <c r="AS35" s="43">
        <f>AS508</f>
        <v>0</v>
      </c>
      <c r="AT35" s="43">
        <f t="shared" ref="AT35" si="291">AT508</f>
        <v>0</v>
      </c>
      <c r="AU35" s="43">
        <f t="shared" ref="AU35" si="292">AU508</f>
        <v>0</v>
      </c>
      <c r="AV35" s="43">
        <f t="shared" si="282"/>
        <v>0</v>
      </c>
      <c r="AW35" s="43">
        <f t="shared" ref="AW35" si="293">AW508</f>
        <v>0</v>
      </c>
      <c r="AX35" s="43">
        <f t="shared" ref="AX35" si="294">AX508</f>
        <v>0</v>
      </c>
      <c r="AY35" s="43">
        <f t="shared" si="270"/>
        <v>0</v>
      </c>
      <c r="AZ35" s="43">
        <f t="shared" si="271"/>
        <v>0</v>
      </c>
      <c r="BA35" s="43">
        <f>BA508</f>
        <v>0</v>
      </c>
      <c r="BB35" s="43">
        <f t="shared" ref="BB35" si="295">BB508</f>
        <v>0</v>
      </c>
      <c r="BC35" s="43">
        <f t="shared" si="286"/>
        <v>0</v>
      </c>
      <c r="BD35" s="43">
        <f t="shared" si="286"/>
        <v>0</v>
      </c>
      <c r="BE35" s="43">
        <f t="shared" si="272"/>
        <v>0</v>
      </c>
      <c r="BF35" s="43">
        <f t="shared" ref="BF35" si="296">BF508</f>
        <v>0</v>
      </c>
    </row>
    <row r="36" spans="1:58" s="22" customFormat="1" ht="14.15" customHeight="1">
      <c r="A36" s="404">
        <f t="shared" si="52"/>
        <v>30</v>
      </c>
      <c r="B36" s="56" t="s">
        <v>382</v>
      </c>
      <c r="C36" s="38">
        <f>SUM(D36:BF36)</f>
        <v>0</v>
      </c>
      <c r="D36" s="43">
        <f t="shared" si="255"/>
        <v>0</v>
      </c>
      <c r="E36" s="43">
        <f t="shared" si="255"/>
        <v>0</v>
      </c>
      <c r="F36" s="43">
        <f t="shared" si="255"/>
        <v>0</v>
      </c>
      <c r="G36" s="43">
        <f t="shared" si="255"/>
        <v>0</v>
      </c>
      <c r="H36" s="43">
        <f t="shared" si="255"/>
        <v>0</v>
      </c>
      <c r="I36" s="43">
        <f t="shared" ref="I36" si="297">I509</f>
        <v>0</v>
      </c>
      <c r="J36" s="43">
        <f t="shared" si="275"/>
        <v>0</v>
      </c>
      <c r="K36" s="43">
        <f>K509</f>
        <v>0</v>
      </c>
      <c r="L36" s="43">
        <f t="shared" si="257"/>
        <v>0</v>
      </c>
      <c r="M36" s="43">
        <f t="shared" si="258"/>
        <v>0</v>
      </c>
      <c r="N36" s="43">
        <f t="shared" si="258"/>
        <v>0</v>
      </c>
      <c r="O36" s="43">
        <f t="shared" si="258"/>
        <v>0</v>
      </c>
      <c r="P36" s="43">
        <f t="shared" si="258"/>
        <v>0</v>
      </c>
      <c r="Q36" s="43">
        <f t="shared" si="258"/>
        <v>0</v>
      </c>
      <c r="R36" s="43">
        <f t="shared" si="258"/>
        <v>0</v>
      </c>
      <c r="S36" s="43">
        <f t="shared" si="259"/>
        <v>0</v>
      </c>
      <c r="T36" s="43">
        <f t="shared" si="276"/>
        <v>0</v>
      </c>
      <c r="U36" s="43">
        <f t="shared" si="276"/>
        <v>0</v>
      </c>
      <c r="V36" s="43">
        <f t="shared" si="277"/>
        <v>0</v>
      </c>
      <c r="W36" s="43">
        <f>W509</f>
        <v>0</v>
      </c>
      <c r="X36" s="43">
        <f t="shared" ref="X36:AD36" si="298">X509</f>
        <v>0</v>
      </c>
      <c r="Y36" s="43">
        <f>Y509</f>
        <v>0</v>
      </c>
      <c r="Z36" s="43">
        <f t="shared" si="298"/>
        <v>0</v>
      </c>
      <c r="AA36" s="43">
        <f t="shared" si="298"/>
        <v>0</v>
      </c>
      <c r="AB36" s="43">
        <f t="shared" si="298"/>
        <v>0</v>
      </c>
      <c r="AC36" s="43">
        <f t="shared" si="298"/>
        <v>0</v>
      </c>
      <c r="AD36" s="43">
        <f t="shared" si="298"/>
        <v>0</v>
      </c>
      <c r="AE36" s="43">
        <f t="shared" si="261"/>
        <v>0</v>
      </c>
      <c r="AF36" s="43">
        <f t="shared" si="262"/>
        <v>0</v>
      </c>
      <c r="AG36" s="43">
        <f t="shared" si="262"/>
        <v>0</v>
      </c>
      <c r="AH36" s="43">
        <f>AH509</f>
        <v>0</v>
      </c>
      <c r="AI36" s="43">
        <f t="shared" ref="AI36:AL36" si="299">AI509</f>
        <v>0</v>
      </c>
      <c r="AJ36" s="43">
        <f t="shared" si="299"/>
        <v>0</v>
      </c>
      <c r="AK36" s="43">
        <f t="shared" si="299"/>
        <v>0</v>
      </c>
      <c r="AL36" s="43">
        <f t="shared" si="299"/>
        <v>0</v>
      </c>
      <c r="AM36" s="43">
        <f>AM509</f>
        <v>0</v>
      </c>
      <c r="AN36" s="43">
        <f t="shared" si="264"/>
        <v>0</v>
      </c>
      <c r="AO36" s="43">
        <f t="shared" si="264"/>
        <v>0</v>
      </c>
      <c r="AP36" s="43">
        <f t="shared" si="264"/>
        <v>0</v>
      </c>
      <c r="AQ36" s="43">
        <f>AQ509</f>
        <v>0</v>
      </c>
      <c r="AR36" s="43">
        <f t="shared" si="265"/>
        <v>0</v>
      </c>
      <c r="AS36" s="43">
        <f>AS509</f>
        <v>0</v>
      </c>
      <c r="AT36" s="43">
        <f t="shared" ref="AT36" si="300">AT509</f>
        <v>0</v>
      </c>
      <c r="AU36" s="43">
        <f t="shared" ref="AU36" si="301">AU509</f>
        <v>0</v>
      </c>
      <c r="AV36" s="43">
        <f t="shared" si="282"/>
        <v>0</v>
      </c>
      <c r="AW36" s="43">
        <f t="shared" ref="AW36" si="302">AW509</f>
        <v>0</v>
      </c>
      <c r="AX36" s="43">
        <f t="shared" ref="AX36" si="303">AX509</f>
        <v>0</v>
      </c>
      <c r="AY36" s="43">
        <f t="shared" si="270"/>
        <v>0</v>
      </c>
      <c r="AZ36" s="43">
        <f t="shared" si="271"/>
        <v>0</v>
      </c>
      <c r="BA36" s="43">
        <f>BA509</f>
        <v>0</v>
      </c>
      <c r="BB36" s="43">
        <f t="shared" ref="BB36" si="304">BB509</f>
        <v>0</v>
      </c>
      <c r="BC36" s="43">
        <f t="shared" si="286"/>
        <v>0</v>
      </c>
      <c r="BD36" s="43">
        <f t="shared" si="286"/>
        <v>0</v>
      </c>
      <c r="BE36" s="43">
        <f t="shared" si="272"/>
        <v>0</v>
      </c>
      <c r="BF36" s="43">
        <f t="shared" ref="BF36" si="305">BF509</f>
        <v>0</v>
      </c>
    </row>
    <row r="37" spans="1:58" s="128" customFormat="1" ht="14.15" customHeight="1">
      <c r="A37" s="404">
        <f t="shared" si="52"/>
        <v>31</v>
      </c>
      <c r="B37" s="2" t="s">
        <v>39</v>
      </c>
      <c r="C37" s="80">
        <f t="shared" ref="C37:V37" si="306">SUM(C32:C36)</f>
        <v>4346373.3343029525</v>
      </c>
      <c r="D37" s="80">
        <f t="shared" ref="D37:I37" si="307">SUM(D32:D36)</f>
        <v>488642</v>
      </c>
      <c r="E37" s="80">
        <f t="shared" si="307"/>
        <v>-102804</v>
      </c>
      <c r="F37" s="80">
        <f t="shared" si="307"/>
        <v>28931</v>
      </c>
      <c r="G37" s="80">
        <f t="shared" si="307"/>
        <v>541078</v>
      </c>
      <c r="H37" s="80">
        <f t="shared" si="307"/>
        <v>6583047</v>
      </c>
      <c r="I37" s="80">
        <f t="shared" si="307"/>
        <v>128295</v>
      </c>
      <c r="J37" s="80">
        <f t="shared" si="306"/>
        <v>40702</v>
      </c>
      <c r="K37" s="80">
        <f t="shared" ref="K37:U37" si="308">SUM(K32:K36)</f>
        <v>-4325502</v>
      </c>
      <c r="L37" s="80">
        <f t="shared" si="308"/>
        <v>-1353840</v>
      </c>
      <c r="M37" s="80">
        <f t="shared" si="308"/>
        <v>-2634861</v>
      </c>
      <c r="N37" s="80">
        <f t="shared" si="308"/>
        <v>-11535</v>
      </c>
      <c r="O37" s="80">
        <f t="shared" si="308"/>
        <v>0</v>
      </c>
      <c r="P37" s="80">
        <f t="shared" si="308"/>
        <v>0</v>
      </c>
      <c r="Q37" s="80">
        <f t="shared" si="308"/>
        <v>-434705</v>
      </c>
      <c r="R37" s="80">
        <f t="shared" si="308"/>
        <v>-116608</v>
      </c>
      <c r="S37" s="80">
        <f t="shared" si="308"/>
        <v>-1991180</v>
      </c>
      <c r="T37" s="80">
        <f t="shared" si="308"/>
        <v>-58356</v>
      </c>
      <c r="U37" s="80">
        <f t="shared" si="308"/>
        <v>-773266</v>
      </c>
      <c r="V37" s="80">
        <f t="shared" si="306"/>
        <v>2610361</v>
      </c>
      <c r="W37" s="80">
        <f>SUM(W32:W36)</f>
        <v>48649</v>
      </c>
      <c r="X37" s="80">
        <f t="shared" ref="X37:AD37" si="309">SUM(X32:X36)</f>
        <v>-42970</v>
      </c>
      <c r="Y37" s="80">
        <f>SUM(Y32:Y36)</f>
        <v>0</v>
      </c>
      <c r="Z37" s="80">
        <f t="shared" si="309"/>
        <v>-48262</v>
      </c>
      <c r="AA37" s="80">
        <f t="shared" si="309"/>
        <v>10932</v>
      </c>
      <c r="AB37" s="80">
        <f t="shared" si="309"/>
        <v>-23328</v>
      </c>
      <c r="AC37" s="80">
        <f t="shared" si="309"/>
        <v>-1046851</v>
      </c>
      <c r="AD37" s="80">
        <f t="shared" si="309"/>
        <v>12325</v>
      </c>
      <c r="AE37" s="80">
        <f>SUM(AE32:AE36)</f>
        <v>-92853</v>
      </c>
      <c r="AF37" s="80">
        <f>SUM(AF32:AF36)</f>
        <v>615704</v>
      </c>
      <c r="AG37" s="80">
        <f>SUM(AG32:AG36)</f>
        <v>-673853</v>
      </c>
      <c r="AH37" s="80">
        <f t="shared" ref="AH37" si="310">SUM(AH32:AH36)</f>
        <v>4822</v>
      </c>
      <c r="AI37" s="80">
        <f t="shared" ref="AI37:AL37" si="311">SUM(AI32:AI36)</f>
        <v>-442599</v>
      </c>
      <c r="AJ37" s="80">
        <f t="shared" si="311"/>
        <v>-23807</v>
      </c>
      <c r="AK37" s="80">
        <f t="shared" si="311"/>
        <v>-24849</v>
      </c>
      <c r="AL37" s="80">
        <f t="shared" si="311"/>
        <v>-22846</v>
      </c>
      <c r="AM37" s="80">
        <f>SUM(AM32:AM36)</f>
        <v>61924</v>
      </c>
      <c r="AN37" s="80">
        <f>SUM(AN32:AN36)</f>
        <v>-850344</v>
      </c>
      <c r="AO37" s="80">
        <f>SUM(AO32:AO36)</f>
        <v>0</v>
      </c>
      <c r="AP37" s="80">
        <f>SUM(AP32:AP36)</f>
        <v>-237485</v>
      </c>
      <c r="AQ37" s="80">
        <f>SUM(AQ32:AQ36)</f>
        <v>-241809</v>
      </c>
      <c r="AR37" s="80">
        <f t="shared" ref="AR37" si="312">SUM(AR32:AR36)</f>
        <v>336976</v>
      </c>
      <c r="AS37" s="80">
        <f>SUM(AS32:AS36)</f>
        <v>-28081</v>
      </c>
      <c r="AT37" s="80">
        <f t="shared" ref="AT37" si="313">SUM(AT32:AT36)</f>
        <v>-627306</v>
      </c>
      <c r="AU37" s="80">
        <f t="shared" ref="AU37" si="314">SUM(AU32:AU36)</f>
        <v>1680795</v>
      </c>
      <c r="AV37" s="80">
        <f t="shared" ref="AV37" si="315">SUM(AV32:AV36)</f>
        <v>1112091</v>
      </c>
      <c r="AW37" s="80">
        <f>SUM(AW32:AW36)</f>
        <v>-182717</v>
      </c>
      <c r="AX37" s="80">
        <f t="shared" ref="AX37" si="316">SUM(AX32:AX36)</f>
        <v>182717</v>
      </c>
      <c r="AY37" s="80">
        <f t="shared" ref="AY37:BF37" si="317">SUM(AY32:AY36)</f>
        <v>0</v>
      </c>
      <c r="AZ37" s="80">
        <f t="shared" si="317"/>
        <v>3902141</v>
      </c>
      <c r="BA37" s="80">
        <f t="shared" si="317"/>
        <v>2368858.334302953</v>
      </c>
      <c r="BB37" s="80">
        <f t="shared" si="317"/>
        <v>0</v>
      </c>
      <c r="BC37" s="80">
        <f t="shared" si="317"/>
        <v>0</v>
      </c>
      <c r="BD37" s="80">
        <f t="shared" si="317"/>
        <v>0</v>
      </c>
      <c r="BE37" s="80">
        <f t="shared" si="317"/>
        <v>0</v>
      </c>
      <c r="BF37" s="80">
        <f t="shared" si="317"/>
        <v>0</v>
      </c>
    </row>
    <row r="38" spans="1:58" s="18" customFormat="1" ht="14.15" customHeight="1">
      <c r="A38" s="404">
        <f t="shared" si="52"/>
        <v>32</v>
      </c>
      <c r="B38" s="6"/>
      <c r="C38" s="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</row>
    <row r="39" spans="1:58" s="404" customFormat="1" ht="14.15" customHeight="1">
      <c r="A39" s="404">
        <f t="shared" si="52"/>
        <v>33</v>
      </c>
      <c r="B39" s="402" t="s">
        <v>40</v>
      </c>
      <c r="C39" s="38">
        <f>SUM(D39:BF39)</f>
        <v>-14629984.499185205</v>
      </c>
      <c r="D39" s="43">
        <f t="shared" ref="D39:I39" si="318">D30-D37</f>
        <v>1838224</v>
      </c>
      <c r="E39" s="43">
        <f t="shared" si="318"/>
        <v>-386739.63697997667</v>
      </c>
      <c r="F39" s="43">
        <f t="shared" si="318"/>
        <v>108837</v>
      </c>
      <c r="G39" s="43">
        <f t="shared" si="318"/>
        <v>2035485.3900000001</v>
      </c>
      <c r="H39" s="43">
        <f t="shared" si="318"/>
        <v>24764793.547184512</v>
      </c>
      <c r="I39" s="43">
        <f t="shared" si="318"/>
        <v>482633</v>
      </c>
      <c r="J39" s="43">
        <f t="shared" ref="J39:V39" si="319">J30-J37</f>
        <v>153118.13</v>
      </c>
      <c r="K39" s="43">
        <f t="shared" ref="K39:U39" si="320">K30-K37</f>
        <v>-16272128.110950001</v>
      </c>
      <c r="L39" s="43">
        <f t="shared" si="320"/>
        <v>-5093015</v>
      </c>
      <c r="M39" s="43">
        <f t="shared" si="320"/>
        <v>-9912095.8499999996</v>
      </c>
      <c r="N39" s="43">
        <f t="shared" si="320"/>
        <v>-43394.840000000026</v>
      </c>
      <c r="O39" s="43">
        <f t="shared" si="320"/>
        <v>0</v>
      </c>
      <c r="P39" s="43">
        <f t="shared" si="320"/>
        <v>0</v>
      </c>
      <c r="Q39" s="43">
        <f t="shared" si="320"/>
        <v>-1635318.1921026742</v>
      </c>
      <c r="R39" s="43">
        <f t="shared" si="320"/>
        <v>-438669.78923012456</v>
      </c>
      <c r="S39" s="43">
        <f t="shared" si="320"/>
        <v>-7490631</v>
      </c>
      <c r="T39" s="43">
        <f t="shared" si="320"/>
        <v>-219531.07</v>
      </c>
      <c r="U39" s="43">
        <f t="shared" si="320"/>
        <v>-3839265.4358000569</v>
      </c>
      <c r="V39" s="43">
        <f t="shared" si="319"/>
        <v>9819928</v>
      </c>
      <c r="W39" s="43">
        <f>W30-W37</f>
        <v>183011.88847500016</v>
      </c>
      <c r="X39" s="43">
        <f t="shared" ref="X39:AD39" si="321">X30-X37</f>
        <v>-161647.01999999955</v>
      </c>
      <c r="Y39" s="43">
        <f>Y30-Y37</f>
        <v>0</v>
      </c>
      <c r="Z39" s="43">
        <f t="shared" si="321"/>
        <v>-181556.96000000002</v>
      </c>
      <c r="AA39" s="43">
        <f t="shared" si="321"/>
        <v>41125.769999999997</v>
      </c>
      <c r="AB39" s="43">
        <f t="shared" si="321"/>
        <v>-87756.459999999963</v>
      </c>
      <c r="AC39" s="43">
        <f t="shared" si="321"/>
        <v>-3938155.8612336004</v>
      </c>
      <c r="AD39" s="43">
        <f t="shared" si="321"/>
        <v>46367</v>
      </c>
      <c r="AE39" s="43">
        <f>AE30-AE37</f>
        <v>-349303.20400000003</v>
      </c>
      <c r="AF39" s="43">
        <f>AF30-AF37</f>
        <v>2316218</v>
      </c>
      <c r="AG39" s="43">
        <f>AG30-AG37</f>
        <v>-2534970.2145978799</v>
      </c>
      <c r="AH39" s="43">
        <f t="shared" ref="AH39" si="322">AH30-AH37</f>
        <v>18138.38</v>
      </c>
      <c r="AI39" s="43">
        <f t="shared" ref="AI39:AL39" si="323">AI30-AI37</f>
        <v>-3499851</v>
      </c>
      <c r="AJ39" s="43">
        <f t="shared" si="323"/>
        <v>-89561.78</v>
      </c>
      <c r="AK39" s="43">
        <f t="shared" si="323"/>
        <v>-93477.65</v>
      </c>
      <c r="AL39" s="43">
        <f t="shared" si="323"/>
        <v>-85944.719999999972</v>
      </c>
      <c r="AM39" s="43">
        <f>AM30-AM37</f>
        <v>232956</v>
      </c>
      <c r="AN39" s="43">
        <f>AN30-AN37</f>
        <v>-3198915.3566666655</v>
      </c>
      <c r="AO39" s="43">
        <f>AO30-AO37</f>
        <v>0</v>
      </c>
      <c r="AP39" s="43">
        <f>AP30-AP37</f>
        <v>-893398</v>
      </c>
      <c r="AQ39" s="43">
        <f>AQ30-AQ37</f>
        <v>-909661.64999999991</v>
      </c>
      <c r="AR39" s="43">
        <f t="shared" ref="AR39" si="324">AR30-AR37</f>
        <v>1267672</v>
      </c>
      <c r="AS39" s="43">
        <f>AS30-AS37</f>
        <v>-105640</v>
      </c>
      <c r="AT39" s="43">
        <f t="shared" ref="AT39" si="325">AT30-AT37</f>
        <v>-118523.90250000171</v>
      </c>
      <c r="AU39" s="43">
        <f t="shared" ref="AU39" si="326">AU30-AU37</f>
        <v>6322988.9834829997</v>
      </c>
      <c r="AV39" s="43">
        <f t="shared" ref="AV39" si="327">AV30-AV37</f>
        <v>4183581.8000000007</v>
      </c>
      <c r="AW39" s="43">
        <f>AW30-AW37</f>
        <v>-687364.91411599994</v>
      </c>
      <c r="AX39" s="43">
        <f t="shared" ref="AX39" si="328">AX30-AX37</f>
        <v>687364.91411599994</v>
      </c>
      <c r="AY39" s="43">
        <f t="shared" ref="AY39:BF39" si="329">AY30-AY37</f>
        <v>0</v>
      </c>
      <c r="AZ39" s="43">
        <f t="shared" si="329"/>
        <v>-3902141</v>
      </c>
      <c r="BA39" s="43">
        <f t="shared" si="329"/>
        <v>-2963769.6842667316</v>
      </c>
      <c r="BB39" s="43">
        <f t="shared" si="329"/>
        <v>0</v>
      </c>
      <c r="BC39" s="43">
        <f t="shared" si="329"/>
        <v>0</v>
      </c>
      <c r="BD39" s="43">
        <f t="shared" si="329"/>
        <v>0</v>
      </c>
      <c r="BE39" s="43">
        <f t="shared" si="329"/>
        <v>0</v>
      </c>
      <c r="BF39" s="43">
        <f t="shared" si="329"/>
        <v>0</v>
      </c>
    </row>
    <row r="40" spans="1:58" s="404" customFormat="1" ht="14.15" customHeight="1">
      <c r="A40" s="404">
        <f t="shared" si="52"/>
        <v>34</v>
      </c>
      <c r="B40" s="129" t="s">
        <v>326</v>
      </c>
      <c r="C40" s="38">
        <f>SUM(D40:BF40)</f>
        <v>4013313.06</v>
      </c>
      <c r="D40" s="64">
        <f>-SUM(D485:D489)</f>
        <v>0</v>
      </c>
      <c r="E40" s="64">
        <f>-SUM(E485:E489)</f>
        <v>0</v>
      </c>
      <c r="F40" s="64">
        <f>-SUM(F485:F489)</f>
        <v>0</v>
      </c>
      <c r="G40" s="64">
        <f>-SUM(G485:G489)</f>
        <v>0</v>
      </c>
      <c r="H40" s="64">
        <f>-H485</f>
        <v>0</v>
      </c>
      <c r="I40" s="64">
        <f t="shared" ref="I40:U40" si="330">-SUM(I485:I489)</f>
        <v>0</v>
      </c>
      <c r="J40" s="64">
        <f t="shared" si="330"/>
        <v>0</v>
      </c>
      <c r="K40" s="64">
        <f t="shared" si="330"/>
        <v>0</v>
      </c>
      <c r="L40" s="64">
        <f t="shared" si="330"/>
        <v>0</v>
      </c>
      <c r="M40" s="64">
        <f t="shared" si="330"/>
        <v>0</v>
      </c>
      <c r="N40" s="64">
        <f t="shared" si="330"/>
        <v>0</v>
      </c>
      <c r="O40" s="64">
        <f t="shared" si="330"/>
        <v>0</v>
      </c>
      <c r="P40" s="64">
        <f t="shared" si="330"/>
        <v>0</v>
      </c>
      <c r="Q40" s="64">
        <f t="shared" si="330"/>
        <v>0</v>
      </c>
      <c r="R40" s="64">
        <f t="shared" si="330"/>
        <v>0</v>
      </c>
      <c r="S40" s="64">
        <f t="shared" si="330"/>
        <v>0</v>
      </c>
      <c r="T40" s="64">
        <f t="shared" si="330"/>
        <v>0</v>
      </c>
      <c r="U40" s="64">
        <f t="shared" si="330"/>
        <v>72863.060000000027</v>
      </c>
      <c r="V40" s="64">
        <f t="shared" ref="V40:AM40" si="331">-SUM(V485:V489)</f>
        <v>0</v>
      </c>
      <c r="W40" s="64">
        <f t="shared" ref="W40:AG40" si="332">-SUM(W485:W489)</f>
        <v>0</v>
      </c>
      <c r="X40" s="64">
        <f t="shared" si="332"/>
        <v>0</v>
      </c>
      <c r="Y40" s="64">
        <f t="shared" si="332"/>
        <v>0</v>
      </c>
      <c r="Z40" s="64">
        <f t="shared" si="332"/>
        <v>0</v>
      </c>
      <c r="AA40" s="64">
        <f t="shared" si="332"/>
        <v>0</v>
      </c>
      <c r="AB40" s="64">
        <f t="shared" si="332"/>
        <v>0</v>
      </c>
      <c r="AC40" s="64">
        <f t="shared" si="332"/>
        <v>0</v>
      </c>
      <c r="AD40" s="64">
        <f t="shared" si="332"/>
        <v>0</v>
      </c>
      <c r="AE40" s="64">
        <f t="shared" si="332"/>
        <v>0</v>
      </c>
      <c r="AF40" s="64">
        <f t="shared" si="332"/>
        <v>0</v>
      </c>
      <c r="AG40" s="64">
        <f t="shared" si="332"/>
        <v>0</v>
      </c>
      <c r="AH40" s="64">
        <f t="shared" si="331"/>
        <v>0</v>
      </c>
      <c r="AI40" s="64">
        <f t="shared" si="331"/>
        <v>0</v>
      </c>
      <c r="AJ40" s="64">
        <f t="shared" si="331"/>
        <v>0</v>
      </c>
      <c r="AK40" s="64">
        <f t="shared" si="331"/>
        <v>0</v>
      </c>
      <c r="AL40" s="64">
        <f t="shared" si="331"/>
        <v>0</v>
      </c>
      <c r="AM40" s="64">
        <f t="shared" si="331"/>
        <v>3940450</v>
      </c>
      <c r="AN40" s="64">
        <f t="shared" ref="AN40:AW40" si="333">-SUM(AN485:AN489)</f>
        <v>0</v>
      </c>
      <c r="AO40" s="64">
        <f t="shared" si="333"/>
        <v>0</v>
      </c>
      <c r="AP40" s="64">
        <f t="shared" si="333"/>
        <v>0</v>
      </c>
      <c r="AQ40" s="64">
        <f t="shared" si="333"/>
        <v>0</v>
      </c>
      <c r="AR40" s="64">
        <f t="shared" si="333"/>
        <v>0</v>
      </c>
      <c r="AS40" s="64">
        <f t="shared" si="333"/>
        <v>0</v>
      </c>
      <c r="AT40" s="64">
        <f t="shared" si="333"/>
        <v>0</v>
      </c>
      <c r="AU40" s="64">
        <f t="shared" si="333"/>
        <v>0</v>
      </c>
      <c r="AV40" s="64">
        <f t="shared" si="333"/>
        <v>0</v>
      </c>
      <c r="AW40" s="64">
        <f t="shared" si="333"/>
        <v>0</v>
      </c>
      <c r="AX40" s="64">
        <f t="shared" ref="AX40" si="334">-SUM(AX485:AX489)</f>
        <v>0</v>
      </c>
      <c r="AY40" s="64">
        <f t="shared" ref="AY40:BE40" si="335">-SUM(AY485:AY489)</f>
        <v>0</v>
      </c>
      <c r="AZ40" s="64">
        <f t="shared" si="335"/>
        <v>0</v>
      </c>
      <c r="BA40" s="64">
        <f t="shared" si="335"/>
        <v>0</v>
      </c>
      <c r="BB40" s="64">
        <f t="shared" si="335"/>
        <v>0</v>
      </c>
      <c r="BC40" s="64">
        <f t="shared" si="335"/>
        <v>0</v>
      </c>
      <c r="BD40" s="64">
        <f t="shared" si="335"/>
        <v>0</v>
      </c>
      <c r="BE40" s="64">
        <f t="shared" si="335"/>
        <v>0</v>
      </c>
      <c r="BF40" s="64">
        <f>-SUM(BF485:BF489)</f>
        <v>0</v>
      </c>
    </row>
    <row r="41" spans="1:58" s="404" customFormat="1" ht="14.15" customHeight="1" thickBot="1">
      <c r="A41" s="404">
        <f t="shared" si="52"/>
        <v>35</v>
      </c>
      <c r="B41" s="4" t="s">
        <v>41</v>
      </c>
      <c r="C41" s="130">
        <f t="shared" ref="C41:V41" si="336">C40+C39</f>
        <v>-10616671.439185204</v>
      </c>
      <c r="D41" s="130">
        <f t="shared" ref="D41:I41" si="337">D40+D39</f>
        <v>1838224</v>
      </c>
      <c r="E41" s="130">
        <f t="shared" si="337"/>
        <v>-386739.63697997667</v>
      </c>
      <c r="F41" s="130">
        <f t="shared" si="337"/>
        <v>108837</v>
      </c>
      <c r="G41" s="130">
        <f t="shared" si="337"/>
        <v>2035485.3900000001</v>
      </c>
      <c r="H41" s="130">
        <f t="shared" si="337"/>
        <v>24764793.547184512</v>
      </c>
      <c r="I41" s="130">
        <f t="shared" si="337"/>
        <v>482633</v>
      </c>
      <c r="J41" s="130">
        <f t="shared" si="336"/>
        <v>153118.13</v>
      </c>
      <c r="K41" s="130">
        <f t="shared" ref="K41:U41" si="338">K40+K39</f>
        <v>-16272128.110950001</v>
      </c>
      <c r="L41" s="130">
        <f t="shared" si="338"/>
        <v>-5093015</v>
      </c>
      <c r="M41" s="130">
        <f t="shared" si="338"/>
        <v>-9912095.8499999996</v>
      </c>
      <c r="N41" s="130">
        <f t="shared" si="338"/>
        <v>-43394.840000000026</v>
      </c>
      <c r="O41" s="130">
        <f t="shared" si="338"/>
        <v>0</v>
      </c>
      <c r="P41" s="130">
        <f t="shared" si="338"/>
        <v>0</v>
      </c>
      <c r="Q41" s="130">
        <f t="shared" si="338"/>
        <v>-1635318.1921026742</v>
      </c>
      <c r="R41" s="130">
        <f t="shared" si="338"/>
        <v>-438669.78923012456</v>
      </c>
      <c r="S41" s="130">
        <f t="shared" si="338"/>
        <v>-7490631</v>
      </c>
      <c r="T41" s="130">
        <f t="shared" si="338"/>
        <v>-219531.07</v>
      </c>
      <c r="U41" s="130">
        <f t="shared" si="338"/>
        <v>-3766402.3758000568</v>
      </c>
      <c r="V41" s="130">
        <f t="shared" si="336"/>
        <v>9819928</v>
      </c>
      <c r="W41" s="130">
        <f>W40+W39</f>
        <v>183011.88847500016</v>
      </c>
      <c r="X41" s="130">
        <f t="shared" ref="X41:AD41" si="339">X40+X39</f>
        <v>-161647.01999999955</v>
      </c>
      <c r="Y41" s="130">
        <f>Y40+Y39</f>
        <v>0</v>
      </c>
      <c r="Z41" s="130">
        <f t="shared" si="339"/>
        <v>-181556.96000000002</v>
      </c>
      <c r="AA41" s="130">
        <f t="shared" si="339"/>
        <v>41125.769999999997</v>
      </c>
      <c r="AB41" s="130">
        <f t="shared" si="339"/>
        <v>-87756.459999999963</v>
      </c>
      <c r="AC41" s="130">
        <f t="shared" si="339"/>
        <v>-3938155.8612336004</v>
      </c>
      <c r="AD41" s="130">
        <f t="shared" si="339"/>
        <v>46367</v>
      </c>
      <c r="AE41" s="130">
        <f>AE40+AE39</f>
        <v>-349303.20400000003</v>
      </c>
      <c r="AF41" s="130">
        <f>AF40+AF39</f>
        <v>2316218</v>
      </c>
      <c r="AG41" s="130">
        <f>AG40+AG39</f>
        <v>-2534970.2145978799</v>
      </c>
      <c r="AH41" s="130">
        <f t="shared" ref="AH41" si="340">AH40+AH39</f>
        <v>18138.38</v>
      </c>
      <c r="AI41" s="130">
        <f t="shared" ref="AI41:AL41" si="341">AI40+AI39</f>
        <v>-3499851</v>
      </c>
      <c r="AJ41" s="130">
        <f t="shared" si="341"/>
        <v>-89561.78</v>
      </c>
      <c r="AK41" s="130">
        <f t="shared" si="341"/>
        <v>-93477.65</v>
      </c>
      <c r="AL41" s="130">
        <f t="shared" si="341"/>
        <v>-85944.719999999972</v>
      </c>
      <c r="AM41" s="130">
        <f>AM40+AM39</f>
        <v>4173406</v>
      </c>
      <c r="AN41" s="130">
        <f>AN40+AN39</f>
        <v>-3198915.3566666655</v>
      </c>
      <c r="AO41" s="130">
        <f>AO40+AO39</f>
        <v>0</v>
      </c>
      <c r="AP41" s="130">
        <f>AP40+AP39</f>
        <v>-893398</v>
      </c>
      <c r="AQ41" s="130">
        <f>AQ40+AQ39</f>
        <v>-909661.64999999991</v>
      </c>
      <c r="AR41" s="130">
        <f t="shared" ref="AR41" si="342">AR40+AR39</f>
        <v>1267672</v>
      </c>
      <c r="AS41" s="130">
        <f>AS40+AS39</f>
        <v>-105640</v>
      </c>
      <c r="AT41" s="130">
        <f t="shared" ref="AT41" si="343">AT40+AT39</f>
        <v>-118523.90250000171</v>
      </c>
      <c r="AU41" s="130">
        <f t="shared" ref="AU41" si="344">AU40+AU39</f>
        <v>6322988.9834829997</v>
      </c>
      <c r="AV41" s="130">
        <f t="shared" ref="AV41" si="345">AV40+AV39</f>
        <v>4183581.8000000007</v>
      </c>
      <c r="AW41" s="130">
        <f>AW40+AW39</f>
        <v>-687364.91411599994</v>
      </c>
      <c r="AX41" s="130">
        <f t="shared" ref="AX41" si="346">AX40+AX39</f>
        <v>687364.91411599994</v>
      </c>
      <c r="AY41" s="130">
        <f t="shared" ref="AY41:BF41" si="347">AY40+AY39</f>
        <v>0</v>
      </c>
      <c r="AZ41" s="130">
        <f t="shared" si="347"/>
        <v>-3902141</v>
      </c>
      <c r="BA41" s="130">
        <f t="shared" si="347"/>
        <v>-2963769.6842667316</v>
      </c>
      <c r="BB41" s="130">
        <f t="shared" si="347"/>
        <v>0</v>
      </c>
      <c r="BC41" s="130">
        <f t="shared" si="347"/>
        <v>0</v>
      </c>
      <c r="BD41" s="130">
        <f t="shared" si="347"/>
        <v>0</v>
      </c>
      <c r="BE41" s="130">
        <f t="shared" si="347"/>
        <v>0</v>
      </c>
      <c r="BF41" s="130">
        <f t="shared" si="347"/>
        <v>0</v>
      </c>
    </row>
    <row r="42" spans="1:58" s="404" customFormat="1" ht="14.15" customHeight="1" thickTop="1">
      <c r="A42" s="404">
        <f t="shared" si="52"/>
        <v>36</v>
      </c>
      <c r="B42" s="402"/>
      <c r="C42" s="402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</row>
    <row r="43" spans="1:58" ht="14.15" customHeight="1">
      <c r="A43" s="404">
        <f t="shared" si="52"/>
        <v>37</v>
      </c>
      <c r="B43" s="83" t="s">
        <v>42</v>
      </c>
      <c r="C43" s="38">
        <f t="shared" ref="C43:C52" si="348">SUM(D43:BF43)</f>
        <v>-601498841.80999994</v>
      </c>
      <c r="D43" s="43">
        <f t="shared" ref="D43:I43" si="349">D172</f>
        <v>0</v>
      </c>
      <c r="E43" s="43">
        <f t="shared" si="349"/>
        <v>0</v>
      </c>
      <c r="F43" s="43">
        <f t="shared" si="349"/>
        <v>0</v>
      </c>
      <c r="G43" s="43">
        <f t="shared" si="349"/>
        <v>0</v>
      </c>
      <c r="H43" s="43">
        <f t="shared" si="349"/>
        <v>0</v>
      </c>
      <c r="I43" s="43">
        <f t="shared" si="349"/>
        <v>0</v>
      </c>
      <c r="J43" s="43">
        <f t="shared" ref="J43:V43" si="350">J172</f>
        <v>0</v>
      </c>
      <c r="K43" s="43">
        <f t="shared" ref="K43:U43" si="351">K172</f>
        <v>0</v>
      </c>
      <c r="L43" s="43">
        <f t="shared" si="351"/>
        <v>0</v>
      </c>
      <c r="M43" s="43">
        <f t="shared" si="351"/>
        <v>0</v>
      </c>
      <c r="N43" s="43">
        <f t="shared" si="351"/>
        <v>0</v>
      </c>
      <c r="O43" s="43">
        <f t="shared" si="351"/>
        <v>0</v>
      </c>
      <c r="P43" s="43">
        <f t="shared" si="351"/>
        <v>0</v>
      </c>
      <c r="Q43" s="43">
        <f t="shared" si="351"/>
        <v>0</v>
      </c>
      <c r="R43" s="43">
        <f t="shared" si="351"/>
        <v>0</v>
      </c>
      <c r="S43" s="43">
        <f t="shared" si="351"/>
        <v>0</v>
      </c>
      <c r="T43" s="43">
        <f t="shared" si="351"/>
        <v>0</v>
      </c>
      <c r="U43" s="43">
        <f t="shared" si="351"/>
        <v>36802837.620000079</v>
      </c>
      <c r="V43" s="43">
        <f t="shared" si="350"/>
        <v>0</v>
      </c>
      <c r="W43" s="43">
        <f>W172</f>
        <v>0</v>
      </c>
      <c r="X43" s="43">
        <f t="shared" ref="X43:AD43" si="352">X172</f>
        <v>0</v>
      </c>
      <c r="Y43" s="43">
        <f>Y172</f>
        <v>0</v>
      </c>
      <c r="Z43" s="43">
        <f t="shared" si="352"/>
        <v>0</v>
      </c>
      <c r="AA43" s="43">
        <f t="shared" si="352"/>
        <v>0</v>
      </c>
      <c r="AB43" s="43">
        <f t="shared" si="352"/>
        <v>0</v>
      </c>
      <c r="AC43" s="43">
        <f t="shared" si="352"/>
        <v>0</v>
      </c>
      <c r="AD43" s="43">
        <f t="shared" si="352"/>
        <v>0</v>
      </c>
      <c r="AE43" s="43">
        <f>AE172</f>
        <v>0</v>
      </c>
      <c r="AF43" s="43">
        <f>AF172</f>
        <v>0</v>
      </c>
      <c r="AG43" s="43">
        <f>AG172</f>
        <v>0</v>
      </c>
      <c r="AH43" s="43">
        <f t="shared" ref="AH43" si="353">AH172</f>
        <v>0</v>
      </c>
      <c r="AI43" s="43">
        <f t="shared" ref="AI43:AL43" si="354">AI172</f>
        <v>0</v>
      </c>
      <c r="AJ43" s="43">
        <f t="shared" si="354"/>
        <v>0</v>
      </c>
      <c r="AK43" s="43">
        <f t="shared" si="354"/>
        <v>0</v>
      </c>
      <c r="AL43" s="43">
        <f t="shared" si="354"/>
        <v>0</v>
      </c>
      <c r="AM43" s="43">
        <f>AM172</f>
        <v>0</v>
      </c>
      <c r="AN43" s="43">
        <f>AN172</f>
        <v>0</v>
      </c>
      <c r="AO43" s="43">
        <f>AO172</f>
        <v>0</v>
      </c>
      <c r="AP43" s="43">
        <f>AP172</f>
        <v>0</v>
      </c>
      <c r="AQ43" s="43">
        <f>AQ172</f>
        <v>0</v>
      </c>
      <c r="AR43" s="43">
        <f t="shared" ref="AR43" si="355">AR172</f>
        <v>0</v>
      </c>
      <c r="AS43" s="43">
        <f>AS172</f>
        <v>0</v>
      </c>
      <c r="AT43" s="43">
        <f t="shared" ref="AT43" si="356">AT172</f>
        <v>0</v>
      </c>
      <c r="AU43" s="43">
        <f t="shared" ref="AU43" si="357">AU172</f>
        <v>-327699887.42999995</v>
      </c>
      <c r="AV43" s="43">
        <f t="shared" ref="AV43" si="358">AV172</f>
        <v>18000000</v>
      </c>
      <c r="AW43" s="43">
        <f>AW172</f>
        <v>60391028.620000005</v>
      </c>
      <c r="AX43" s="43">
        <f t="shared" ref="AX43" si="359">AX172</f>
        <v>-60391028.620000005</v>
      </c>
      <c r="AY43" s="43">
        <f t="shared" ref="AY43:BF43" si="360">AY172</f>
        <v>0</v>
      </c>
      <c r="AZ43" s="43">
        <f t="shared" si="360"/>
        <v>0</v>
      </c>
      <c r="BA43" s="43">
        <f t="shared" si="360"/>
        <v>0</v>
      </c>
      <c r="BB43" s="43">
        <f t="shared" si="360"/>
        <v>0</v>
      </c>
      <c r="BC43" s="43">
        <f t="shared" si="360"/>
        <v>0</v>
      </c>
      <c r="BD43" s="43">
        <f t="shared" si="360"/>
        <v>-324570749</v>
      </c>
      <c r="BE43" s="43">
        <f t="shared" si="360"/>
        <v>-4031043</v>
      </c>
      <c r="BF43" s="43">
        <f t="shared" si="360"/>
        <v>0</v>
      </c>
    </row>
    <row r="44" spans="1:58" ht="14.15" customHeight="1">
      <c r="A44" s="404">
        <f t="shared" si="52"/>
        <v>38</v>
      </c>
      <c r="B44" s="83" t="s">
        <v>43</v>
      </c>
      <c r="C44" s="38">
        <f t="shared" si="348"/>
        <v>354370732.91999996</v>
      </c>
      <c r="D44" s="43">
        <f t="shared" ref="D44:I44" si="361">-D179-D187-D190</f>
        <v>0</v>
      </c>
      <c r="E44" s="43">
        <f t="shared" si="361"/>
        <v>0</v>
      </c>
      <c r="F44" s="43">
        <f t="shared" si="361"/>
        <v>0</v>
      </c>
      <c r="G44" s="43">
        <f t="shared" si="361"/>
        <v>0</v>
      </c>
      <c r="H44" s="43">
        <f t="shared" si="361"/>
        <v>0</v>
      </c>
      <c r="I44" s="43">
        <f t="shared" si="361"/>
        <v>0</v>
      </c>
      <c r="J44" s="43">
        <f t="shared" ref="J44:V44" si="362">-J179-J187-J190</f>
        <v>0</v>
      </c>
      <c r="K44" s="43">
        <f t="shared" ref="K44:U44" si="363">-K179-K187-K190</f>
        <v>0</v>
      </c>
      <c r="L44" s="43">
        <f t="shared" si="363"/>
        <v>0</v>
      </c>
      <c r="M44" s="43">
        <f t="shared" si="363"/>
        <v>0</v>
      </c>
      <c r="N44" s="43">
        <f t="shared" si="363"/>
        <v>0</v>
      </c>
      <c r="O44" s="43">
        <f t="shared" si="363"/>
        <v>0</v>
      </c>
      <c r="P44" s="43">
        <f t="shared" si="363"/>
        <v>0</v>
      </c>
      <c r="Q44" s="43">
        <f t="shared" si="363"/>
        <v>0</v>
      </c>
      <c r="R44" s="43">
        <f t="shared" si="363"/>
        <v>0</v>
      </c>
      <c r="S44" s="43">
        <f t="shared" si="363"/>
        <v>0</v>
      </c>
      <c r="T44" s="43">
        <f t="shared" si="363"/>
        <v>0</v>
      </c>
      <c r="U44" s="43">
        <f t="shared" si="363"/>
        <v>-15976575.080000035</v>
      </c>
      <c r="V44" s="43">
        <f t="shared" si="362"/>
        <v>0</v>
      </c>
      <c r="W44" s="43">
        <f>-W179-W187-W190</f>
        <v>0</v>
      </c>
      <c r="X44" s="43">
        <f t="shared" ref="X44:AD44" si="364">-X179-X187-X190</f>
        <v>0</v>
      </c>
      <c r="Y44" s="43">
        <f>-Y179-Y187-Y190</f>
        <v>0</v>
      </c>
      <c r="Z44" s="43">
        <f t="shared" si="364"/>
        <v>0</v>
      </c>
      <c r="AA44" s="43">
        <f t="shared" si="364"/>
        <v>0</v>
      </c>
      <c r="AB44" s="43">
        <f t="shared" si="364"/>
        <v>0</v>
      </c>
      <c r="AC44" s="43">
        <f t="shared" si="364"/>
        <v>0</v>
      </c>
      <c r="AD44" s="43">
        <f t="shared" si="364"/>
        <v>0</v>
      </c>
      <c r="AE44" s="43">
        <f>-AE179-AE187-AE190</f>
        <v>0</v>
      </c>
      <c r="AF44" s="43">
        <f>-AF179-AF187-AF190</f>
        <v>0</v>
      </c>
      <c r="AG44" s="43">
        <f>-AG179-AG187-AG190</f>
        <v>0</v>
      </c>
      <c r="AH44" s="43">
        <f t="shared" ref="AH44" si="365">-AH179-AH187-AH190</f>
        <v>0</v>
      </c>
      <c r="AI44" s="43">
        <f t="shared" ref="AI44:AL44" si="366">-AI179-AI187-AI190</f>
        <v>0</v>
      </c>
      <c r="AJ44" s="43">
        <f t="shared" si="366"/>
        <v>0</v>
      </c>
      <c r="AK44" s="43">
        <f t="shared" si="366"/>
        <v>0</v>
      </c>
      <c r="AL44" s="43">
        <f t="shared" si="366"/>
        <v>0</v>
      </c>
      <c r="AM44" s="43">
        <f>-AM179-AM187-AM190</f>
        <v>0</v>
      </c>
      <c r="AN44" s="43">
        <f>-AN179-AN187-AN190</f>
        <v>0</v>
      </c>
      <c r="AO44" s="43">
        <f>-AO179-AO187-AO190</f>
        <v>0</v>
      </c>
      <c r="AP44" s="43">
        <f>-AP179-AP187-AP190</f>
        <v>0</v>
      </c>
      <c r="AQ44" s="43">
        <f>-AQ179-AQ187-AQ190</f>
        <v>0</v>
      </c>
      <c r="AR44" s="43">
        <f t="shared" ref="AR44" si="367">-AR179-AR187-AR190</f>
        <v>0</v>
      </c>
      <c r="AS44" s="43">
        <f>-AS179-AS187-AS190</f>
        <v>0</v>
      </c>
      <c r="AT44" s="43">
        <f t="shared" ref="AT44" si="368">-AT179-AT187-AT190</f>
        <v>0</v>
      </c>
      <c r="AU44" s="43">
        <f t="shared" ref="AU44" si="369">-AU179-AU187-AU190</f>
        <v>200045017</v>
      </c>
      <c r="AV44" s="43">
        <f t="shared" ref="AV44" si="370">-AV179-AV187-AV190</f>
        <v>0</v>
      </c>
      <c r="AW44" s="43">
        <f>-AW179-AW187-AW190</f>
        <v>-2147169.65</v>
      </c>
      <c r="AX44" s="43">
        <f t="shared" ref="AX44" si="371">-AX179-AX187-AX190</f>
        <v>2147169.65</v>
      </c>
      <c r="AY44" s="43">
        <f t="shared" ref="AY44:BF44" si="372">-AY179-AY187-AY190</f>
        <v>0</v>
      </c>
      <c r="AZ44" s="43">
        <f t="shared" si="372"/>
        <v>0</v>
      </c>
      <c r="BA44" s="43">
        <f t="shared" si="372"/>
        <v>0</v>
      </c>
      <c r="BB44" s="43">
        <f t="shared" si="372"/>
        <v>0</v>
      </c>
      <c r="BC44" s="43">
        <f t="shared" si="372"/>
        <v>0</v>
      </c>
      <c r="BD44" s="43">
        <f t="shared" si="372"/>
        <v>166612406</v>
      </c>
      <c r="BE44" s="43">
        <f t="shared" si="372"/>
        <v>3689885</v>
      </c>
      <c r="BF44" s="43">
        <f t="shared" si="372"/>
        <v>0</v>
      </c>
    </row>
    <row r="45" spans="1:58" ht="14.15" customHeight="1">
      <c r="A45" s="404">
        <f t="shared" si="52"/>
        <v>39</v>
      </c>
      <c r="B45" s="13" t="s">
        <v>368</v>
      </c>
      <c r="C45" s="38">
        <f t="shared" si="348"/>
        <v>-247128108.8899999</v>
      </c>
      <c r="D45" s="38">
        <f t="shared" ref="D45:I45" si="373">SUM(D43:D44)</f>
        <v>0</v>
      </c>
      <c r="E45" s="38">
        <f t="shared" si="373"/>
        <v>0</v>
      </c>
      <c r="F45" s="38">
        <f t="shared" si="373"/>
        <v>0</v>
      </c>
      <c r="G45" s="38">
        <f t="shared" si="373"/>
        <v>0</v>
      </c>
      <c r="H45" s="38">
        <f t="shared" si="373"/>
        <v>0</v>
      </c>
      <c r="I45" s="38">
        <f t="shared" si="373"/>
        <v>0</v>
      </c>
      <c r="J45" s="38">
        <f t="shared" ref="J45:V45" si="374">SUM(J43:J44)</f>
        <v>0</v>
      </c>
      <c r="K45" s="38">
        <f t="shared" ref="K45:U45" si="375">SUM(K43:K44)</f>
        <v>0</v>
      </c>
      <c r="L45" s="38">
        <f t="shared" si="375"/>
        <v>0</v>
      </c>
      <c r="M45" s="38">
        <f t="shared" si="375"/>
        <v>0</v>
      </c>
      <c r="N45" s="38">
        <f t="shared" si="375"/>
        <v>0</v>
      </c>
      <c r="O45" s="38">
        <f t="shared" si="375"/>
        <v>0</v>
      </c>
      <c r="P45" s="38">
        <f t="shared" si="375"/>
        <v>0</v>
      </c>
      <c r="Q45" s="38">
        <f t="shared" si="375"/>
        <v>0</v>
      </c>
      <c r="R45" s="38">
        <f t="shared" si="375"/>
        <v>0</v>
      </c>
      <c r="S45" s="38">
        <f t="shared" si="375"/>
        <v>0</v>
      </c>
      <c r="T45" s="38">
        <f t="shared" si="375"/>
        <v>0</v>
      </c>
      <c r="U45" s="38">
        <f t="shared" si="375"/>
        <v>20826262.540000044</v>
      </c>
      <c r="V45" s="38">
        <f t="shared" si="374"/>
        <v>0</v>
      </c>
      <c r="W45" s="38">
        <f>SUM(W43:W44)</f>
        <v>0</v>
      </c>
      <c r="X45" s="38">
        <f t="shared" ref="X45:AD45" si="376">SUM(X43:X44)</f>
        <v>0</v>
      </c>
      <c r="Y45" s="38">
        <f>SUM(Y43:Y44)</f>
        <v>0</v>
      </c>
      <c r="Z45" s="38">
        <f t="shared" si="376"/>
        <v>0</v>
      </c>
      <c r="AA45" s="38">
        <f t="shared" si="376"/>
        <v>0</v>
      </c>
      <c r="AB45" s="38">
        <f t="shared" si="376"/>
        <v>0</v>
      </c>
      <c r="AC45" s="38">
        <f t="shared" si="376"/>
        <v>0</v>
      </c>
      <c r="AD45" s="38">
        <f t="shared" si="376"/>
        <v>0</v>
      </c>
      <c r="AE45" s="38">
        <f>SUM(AE43:AE44)</f>
        <v>0</v>
      </c>
      <c r="AF45" s="38">
        <f>SUM(AF43:AF44)</f>
        <v>0</v>
      </c>
      <c r="AG45" s="38">
        <f>SUM(AG43:AG44)</f>
        <v>0</v>
      </c>
      <c r="AH45" s="38">
        <f t="shared" ref="AH45" si="377">SUM(AH43:AH44)</f>
        <v>0</v>
      </c>
      <c r="AI45" s="38">
        <f t="shared" ref="AI45:AL45" si="378">SUM(AI43:AI44)</f>
        <v>0</v>
      </c>
      <c r="AJ45" s="38">
        <f t="shared" si="378"/>
        <v>0</v>
      </c>
      <c r="AK45" s="38">
        <f t="shared" si="378"/>
        <v>0</v>
      </c>
      <c r="AL45" s="38">
        <f t="shared" si="378"/>
        <v>0</v>
      </c>
      <c r="AM45" s="38">
        <f>SUM(AM43:AM44)</f>
        <v>0</v>
      </c>
      <c r="AN45" s="38">
        <f>SUM(AN43:AN44)</f>
        <v>0</v>
      </c>
      <c r="AO45" s="38">
        <f>SUM(AO43:AO44)</f>
        <v>0</v>
      </c>
      <c r="AP45" s="38">
        <f>SUM(AP43:AP44)</f>
        <v>0</v>
      </c>
      <c r="AQ45" s="38">
        <f>SUM(AQ43:AQ44)</f>
        <v>0</v>
      </c>
      <c r="AR45" s="38">
        <f t="shared" ref="AR45" si="379">SUM(AR43:AR44)</f>
        <v>0</v>
      </c>
      <c r="AS45" s="38">
        <f>SUM(AS43:AS44)</f>
        <v>0</v>
      </c>
      <c r="AT45" s="38">
        <f t="shared" ref="AT45" si="380">SUM(AT43:AT44)</f>
        <v>0</v>
      </c>
      <c r="AU45" s="38">
        <f t="shared" ref="AU45" si="381">SUM(AU43:AU44)</f>
        <v>-127654870.42999995</v>
      </c>
      <c r="AV45" s="38">
        <f t="shared" ref="AV45" si="382">SUM(AV43:AV44)</f>
        <v>18000000</v>
      </c>
      <c r="AW45" s="38">
        <f>SUM(AW43:AW44)</f>
        <v>58243858.970000006</v>
      </c>
      <c r="AX45" s="38">
        <f t="shared" ref="AX45" si="383">SUM(AX43:AX44)</f>
        <v>-58243858.970000006</v>
      </c>
      <c r="AY45" s="38">
        <f t="shared" ref="AY45:BF45" si="384">SUM(AY43:AY44)</f>
        <v>0</v>
      </c>
      <c r="AZ45" s="38">
        <f t="shared" si="384"/>
        <v>0</v>
      </c>
      <c r="BA45" s="38">
        <f t="shared" si="384"/>
        <v>0</v>
      </c>
      <c r="BB45" s="38">
        <f t="shared" si="384"/>
        <v>0</v>
      </c>
      <c r="BC45" s="38">
        <f t="shared" si="384"/>
        <v>0</v>
      </c>
      <c r="BD45" s="38">
        <f t="shared" si="384"/>
        <v>-157958343</v>
      </c>
      <c r="BE45" s="38">
        <f t="shared" si="384"/>
        <v>-341158</v>
      </c>
      <c r="BF45" s="38">
        <f t="shared" si="384"/>
        <v>0</v>
      </c>
    </row>
    <row r="46" spans="1:58" ht="14.15" customHeight="1">
      <c r="A46" s="404">
        <f t="shared" si="52"/>
        <v>40</v>
      </c>
      <c r="B46" s="83" t="s">
        <v>45</v>
      </c>
      <c r="C46" s="38">
        <f t="shared" si="348"/>
        <v>801.20999999996275</v>
      </c>
      <c r="D46" s="43">
        <f t="shared" ref="D46:I46" si="385">D224</f>
        <v>0</v>
      </c>
      <c r="E46" s="43">
        <f t="shared" si="385"/>
        <v>0</v>
      </c>
      <c r="F46" s="43">
        <f t="shared" si="385"/>
        <v>0</v>
      </c>
      <c r="G46" s="43">
        <f t="shared" si="385"/>
        <v>0</v>
      </c>
      <c r="H46" s="43">
        <f t="shared" si="385"/>
        <v>0</v>
      </c>
      <c r="I46" s="43">
        <f t="shared" si="385"/>
        <v>0</v>
      </c>
      <c r="J46" s="43">
        <f t="shared" ref="J46:V46" si="386">J224</f>
        <v>0</v>
      </c>
      <c r="K46" s="43">
        <f t="shared" ref="K46:U46" si="387">K224</f>
        <v>0</v>
      </c>
      <c r="L46" s="43">
        <f t="shared" si="387"/>
        <v>0</v>
      </c>
      <c r="M46" s="43">
        <f t="shared" si="387"/>
        <v>0</v>
      </c>
      <c r="N46" s="43">
        <f t="shared" si="387"/>
        <v>0</v>
      </c>
      <c r="O46" s="43">
        <f t="shared" si="387"/>
        <v>0</v>
      </c>
      <c r="P46" s="43">
        <f t="shared" si="387"/>
        <v>0</v>
      </c>
      <c r="Q46" s="43">
        <f t="shared" si="387"/>
        <v>0</v>
      </c>
      <c r="R46" s="43">
        <f t="shared" si="387"/>
        <v>0</v>
      </c>
      <c r="S46" s="43">
        <f t="shared" si="387"/>
        <v>0</v>
      </c>
      <c r="T46" s="43">
        <f t="shared" si="387"/>
        <v>0</v>
      </c>
      <c r="U46" s="43">
        <f t="shared" si="387"/>
        <v>801.20999999996275</v>
      </c>
      <c r="V46" s="43">
        <f t="shared" si="386"/>
        <v>0</v>
      </c>
      <c r="W46" s="43">
        <f>W224</f>
        <v>0</v>
      </c>
      <c r="X46" s="43">
        <f t="shared" ref="X46:AD46" si="388">X224</f>
        <v>0</v>
      </c>
      <c r="Y46" s="43">
        <f>Y224</f>
        <v>0</v>
      </c>
      <c r="Z46" s="43">
        <f t="shared" si="388"/>
        <v>0</v>
      </c>
      <c r="AA46" s="43">
        <f t="shared" si="388"/>
        <v>0</v>
      </c>
      <c r="AB46" s="43">
        <f t="shared" si="388"/>
        <v>0</v>
      </c>
      <c r="AC46" s="43">
        <f t="shared" si="388"/>
        <v>0</v>
      </c>
      <c r="AD46" s="43">
        <f t="shared" si="388"/>
        <v>0</v>
      </c>
      <c r="AE46" s="43">
        <f>AE224</f>
        <v>0</v>
      </c>
      <c r="AF46" s="43">
        <f>AF224</f>
        <v>0</v>
      </c>
      <c r="AG46" s="43">
        <f>AG224</f>
        <v>0</v>
      </c>
      <c r="AH46" s="43">
        <f t="shared" ref="AH46" si="389">AH224</f>
        <v>0</v>
      </c>
      <c r="AI46" s="43">
        <f t="shared" ref="AI46:AL46" si="390">AI224</f>
        <v>0</v>
      </c>
      <c r="AJ46" s="43">
        <f t="shared" si="390"/>
        <v>0</v>
      </c>
      <c r="AK46" s="43">
        <f t="shared" si="390"/>
        <v>0</v>
      </c>
      <c r="AL46" s="43">
        <f t="shared" si="390"/>
        <v>0</v>
      </c>
      <c r="AM46" s="43">
        <f>AM224</f>
        <v>0</v>
      </c>
      <c r="AN46" s="43">
        <f>AN224</f>
        <v>0</v>
      </c>
      <c r="AO46" s="43">
        <f>AO224</f>
        <v>0</v>
      </c>
      <c r="AP46" s="43">
        <f>AP224</f>
        <v>0</v>
      </c>
      <c r="AQ46" s="43">
        <f>AQ224</f>
        <v>0</v>
      </c>
      <c r="AR46" s="43">
        <f t="shared" ref="AR46" si="391">AR224</f>
        <v>0</v>
      </c>
      <c r="AS46" s="43">
        <f>AS224</f>
        <v>0</v>
      </c>
      <c r="AT46" s="43">
        <f t="shared" ref="AT46" si="392">AT224</f>
        <v>0</v>
      </c>
      <c r="AU46" s="43">
        <f t="shared" ref="AU46" si="393">AU224</f>
        <v>0</v>
      </c>
      <c r="AV46" s="43">
        <f t="shared" ref="AV46" si="394">AV224</f>
        <v>0</v>
      </c>
      <c r="AW46" s="43">
        <f>AW224</f>
        <v>0</v>
      </c>
      <c r="AX46" s="43">
        <f t="shared" ref="AX46" si="395">AX224</f>
        <v>0</v>
      </c>
      <c r="AY46" s="43">
        <f t="shared" ref="AY46:BF46" si="396">AY224</f>
        <v>0</v>
      </c>
      <c r="AZ46" s="43">
        <f t="shared" si="396"/>
        <v>0</v>
      </c>
      <c r="BA46" s="43">
        <f t="shared" si="396"/>
        <v>0</v>
      </c>
      <c r="BB46" s="43">
        <f t="shared" si="396"/>
        <v>0</v>
      </c>
      <c r="BC46" s="43">
        <f t="shared" si="396"/>
        <v>0</v>
      </c>
      <c r="BD46" s="43">
        <f t="shared" si="396"/>
        <v>0</v>
      </c>
      <c r="BE46" s="43">
        <f t="shared" si="396"/>
        <v>0</v>
      </c>
      <c r="BF46" s="43">
        <f t="shared" si="396"/>
        <v>0</v>
      </c>
    </row>
    <row r="47" spans="1:58" ht="14.15" customHeight="1">
      <c r="A47" s="404">
        <f t="shared" si="52"/>
        <v>41</v>
      </c>
      <c r="B47" s="83" t="s">
        <v>369</v>
      </c>
      <c r="C47" s="38">
        <f t="shared" si="348"/>
        <v>28641.75</v>
      </c>
      <c r="D47" s="43">
        <f t="shared" ref="D47:I47" si="397">D235+D236</f>
        <v>0</v>
      </c>
      <c r="E47" s="43">
        <f t="shared" si="397"/>
        <v>0</v>
      </c>
      <c r="F47" s="43">
        <f t="shared" si="397"/>
        <v>0</v>
      </c>
      <c r="G47" s="43">
        <f t="shared" si="397"/>
        <v>0</v>
      </c>
      <c r="H47" s="43">
        <f t="shared" si="397"/>
        <v>0</v>
      </c>
      <c r="I47" s="43">
        <f t="shared" si="397"/>
        <v>0</v>
      </c>
      <c r="J47" s="43">
        <f t="shared" ref="J47:V47" si="398">J235+J236</f>
        <v>0</v>
      </c>
      <c r="K47" s="43">
        <f t="shared" ref="K47:U47" si="399">K235+K236</f>
        <v>0</v>
      </c>
      <c r="L47" s="43">
        <f t="shared" si="399"/>
        <v>0</v>
      </c>
      <c r="M47" s="43">
        <f t="shared" si="399"/>
        <v>0</v>
      </c>
      <c r="N47" s="43">
        <f t="shared" si="399"/>
        <v>0</v>
      </c>
      <c r="O47" s="43">
        <f t="shared" si="399"/>
        <v>0</v>
      </c>
      <c r="P47" s="43">
        <f t="shared" si="399"/>
        <v>0</v>
      </c>
      <c r="Q47" s="43">
        <f t="shared" si="399"/>
        <v>0</v>
      </c>
      <c r="R47" s="43">
        <f t="shared" si="399"/>
        <v>0</v>
      </c>
      <c r="S47" s="43">
        <f t="shared" si="399"/>
        <v>0</v>
      </c>
      <c r="T47" s="43">
        <f t="shared" si="399"/>
        <v>0</v>
      </c>
      <c r="U47" s="43">
        <f t="shared" si="399"/>
        <v>28641.75</v>
      </c>
      <c r="V47" s="43">
        <f t="shared" si="398"/>
        <v>0</v>
      </c>
      <c r="W47" s="43">
        <f>W235+W236</f>
        <v>0</v>
      </c>
      <c r="X47" s="43">
        <f t="shared" ref="X47:AD47" si="400">X235+X236</f>
        <v>0</v>
      </c>
      <c r="Y47" s="43">
        <f>Y235+Y236</f>
        <v>0</v>
      </c>
      <c r="Z47" s="43">
        <f t="shared" si="400"/>
        <v>0</v>
      </c>
      <c r="AA47" s="43">
        <f t="shared" si="400"/>
        <v>0</v>
      </c>
      <c r="AB47" s="43">
        <f t="shared" si="400"/>
        <v>0</v>
      </c>
      <c r="AC47" s="43">
        <f t="shared" si="400"/>
        <v>0</v>
      </c>
      <c r="AD47" s="43">
        <f t="shared" si="400"/>
        <v>0</v>
      </c>
      <c r="AE47" s="43">
        <f>AE235+AE236</f>
        <v>0</v>
      </c>
      <c r="AF47" s="43">
        <f>AF235+AF236</f>
        <v>0</v>
      </c>
      <c r="AG47" s="43">
        <f>AG235+AG236</f>
        <v>0</v>
      </c>
      <c r="AH47" s="43">
        <f t="shared" ref="AH47" si="401">AH235+AH236</f>
        <v>0</v>
      </c>
      <c r="AI47" s="43">
        <f t="shared" ref="AI47:AL47" si="402">AI235+AI236</f>
        <v>0</v>
      </c>
      <c r="AJ47" s="43">
        <f t="shared" si="402"/>
        <v>0</v>
      </c>
      <c r="AK47" s="43">
        <f t="shared" si="402"/>
        <v>0</v>
      </c>
      <c r="AL47" s="43">
        <f t="shared" si="402"/>
        <v>0</v>
      </c>
      <c r="AM47" s="43">
        <f>AM235+AM236</f>
        <v>0</v>
      </c>
      <c r="AN47" s="43">
        <f>AN235+AN236</f>
        <v>0</v>
      </c>
      <c r="AO47" s="43">
        <f>AO235+AO236</f>
        <v>0</v>
      </c>
      <c r="AP47" s="43">
        <f>AP235+AP236</f>
        <v>0</v>
      </c>
      <c r="AQ47" s="43">
        <f>AQ235+AQ236</f>
        <v>0</v>
      </c>
      <c r="AR47" s="43">
        <f t="shared" ref="AR47" si="403">AR235+AR236</f>
        <v>0</v>
      </c>
      <c r="AS47" s="43">
        <f>AS235+AS236</f>
        <v>0</v>
      </c>
      <c r="AT47" s="43">
        <f t="shared" ref="AT47" si="404">AT235+AT236</f>
        <v>0</v>
      </c>
      <c r="AU47" s="43">
        <f t="shared" ref="AU47" si="405">AU235+AU236</f>
        <v>0</v>
      </c>
      <c r="AV47" s="43">
        <f t="shared" ref="AV47" si="406">AV235+AV236</f>
        <v>0</v>
      </c>
      <c r="AW47" s="43">
        <f>AW235+AW236</f>
        <v>0</v>
      </c>
      <c r="AX47" s="43">
        <f t="shared" ref="AX47" si="407">AX235+AX236</f>
        <v>0</v>
      </c>
      <c r="AY47" s="43">
        <f t="shared" ref="AY47:BF47" si="408">AY235+AY236</f>
        <v>0</v>
      </c>
      <c r="AZ47" s="43">
        <f t="shared" si="408"/>
        <v>0</v>
      </c>
      <c r="BA47" s="43">
        <f t="shared" si="408"/>
        <v>0</v>
      </c>
      <c r="BB47" s="43">
        <f t="shared" si="408"/>
        <v>0</v>
      </c>
      <c r="BC47" s="43">
        <f t="shared" si="408"/>
        <v>0</v>
      </c>
      <c r="BD47" s="43">
        <f t="shared" si="408"/>
        <v>0</v>
      </c>
      <c r="BE47" s="43">
        <f t="shared" si="408"/>
        <v>0</v>
      </c>
      <c r="BF47" s="43">
        <f t="shared" si="408"/>
        <v>0</v>
      </c>
    </row>
    <row r="48" spans="1:58" ht="14.15" customHeight="1">
      <c r="A48" s="404">
        <f t="shared" si="52"/>
        <v>42</v>
      </c>
      <c r="B48" s="83" t="s">
        <v>370</v>
      </c>
      <c r="C48" s="38">
        <f t="shared" si="348"/>
        <v>184807.44199999282</v>
      </c>
      <c r="D48" s="43">
        <f t="shared" ref="D48:I48" si="409">SUM(D227:D231)</f>
        <v>0</v>
      </c>
      <c r="E48" s="43">
        <f t="shared" si="409"/>
        <v>0</v>
      </c>
      <c r="F48" s="43">
        <f t="shared" si="409"/>
        <v>0</v>
      </c>
      <c r="G48" s="43">
        <f t="shared" si="409"/>
        <v>0</v>
      </c>
      <c r="H48" s="43">
        <f t="shared" si="409"/>
        <v>0</v>
      </c>
      <c r="I48" s="43">
        <f t="shared" si="409"/>
        <v>0</v>
      </c>
      <c r="J48" s="43">
        <f t="shared" ref="J48:V48" si="410">SUM(J227:J231)</f>
        <v>0</v>
      </c>
      <c r="K48" s="43">
        <f t="shared" ref="K48:U48" si="411">SUM(K227:K231)</f>
        <v>0</v>
      </c>
      <c r="L48" s="43">
        <f t="shared" si="411"/>
        <v>0</v>
      </c>
      <c r="M48" s="43">
        <f t="shared" si="411"/>
        <v>0</v>
      </c>
      <c r="N48" s="43">
        <f t="shared" si="411"/>
        <v>0</v>
      </c>
      <c r="O48" s="43">
        <f t="shared" si="411"/>
        <v>0</v>
      </c>
      <c r="P48" s="43">
        <f t="shared" si="411"/>
        <v>0</v>
      </c>
      <c r="Q48" s="43">
        <f t="shared" si="411"/>
        <v>0</v>
      </c>
      <c r="R48" s="43">
        <f t="shared" si="411"/>
        <v>0</v>
      </c>
      <c r="S48" s="43">
        <f t="shared" si="411"/>
        <v>0</v>
      </c>
      <c r="T48" s="43">
        <f t="shared" si="411"/>
        <v>0</v>
      </c>
      <c r="U48" s="43">
        <f t="shared" si="411"/>
        <v>1209867.4419999928</v>
      </c>
      <c r="V48" s="43">
        <f t="shared" si="410"/>
        <v>0</v>
      </c>
      <c r="W48" s="43">
        <f>SUM(W227:W231)</f>
        <v>0</v>
      </c>
      <c r="X48" s="43">
        <f t="shared" ref="X48:AD48" si="412">SUM(X227:X231)</f>
        <v>0</v>
      </c>
      <c r="Y48" s="43">
        <f>SUM(Y227:Y231)</f>
        <v>0</v>
      </c>
      <c r="Z48" s="43">
        <f t="shared" si="412"/>
        <v>0</v>
      </c>
      <c r="AA48" s="43">
        <f t="shared" si="412"/>
        <v>0</v>
      </c>
      <c r="AB48" s="43">
        <f t="shared" si="412"/>
        <v>0</v>
      </c>
      <c r="AC48" s="43">
        <f t="shared" si="412"/>
        <v>0</v>
      </c>
      <c r="AD48" s="43">
        <f t="shared" si="412"/>
        <v>0</v>
      </c>
      <c r="AE48" s="43">
        <f>SUM(AE227:AE231)</f>
        <v>0</v>
      </c>
      <c r="AF48" s="43">
        <f>SUM(AF227:AF231)</f>
        <v>0</v>
      </c>
      <c r="AG48" s="43">
        <f>SUM(AG227:AG231)</f>
        <v>0</v>
      </c>
      <c r="AH48" s="43">
        <f t="shared" ref="AH48" si="413">SUM(AH227:AH231)</f>
        <v>0</v>
      </c>
      <c r="AI48" s="43">
        <f t="shared" ref="AI48:AL48" si="414">SUM(AI227:AI231)</f>
        <v>0</v>
      </c>
      <c r="AJ48" s="43">
        <f t="shared" si="414"/>
        <v>0</v>
      </c>
      <c r="AK48" s="43">
        <f t="shared" si="414"/>
        <v>0</v>
      </c>
      <c r="AL48" s="43">
        <f t="shared" si="414"/>
        <v>0</v>
      </c>
      <c r="AM48" s="43">
        <f>SUM(AM227:AM231)</f>
        <v>0</v>
      </c>
      <c r="AN48" s="43">
        <f>SUM(AN227:AN231)</f>
        <v>0</v>
      </c>
      <c r="AO48" s="43">
        <f>SUM(AO227:AO231)</f>
        <v>0</v>
      </c>
      <c r="AP48" s="43">
        <f>SUM(AP227:AP231)</f>
        <v>0</v>
      </c>
      <c r="AQ48" s="43">
        <f>SUM(AQ227:AQ231)</f>
        <v>0</v>
      </c>
      <c r="AR48" s="43">
        <f t="shared" ref="AR48" si="415">SUM(AR227:AR231)</f>
        <v>0</v>
      </c>
      <c r="AS48" s="43">
        <f>SUM(AS227:AS231)</f>
        <v>0</v>
      </c>
      <c r="AT48" s="43">
        <f t="shared" ref="AT48" si="416">SUM(AT227:AT231)</f>
        <v>0</v>
      </c>
      <c r="AU48" s="43">
        <f t="shared" ref="AU48" si="417">SUM(AU227:AU231)</f>
        <v>0</v>
      </c>
      <c r="AV48" s="43">
        <f t="shared" ref="AV48" si="418">SUM(AV227:AV231)</f>
        <v>0</v>
      </c>
      <c r="AW48" s="43">
        <f>SUM(AW227:AW231)</f>
        <v>0</v>
      </c>
      <c r="AX48" s="43">
        <f t="shared" ref="AX48" si="419">SUM(AX227:AX231)</f>
        <v>0</v>
      </c>
      <c r="AY48" s="43">
        <f t="shared" ref="AY48:BF48" si="420">SUM(AY227:AY231)</f>
        <v>0</v>
      </c>
      <c r="AZ48" s="43">
        <f t="shared" si="420"/>
        <v>0</v>
      </c>
      <c r="BA48" s="43">
        <f t="shared" si="420"/>
        <v>0</v>
      </c>
      <c r="BB48" s="43">
        <f t="shared" si="420"/>
        <v>0</v>
      </c>
      <c r="BC48" s="43">
        <f t="shared" si="420"/>
        <v>0</v>
      </c>
      <c r="BD48" s="43">
        <f t="shared" si="420"/>
        <v>-1025060</v>
      </c>
      <c r="BE48" s="43">
        <f t="shared" si="420"/>
        <v>0</v>
      </c>
      <c r="BF48" s="43">
        <f t="shared" si="420"/>
        <v>0</v>
      </c>
    </row>
    <row r="49" spans="1:59" ht="14.15" customHeight="1">
      <c r="A49" s="404">
        <f t="shared" si="52"/>
        <v>43</v>
      </c>
      <c r="B49" s="83" t="s">
        <v>371</v>
      </c>
      <c r="C49" s="38">
        <f t="shared" ca="1" si="348"/>
        <v>-60772164.879299641</v>
      </c>
      <c r="D49" s="43">
        <f t="shared" ref="D49:I49" si="421">D442</f>
        <v>0</v>
      </c>
      <c r="E49" s="43">
        <f t="shared" si="421"/>
        <v>0</v>
      </c>
      <c r="F49" s="43">
        <f t="shared" si="421"/>
        <v>0</v>
      </c>
      <c r="G49" s="43">
        <f t="shared" si="421"/>
        <v>0</v>
      </c>
      <c r="H49" s="43">
        <f t="shared" si="421"/>
        <v>0</v>
      </c>
      <c r="I49" s="43">
        <f t="shared" si="421"/>
        <v>0</v>
      </c>
      <c r="J49" s="43">
        <f t="shared" ref="J49:V49" si="422">J442</f>
        <v>0</v>
      </c>
      <c r="K49" s="43">
        <f t="shared" ref="K49:U49" si="423">K442</f>
        <v>0</v>
      </c>
      <c r="L49" s="43">
        <f t="shared" si="423"/>
        <v>0</v>
      </c>
      <c r="M49" s="43">
        <f t="shared" si="423"/>
        <v>0</v>
      </c>
      <c r="N49" s="43">
        <f t="shared" si="423"/>
        <v>0</v>
      </c>
      <c r="O49" s="43">
        <f t="shared" si="423"/>
        <v>0</v>
      </c>
      <c r="P49" s="43">
        <f t="shared" si="423"/>
        <v>0</v>
      </c>
      <c r="Q49" s="43">
        <f t="shared" si="423"/>
        <v>0</v>
      </c>
      <c r="R49" s="43">
        <f t="shared" si="423"/>
        <v>0</v>
      </c>
      <c r="S49" s="43">
        <f t="shared" si="423"/>
        <v>0</v>
      </c>
      <c r="T49" s="43">
        <f t="shared" si="423"/>
        <v>0</v>
      </c>
      <c r="U49" s="43">
        <f t="shared" si="423"/>
        <v>0</v>
      </c>
      <c r="V49" s="43">
        <f t="shared" si="422"/>
        <v>0</v>
      </c>
      <c r="W49" s="43">
        <f>W442</f>
        <v>0</v>
      </c>
      <c r="X49" s="43">
        <f t="shared" ref="X49:AD49" si="424">X442</f>
        <v>0</v>
      </c>
      <c r="Y49" s="43">
        <f>Y442</f>
        <v>0</v>
      </c>
      <c r="Z49" s="43">
        <f t="shared" si="424"/>
        <v>0</v>
      </c>
      <c r="AA49" s="43">
        <f t="shared" si="424"/>
        <v>0</v>
      </c>
      <c r="AB49" s="43">
        <f t="shared" si="424"/>
        <v>0</v>
      </c>
      <c r="AC49" s="43">
        <f t="shared" si="424"/>
        <v>0</v>
      </c>
      <c r="AD49" s="43">
        <f t="shared" si="424"/>
        <v>0</v>
      </c>
      <c r="AE49" s="43">
        <f>AE442</f>
        <v>0</v>
      </c>
      <c r="AF49" s="43">
        <f>AF442</f>
        <v>0</v>
      </c>
      <c r="AG49" s="43">
        <f>AG442</f>
        <v>0</v>
      </c>
      <c r="AH49" s="43">
        <f t="shared" ref="AH49" si="425">AH442</f>
        <v>0</v>
      </c>
      <c r="AI49" s="43">
        <f t="shared" ref="AI49:AL49" si="426">AI442</f>
        <v>0</v>
      </c>
      <c r="AJ49" s="43">
        <f t="shared" si="426"/>
        <v>0</v>
      </c>
      <c r="AK49" s="43">
        <f t="shared" si="426"/>
        <v>0</v>
      </c>
      <c r="AL49" s="43">
        <f t="shared" si="426"/>
        <v>0</v>
      </c>
      <c r="AM49" s="43">
        <f>AM442</f>
        <v>0</v>
      </c>
      <c r="AN49" s="43">
        <f>AN442</f>
        <v>0</v>
      </c>
      <c r="AO49" s="43">
        <f>AO442</f>
        <v>0</v>
      </c>
      <c r="AP49" s="43">
        <f>AP442</f>
        <v>0</v>
      </c>
      <c r="AQ49" s="43">
        <f>AQ442</f>
        <v>0</v>
      </c>
      <c r="AR49" s="43">
        <f t="shared" ref="AR49" si="427">AR442</f>
        <v>0</v>
      </c>
      <c r="AS49" s="43">
        <f>AS442</f>
        <v>0</v>
      </c>
      <c r="AT49" s="43">
        <f t="shared" ref="AT49" si="428">AT442</f>
        <v>0</v>
      </c>
      <c r="AU49" s="43">
        <f t="shared" ref="AU49" si="429">AU442</f>
        <v>0</v>
      </c>
      <c r="AV49" s="43">
        <f t="shared" ref="AV49" si="430">AV442</f>
        <v>0</v>
      </c>
      <c r="AW49" s="43">
        <f>AW442</f>
        <v>0</v>
      </c>
      <c r="AX49" s="43">
        <f t="shared" ref="AX49" si="431">AX442</f>
        <v>0</v>
      </c>
      <c r="AY49" s="43">
        <f t="shared" ref="AY49:BF49" si="432">AY442</f>
        <v>0</v>
      </c>
      <c r="AZ49" s="43">
        <f t="shared" si="432"/>
        <v>0</v>
      </c>
      <c r="BA49" s="43">
        <f t="shared" si="432"/>
        <v>0</v>
      </c>
      <c r="BB49" s="43">
        <f t="shared" si="432"/>
        <v>0</v>
      </c>
      <c r="BC49" s="43">
        <f t="shared" ca="1" si="432"/>
        <v>-60772164.879299641</v>
      </c>
      <c r="BD49" s="43">
        <f t="shared" si="432"/>
        <v>0</v>
      </c>
      <c r="BE49" s="43">
        <f t="shared" si="432"/>
        <v>0</v>
      </c>
      <c r="BF49" s="43">
        <f t="shared" si="432"/>
        <v>0</v>
      </c>
    </row>
    <row r="50" spans="1:59" ht="14.15" customHeight="1">
      <c r="A50" s="404">
        <f t="shared" si="52"/>
        <v>44</v>
      </c>
      <c r="B50" s="83" t="s">
        <v>44</v>
      </c>
      <c r="C50" s="38">
        <f t="shared" si="348"/>
        <v>1649477.659999996</v>
      </c>
      <c r="D50" s="43">
        <f t="shared" ref="D50:I50" si="433">D201+D205+D209+D213</f>
        <v>0</v>
      </c>
      <c r="E50" s="43">
        <f t="shared" si="433"/>
        <v>0</v>
      </c>
      <c r="F50" s="43">
        <f t="shared" si="433"/>
        <v>0</v>
      </c>
      <c r="G50" s="43">
        <f t="shared" si="433"/>
        <v>0</v>
      </c>
      <c r="H50" s="43">
        <f t="shared" si="433"/>
        <v>0</v>
      </c>
      <c r="I50" s="43">
        <f t="shared" si="433"/>
        <v>0</v>
      </c>
      <c r="J50" s="43">
        <f t="shared" ref="J50:V50" si="434">J201+J205+J209+J213</f>
        <v>0</v>
      </c>
      <c r="K50" s="43">
        <f t="shared" ref="K50:U50" si="435">K201+K205+K209+K213</f>
        <v>0</v>
      </c>
      <c r="L50" s="43">
        <f t="shared" si="435"/>
        <v>0</v>
      </c>
      <c r="M50" s="43">
        <f t="shared" si="435"/>
        <v>0</v>
      </c>
      <c r="N50" s="43">
        <f t="shared" si="435"/>
        <v>0</v>
      </c>
      <c r="O50" s="43">
        <f t="shared" si="435"/>
        <v>0</v>
      </c>
      <c r="P50" s="43">
        <f t="shared" si="435"/>
        <v>0</v>
      </c>
      <c r="Q50" s="43">
        <f t="shared" si="435"/>
        <v>0</v>
      </c>
      <c r="R50" s="43">
        <f t="shared" si="435"/>
        <v>0</v>
      </c>
      <c r="S50" s="43">
        <f t="shared" si="435"/>
        <v>0</v>
      </c>
      <c r="T50" s="43">
        <f t="shared" si="435"/>
        <v>0</v>
      </c>
      <c r="U50" s="43">
        <f t="shared" si="435"/>
        <v>1649477.659999996</v>
      </c>
      <c r="V50" s="43">
        <f t="shared" si="434"/>
        <v>0</v>
      </c>
      <c r="W50" s="43">
        <f>W201+W205+W209+W213</f>
        <v>0</v>
      </c>
      <c r="X50" s="43">
        <f t="shared" ref="X50:AD50" si="436">X201+X205+X209+X213</f>
        <v>0</v>
      </c>
      <c r="Y50" s="43">
        <f>Y201+Y205+Y209+Y213</f>
        <v>0</v>
      </c>
      <c r="Z50" s="43">
        <f t="shared" si="436"/>
        <v>0</v>
      </c>
      <c r="AA50" s="43">
        <f t="shared" si="436"/>
        <v>0</v>
      </c>
      <c r="AB50" s="43">
        <f t="shared" si="436"/>
        <v>0</v>
      </c>
      <c r="AC50" s="43">
        <f t="shared" si="436"/>
        <v>0</v>
      </c>
      <c r="AD50" s="43">
        <f t="shared" si="436"/>
        <v>0</v>
      </c>
      <c r="AE50" s="43">
        <f>AE201+AE205+AE209+AE213</f>
        <v>0</v>
      </c>
      <c r="AF50" s="43">
        <f>AF201+AF205+AF209+AF213</f>
        <v>0</v>
      </c>
      <c r="AG50" s="43">
        <f>AG201+AG205+AG209+AG213</f>
        <v>0</v>
      </c>
      <c r="AH50" s="43">
        <f t="shared" ref="AH50" si="437">AH201+AH205+AH209+AH213</f>
        <v>0</v>
      </c>
      <c r="AI50" s="43">
        <f t="shared" ref="AI50:AL50" si="438">AI201+AI205+AI209+AI213</f>
        <v>0</v>
      </c>
      <c r="AJ50" s="43">
        <f t="shared" si="438"/>
        <v>0</v>
      </c>
      <c r="AK50" s="43">
        <f t="shared" si="438"/>
        <v>0</v>
      </c>
      <c r="AL50" s="43">
        <f t="shared" si="438"/>
        <v>0</v>
      </c>
      <c r="AM50" s="43">
        <f>AM201+AM205+AM209+AM213</f>
        <v>0</v>
      </c>
      <c r="AN50" s="43">
        <f>AN201+AN205+AN209+AN213</f>
        <v>0</v>
      </c>
      <c r="AO50" s="43">
        <f>AO201+AO205+AO209+AO213</f>
        <v>0</v>
      </c>
      <c r="AP50" s="43">
        <f>AP201+AP205+AP209+AP213</f>
        <v>0</v>
      </c>
      <c r="AQ50" s="43">
        <f>AQ201+AQ205+AQ209+AQ213</f>
        <v>0</v>
      </c>
      <c r="AR50" s="43">
        <f t="shared" ref="AR50" si="439">AR201+AR205+AR209+AR213</f>
        <v>0</v>
      </c>
      <c r="AS50" s="43">
        <f>AS201+AS205+AS209+AS213</f>
        <v>0</v>
      </c>
      <c r="AT50" s="43">
        <f t="shared" ref="AT50" si="440">AT201+AT205+AT209+AT213</f>
        <v>0</v>
      </c>
      <c r="AU50" s="43">
        <f t="shared" ref="AU50" si="441">AU201+AU205+AU209+AU213</f>
        <v>0</v>
      </c>
      <c r="AV50" s="43">
        <f t="shared" ref="AV50" si="442">AV201+AV205+AV209+AV213</f>
        <v>0</v>
      </c>
      <c r="AW50" s="43">
        <f>AW201+AW205+AW209+AW213</f>
        <v>0</v>
      </c>
      <c r="AX50" s="43">
        <f t="shared" ref="AX50" si="443">AX201+AX205+AX209+AX213</f>
        <v>0</v>
      </c>
      <c r="AY50" s="43">
        <f t="shared" ref="AY50:BF50" si="444">AY201+AY205+AY209+AY213</f>
        <v>0</v>
      </c>
      <c r="AZ50" s="43">
        <f t="shared" si="444"/>
        <v>0</v>
      </c>
      <c r="BA50" s="43">
        <f t="shared" si="444"/>
        <v>0</v>
      </c>
      <c r="BB50" s="43">
        <f t="shared" si="444"/>
        <v>0</v>
      </c>
      <c r="BC50" s="43">
        <f t="shared" si="444"/>
        <v>0</v>
      </c>
      <c r="BD50" s="43">
        <f t="shared" si="444"/>
        <v>0</v>
      </c>
      <c r="BE50" s="43">
        <f t="shared" si="444"/>
        <v>0</v>
      </c>
      <c r="BF50" s="43">
        <f t="shared" si="444"/>
        <v>0</v>
      </c>
    </row>
    <row r="51" spans="1:59" ht="14.15" customHeight="1">
      <c r="A51" s="404">
        <f t="shared" si="52"/>
        <v>45</v>
      </c>
      <c r="B51" s="83" t="s">
        <v>959</v>
      </c>
      <c r="C51" s="38">
        <f t="shared" si="348"/>
        <v>10000000</v>
      </c>
      <c r="D51" s="43">
        <f t="shared" ref="D51:U51" si="445">(D244+D245+D246+D247)</f>
        <v>0</v>
      </c>
      <c r="E51" s="43">
        <f t="shared" si="445"/>
        <v>0</v>
      </c>
      <c r="F51" s="43">
        <f t="shared" si="445"/>
        <v>0</v>
      </c>
      <c r="G51" s="43">
        <f t="shared" si="445"/>
        <v>0</v>
      </c>
      <c r="H51" s="43">
        <f t="shared" si="445"/>
        <v>0</v>
      </c>
      <c r="I51" s="43">
        <f t="shared" si="445"/>
        <v>0</v>
      </c>
      <c r="J51" s="43">
        <f t="shared" si="445"/>
        <v>0</v>
      </c>
      <c r="K51" s="43">
        <f t="shared" si="445"/>
        <v>0</v>
      </c>
      <c r="L51" s="43">
        <f t="shared" si="445"/>
        <v>0</v>
      </c>
      <c r="M51" s="43">
        <f t="shared" si="445"/>
        <v>0</v>
      </c>
      <c r="N51" s="43">
        <f t="shared" si="445"/>
        <v>0</v>
      </c>
      <c r="O51" s="43">
        <f t="shared" si="445"/>
        <v>0</v>
      </c>
      <c r="P51" s="43">
        <f t="shared" si="445"/>
        <v>0</v>
      </c>
      <c r="Q51" s="43">
        <f t="shared" si="445"/>
        <v>0</v>
      </c>
      <c r="R51" s="43">
        <f t="shared" si="445"/>
        <v>0</v>
      </c>
      <c r="S51" s="43">
        <f t="shared" si="445"/>
        <v>0</v>
      </c>
      <c r="T51" s="43">
        <f t="shared" si="445"/>
        <v>0</v>
      </c>
      <c r="U51" s="43">
        <f t="shared" si="445"/>
        <v>0</v>
      </c>
      <c r="V51" s="43">
        <f t="shared" ref="V51:BG51" si="446">(V244+V245+V246+V247)</f>
        <v>0</v>
      </c>
      <c r="W51" s="43">
        <f t="shared" ref="W51:AG51" si="447">(W244+W245+W246+W247)</f>
        <v>0</v>
      </c>
      <c r="X51" s="43">
        <f t="shared" si="447"/>
        <v>0</v>
      </c>
      <c r="Y51" s="43">
        <f t="shared" si="447"/>
        <v>0</v>
      </c>
      <c r="Z51" s="43">
        <f t="shared" si="447"/>
        <v>0</v>
      </c>
      <c r="AA51" s="43">
        <f t="shared" si="447"/>
        <v>0</v>
      </c>
      <c r="AB51" s="43">
        <f t="shared" si="447"/>
        <v>0</v>
      </c>
      <c r="AC51" s="43">
        <f t="shared" si="447"/>
        <v>0</v>
      </c>
      <c r="AD51" s="43">
        <f t="shared" si="447"/>
        <v>0</v>
      </c>
      <c r="AE51" s="43">
        <f t="shared" si="447"/>
        <v>0</v>
      </c>
      <c r="AF51" s="43">
        <f t="shared" si="447"/>
        <v>0</v>
      </c>
      <c r="AG51" s="43">
        <f t="shared" si="447"/>
        <v>0</v>
      </c>
      <c r="AH51" s="43">
        <f t="shared" si="446"/>
        <v>0</v>
      </c>
      <c r="AI51" s="43">
        <f t="shared" si="446"/>
        <v>0</v>
      </c>
      <c r="AJ51" s="43">
        <f t="shared" si="446"/>
        <v>0</v>
      </c>
      <c r="AK51" s="43">
        <f t="shared" si="446"/>
        <v>0</v>
      </c>
      <c r="AL51" s="43">
        <f t="shared" si="446"/>
        <v>0</v>
      </c>
      <c r="AM51" s="43">
        <f t="shared" si="446"/>
        <v>0</v>
      </c>
      <c r="AN51" s="43">
        <f t="shared" ref="AN51:AW51" si="448">(AN244+AN245+AN246+AN247)</f>
        <v>0</v>
      </c>
      <c r="AO51" s="43">
        <f t="shared" si="448"/>
        <v>0</v>
      </c>
      <c r="AP51" s="43">
        <f t="shared" si="448"/>
        <v>0</v>
      </c>
      <c r="AQ51" s="43">
        <f t="shared" si="448"/>
        <v>0</v>
      </c>
      <c r="AR51" s="43">
        <f t="shared" si="448"/>
        <v>0</v>
      </c>
      <c r="AS51" s="43">
        <f t="shared" si="448"/>
        <v>0</v>
      </c>
      <c r="AT51" s="43">
        <f t="shared" si="448"/>
        <v>0</v>
      </c>
      <c r="AU51" s="43">
        <f t="shared" si="448"/>
        <v>0</v>
      </c>
      <c r="AV51" s="43">
        <f t="shared" si="448"/>
        <v>0</v>
      </c>
      <c r="AW51" s="43">
        <f t="shared" si="448"/>
        <v>0</v>
      </c>
      <c r="AX51" s="43">
        <f t="shared" ref="AX51" si="449">(AX244+AX245+AX246+AX247)</f>
        <v>0</v>
      </c>
      <c r="AY51" s="43">
        <f t="shared" ref="AY51:BE51" si="450">(AY244+AY245+AY246+AY247)</f>
        <v>10000000</v>
      </c>
      <c r="AZ51" s="43">
        <f t="shared" si="450"/>
        <v>0</v>
      </c>
      <c r="BA51" s="43">
        <f t="shared" si="450"/>
        <v>0</v>
      </c>
      <c r="BB51" s="43">
        <f t="shared" si="450"/>
        <v>0</v>
      </c>
      <c r="BC51" s="43">
        <f t="shared" si="450"/>
        <v>0</v>
      </c>
      <c r="BD51" s="43">
        <f t="shared" si="450"/>
        <v>0</v>
      </c>
      <c r="BE51" s="43">
        <f t="shared" si="450"/>
        <v>0</v>
      </c>
      <c r="BF51" s="43">
        <f>(BF244+BF245+BF246+BF247)</f>
        <v>0</v>
      </c>
      <c r="BG51" s="43">
        <f t="shared" si="446"/>
        <v>0</v>
      </c>
    </row>
    <row r="52" spans="1:59" ht="14.15" customHeight="1">
      <c r="A52" s="404">
        <f t="shared" si="52"/>
        <v>46</v>
      </c>
      <c r="B52" s="56" t="s">
        <v>46</v>
      </c>
      <c r="C52" s="197">
        <f t="shared" si="348"/>
        <v>93977971.09415172</v>
      </c>
      <c r="D52" s="64">
        <f t="shared" ref="D52:I52" si="451">D241</f>
        <v>0</v>
      </c>
      <c r="E52" s="64">
        <f t="shared" si="451"/>
        <v>0</v>
      </c>
      <c r="F52" s="64">
        <f t="shared" si="451"/>
        <v>0</v>
      </c>
      <c r="G52" s="64">
        <f t="shared" si="451"/>
        <v>0</v>
      </c>
      <c r="H52" s="64">
        <f t="shared" si="451"/>
        <v>0</v>
      </c>
      <c r="I52" s="64">
        <f t="shared" si="451"/>
        <v>0</v>
      </c>
      <c r="J52" s="64">
        <f t="shared" ref="J52:V52" si="452">J241</f>
        <v>0</v>
      </c>
      <c r="K52" s="64">
        <f t="shared" ref="K52:U52" si="453">K241</f>
        <v>0</v>
      </c>
      <c r="L52" s="64">
        <f t="shared" si="453"/>
        <v>0</v>
      </c>
      <c r="M52" s="64">
        <f t="shared" si="453"/>
        <v>0</v>
      </c>
      <c r="N52" s="64">
        <f t="shared" si="453"/>
        <v>0</v>
      </c>
      <c r="O52" s="64">
        <f t="shared" si="453"/>
        <v>0</v>
      </c>
      <c r="P52" s="64">
        <f t="shared" si="453"/>
        <v>0</v>
      </c>
      <c r="Q52" s="64">
        <f t="shared" si="453"/>
        <v>0</v>
      </c>
      <c r="R52" s="64">
        <f t="shared" si="453"/>
        <v>0</v>
      </c>
      <c r="S52" s="64">
        <f t="shared" si="453"/>
        <v>0</v>
      </c>
      <c r="T52" s="64">
        <f t="shared" si="453"/>
        <v>0</v>
      </c>
      <c r="U52" s="64">
        <f t="shared" si="453"/>
        <v>-5514295.8700000355</v>
      </c>
      <c r="V52" s="64">
        <f t="shared" si="452"/>
        <v>0</v>
      </c>
      <c r="W52" s="64">
        <f>W241</f>
        <v>0</v>
      </c>
      <c r="X52" s="64">
        <f t="shared" ref="X52:AD52" si="454">X241</f>
        <v>0</v>
      </c>
      <c r="Y52" s="64">
        <f>Y241</f>
        <v>0</v>
      </c>
      <c r="Z52" s="64">
        <f t="shared" si="454"/>
        <v>0</v>
      </c>
      <c r="AA52" s="64">
        <f t="shared" si="454"/>
        <v>0</v>
      </c>
      <c r="AB52" s="64">
        <f t="shared" si="454"/>
        <v>0</v>
      </c>
      <c r="AC52" s="64">
        <f t="shared" si="454"/>
        <v>0</v>
      </c>
      <c r="AD52" s="64">
        <f t="shared" si="454"/>
        <v>0</v>
      </c>
      <c r="AE52" s="64">
        <f>AE241</f>
        <v>0</v>
      </c>
      <c r="AF52" s="64">
        <f>AF241</f>
        <v>0</v>
      </c>
      <c r="AG52" s="64">
        <f>AG241</f>
        <v>0</v>
      </c>
      <c r="AH52" s="64">
        <f t="shared" ref="AH52" si="455">AH241</f>
        <v>0</v>
      </c>
      <c r="AI52" s="64">
        <f t="shared" ref="AI52:AL52" si="456">AI241</f>
        <v>0</v>
      </c>
      <c r="AJ52" s="64">
        <f t="shared" si="456"/>
        <v>0</v>
      </c>
      <c r="AK52" s="64">
        <f t="shared" si="456"/>
        <v>0</v>
      </c>
      <c r="AL52" s="64">
        <f t="shared" si="456"/>
        <v>0</v>
      </c>
      <c r="AM52" s="64">
        <f t="shared" ref="AM52:AS52" si="457">AM241</f>
        <v>0</v>
      </c>
      <c r="AN52" s="64">
        <f t="shared" si="457"/>
        <v>0</v>
      </c>
      <c r="AO52" s="64">
        <f t="shared" si="457"/>
        <v>0</v>
      </c>
      <c r="AP52" s="64">
        <f t="shared" si="457"/>
        <v>0</v>
      </c>
      <c r="AQ52" s="64">
        <f t="shared" si="457"/>
        <v>0</v>
      </c>
      <c r="AR52" s="64">
        <f t="shared" si="457"/>
        <v>0</v>
      </c>
      <c r="AS52" s="64">
        <f t="shared" si="457"/>
        <v>0</v>
      </c>
      <c r="AT52" s="64">
        <f t="shared" ref="AT52" si="458">AT241</f>
        <v>0</v>
      </c>
      <c r="AU52" s="64">
        <f t="shared" ref="AU52" si="459">AU241</f>
        <v>0</v>
      </c>
      <c r="AV52" s="64">
        <f t="shared" ref="AV52" si="460">AV241</f>
        <v>0</v>
      </c>
      <c r="AW52" s="64">
        <f>AW241</f>
        <v>0</v>
      </c>
      <c r="AX52" s="64">
        <f t="shared" ref="AX52" si="461">AX241</f>
        <v>0</v>
      </c>
      <c r="AY52" s="64">
        <f t="shared" ref="AY52:BF52" si="462">AY241</f>
        <v>0</v>
      </c>
      <c r="AZ52" s="64">
        <f t="shared" si="462"/>
        <v>0</v>
      </c>
      <c r="BA52" s="64">
        <f t="shared" si="462"/>
        <v>0</v>
      </c>
      <c r="BB52" s="64">
        <f t="shared" si="462"/>
        <v>54614594.964151755</v>
      </c>
      <c r="BC52" s="64">
        <f t="shared" si="462"/>
        <v>0</v>
      </c>
      <c r="BD52" s="64">
        <f t="shared" si="462"/>
        <v>44877672</v>
      </c>
      <c r="BE52" s="64">
        <f t="shared" si="462"/>
        <v>0</v>
      </c>
      <c r="BF52" s="64">
        <f t="shared" si="462"/>
        <v>0</v>
      </c>
    </row>
    <row r="53" spans="1:59" s="18" customFormat="1" ht="18" customHeight="1" thickBot="1">
      <c r="A53" s="404">
        <f t="shared" si="52"/>
        <v>47</v>
      </c>
      <c r="B53" s="5" t="s">
        <v>47</v>
      </c>
      <c r="C53" s="132">
        <f t="shared" ref="C53:I53" ca="1" si="463">SUM(C45:C52)</f>
        <v>-202058574.61314785</v>
      </c>
      <c r="D53" s="132">
        <f t="shared" si="463"/>
        <v>0</v>
      </c>
      <c r="E53" s="132">
        <f t="shared" si="463"/>
        <v>0</v>
      </c>
      <c r="F53" s="132">
        <f t="shared" si="463"/>
        <v>0</v>
      </c>
      <c r="G53" s="132">
        <f t="shared" si="463"/>
        <v>0</v>
      </c>
      <c r="H53" s="132">
        <f t="shared" si="463"/>
        <v>0</v>
      </c>
      <c r="I53" s="132">
        <f t="shared" si="463"/>
        <v>0</v>
      </c>
      <c r="J53" s="132">
        <f t="shared" ref="J53:V53" si="464">SUM(J45:J52)</f>
        <v>0</v>
      </c>
      <c r="K53" s="132">
        <f t="shared" ref="K53:U53" si="465">SUM(K45:K52)</f>
        <v>0</v>
      </c>
      <c r="L53" s="132">
        <f t="shared" si="465"/>
        <v>0</v>
      </c>
      <c r="M53" s="132">
        <f t="shared" si="465"/>
        <v>0</v>
      </c>
      <c r="N53" s="132">
        <f t="shared" si="465"/>
        <v>0</v>
      </c>
      <c r="O53" s="132">
        <f t="shared" si="465"/>
        <v>0</v>
      </c>
      <c r="P53" s="132">
        <f t="shared" si="465"/>
        <v>0</v>
      </c>
      <c r="Q53" s="132">
        <f t="shared" si="465"/>
        <v>0</v>
      </c>
      <c r="R53" s="132">
        <f t="shared" si="465"/>
        <v>0</v>
      </c>
      <c r="S53" s="132">
        <f t="shared" si="465"/>
        <v>0</v>
      </c>
      <c r="T53" s="132">
        <f t="shared" si="465"/>
        <v>0</v>
      </c>
      <c r="U53" s="132">
        <f t="shared" si="465"/>
        <v>18200754.732000001</v>
      </c>
      <c r="V53" s="132">
        <f t="shared" si="464"/>
        <v>0</v>
      </c>
      <c r="W53" s="132">
        <f>SUM(W45:W52)</f>
        <v>0</v>
      </c>
      <c r="X53" s="132">
        <f t="shared" ref="X53:AD53" si="466">SUM(X45:X52)</f>
        <v>0</v>
      </c>
      <c r="Y53" s="132">
        <f>SUM(Y45:Y52)</f>
        <v>0</v>
      </c>
      <c r="Z53" s="132">
        <f t="shared" si="466"/>
        <v>0</v>
      </c>
      <c r="AA53" s="132">
        <f t="shared" si="466"/>
        <v>0</v>
      </c>
      <c r="AB53" s="132">
        <f t="shared" si="466"/>
        <v>0</v>
      </c>
      <c r="AC53" s="132">
        <f t="shared" si="466"/>
        <v>0</v>
      </c>
      <c r="AD53" s="132">
        <f t="shared" si="466"/>
        <v>0</v>
      </c>
      <c r="AE53" s="132">
        <f>SUM(AE45:AE52)</f>
        <v>0</v>
      </c>
      <c r="AF53" s="132">
        <f>SUM(AF45:AF52)</f>
        <v>0</v>
      </c>
      <c r="AG53" s="132">
        <f>SUM(AG45:AG52)</f>
        <v>0</v>
      </c>
      <c r="AH53" s="132">
        <f t="shared" ref="AH53" si="467">SUM(AH45:AH52)</f>
        <v>0</v>
      </c>
      <c r="AI53" s="132">
        <f t="shared" ref="AI53:AL53" si="468">SUM(AI45:AI52)</f>
        <v>0</v>
      </c>
      <c r="AJ53" s="132">
        <f t="shared" si="468"/>
        <v>0</v>
      </c>
      <c r="AK53" s="132">
        <f t="shared" si="468"/>
        <v>0</v>
      </c>
      <c r="AL53" s="132">
        <f t="shared" si="468"/>
        <v>0</v>
      </c>
      <c r="AM53" s="132">
        <f>SUM(AM45:AM52)</f>
        <v>0</v>
      </c>
      <c r="AN53" s="132">
        <f>SUM(AN45:AN52)</f>
        <v>0</v>
      </c>
      <c r="AO53" s="132">
        <f>SUM(AO45:AO52)</f>
        <v>0</v>
      </c>
      <c r="AP53" s="132">
        <f>SUM(AP45:AP52)</f>
        <v>0</v>
      </c>
      <c r="AQ53" s="132">
        <f>SUM(AQ45:AQ52)</f>
        <v>0</v>
      </c>
      <c r="AR53" s="132">
        <f t="shared" ref="AR53" si="469">SUM(AR45:AR52)</f>
        <v>0</v>
      </c>
      <c r="AS53" s="132">
        <f>SUM(AS45:AS52)</f>
        <v>0</v>
      </c>
      <c r="AT53" s="132">
        <f t="shared" ref="AT53" si="470">SUM(AT45:AT52)</f>
        <v>0</v>
      </c>
      <c r="AU53" s="132">
        <f t="shared" ref="AU53" si="471">SUM(AU45:AU52)</f>
        <v>-127654870.42999995</v>
      </c>
      <c r="AV53" s="132">
        <f t="shared" ref="AV53" si="472">SUM(AV45:AV52)</f>
        <v>18000000</v>
      </c>
      <c r="AW53" s="132">
        <f>SUM(AW45:AW52)</f>
        <v>58243858.970000006</v>
      </c>
      <c r="AX53" s="132">
        <f t="shared" ref="AX53" si="473">SUM(AX45:AX52)</f>
        <v>-58243858.970000006</v>
      </c>
      <c r="AY53" s="132">
        <f t="shared" ref="AY53:BF53" si="474">SUM(AY45:AY52)</f>
        <v>10000000</v>
      </c>
      <c r="AZ53" s="132">
        <f t="shared" si="474"/>
        <v>0</v>
      </c>
      <c r="BA53" s="132">
        <f t="shared" si="474"/>
        <v>0</v>
      </c>
      <c r="BB53" s="132">
        <f t="shared" si="474"/>
        <v>54614594.964151755</v>
      </c>
      <c r="BC53" s="132">
        <f t="shared" ca="1" si="474"/>
        <v>-60772164.879299641</v>
      </c>
      <c r="BD53" s="132">
        <f t="shared" si="474"/>
        <v>-114105731</v>
      </c>
      <c r="BE53" s="132">
        <f t="shared" si="474"/>
        <v>-341158</v>
      </c>
      <c r="BF53" s="132">
        <f t="shared" si="474"/>
        <v>0</v>
      </c>
    </row>
    <row r="54" spans="1:59" s="18" customFormat="1" ht="14.15" customHeight="1" thickTop="1">
      <c r="A54" s="404">
        <f t="shared" si="52"/>
        <v>48</v>
      </c>
      <c r="B54" s="6"/>
      <c r="C54" s="244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</row>
    <row r="55" spans="1:59" s="18" customFormat="1" ht="14.15" customHeight="1">
      <c r="A55" s="404">
        <f t="shared" si="52"/>
        <v>49</v>
      </c>
      <c r="B55" s="2"/>
      <c r="C55" s="2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</row>
    <row r="56" spans="1:59" s="18" customFormat="1" ht="14.15" customHeight="1">
      <c r="A56" s="404">
        <f t="shared" si="52"/>
        <v>50</v>
      </c>
      <c r="B56" s="6"/>
      <c r="C56" s="6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</row>
    <row r="57" spans="1:59" ht="13.5" customHeight="1">
      <c r="A57" s="404">
        <f t="shared" si="52"/>
        <v>51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</row>
    <row r="58" spans="1:59" s="21" customFormat="1" ht="14.15" customHeight="1">
      <c r="A58" s="404">
        <f t="shared" si="52"/>
        <v>52</v>
      </c>
      <c r="B58" s="53" t="s">
        <v>50</v>
      </c>
      <c r="C58" s="7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</row>
    <row r="59" spans="1:59" ht="14.15" customHeight="1">
      <c r="A59" s="404">
        <f t="shared" si="52"/>
        <v>53</v>
      </c>
      <c r="B59" s="8" t="s">
        <v>51</v>
      </c>
      <c r="C59" s="8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</row>
    <row r="60" spans="1:59" ht="14.15" customHeight="1">
      <c r="A60" s="404">
        <f t="shared" si="52"/>
        <v>54</v>
      </c>
      <c r="B60" s="83" t="s">
        <v>52</v>
      </c>
      <c r="C60" s="38">
        <f>SUM(D60:BF60)</f>
        <v>-4029984.82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1058.1800000000003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10">
        <v>0</v>
      </c>
      <c r="AP60" s="10">
        <v>0</v>
      </c>
      <c r="AQ60" s="10">
        <v>0</v>
      </c>
      <c r="AR60" s="10">
        <v>0</v>
      </c>
      <c r="AS60" s="10">
        <v>0</v>
      </c>
      <c r="AT60" s="10">
        <v>0</v>
      </c>
      <c r="AU60" s="10">
        <v>0</v>
      </c>
      <c r="AV60" s="10">
        <v>0</v>
      </c>
      <c r="AW60" s="10">
        <v>0</v>
      </c>
      <c r="AX60" s="10">
        <v>0</v>
      </c>
      <c r="AY60" s="10">
        <v>0</v>
      </c>
      <c r="AZ60" s="10">
        <v>0</v>
      </c>
      <c r="BA60" s="10">
        <v>0</v>
      </c>
      <c r="BB60" s="10">
        <v>0</v>
      </c>
      <c r="BC60" s="10">
        <v>0</v>
      </c>
      <c r="BD60" s="10">
        <v>0</v>
      </c>
      <c r="BE60" s="10">
        <v>-4031043</v>
      </c>
      <c r="BF60" s="10">
        <v>0</v>
      </c>
    </row>
    <row r="61" spans="1:59" ht="14.15" customHeight="1">
      <c r="A61" s="404">
        <f t="shared" si="52"/>
        <v>55</v>
      </c>
      <c r="B61" s="56" t="s">
        <v>53</v>
      </c>
      <c r="C61" s="38">
        <f>SUM(D61:BF61)</f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10">
        <v>0</v>
      </c>
      <c r="AP61" s="10">
        <v>0</v>
      </c>
      <c r="AQ61" s="10">
        <v>0</v>
      </c>
      <c r="AR61" s="10">
        <v>0</v>
      </c>
      <c r="AS61" s="10">
        <v>0</v>
      </c>
      <c r="AT61" s="10">
        <v>0</v>
      </c>
      <c r="AU61" s="10">
        <v>0</v>
      </c>
      <c r="AV61" s="10">
        <v>0</v>
      </c>
      <c r="AW61" s="10">
        <v>0</v>
      </c>
      <c r="AX61" s="10">
        <v>0</v>
      </c>
      <c r="AY61" s="10">
        <v>0</v>
      </c>
      <c r="AZ61" s="10">
        <v>0</v>
      </c>
      <c r="BA61" s="10">
        <v>0</v>
      </c>
      <c r="BB61" s="10">
        <v>0</v>
      </c>
      <c r="BC61" s="10">
        <v>0</v>
      </c>
      <c r="BD61" s="10">
        <v>0</v>
      </c>
      <c r="BE61" s="10">
        <v>0</v>
      </c>
      <c r="BF61" s="10">
        <v>0</v>
      </c>
    </row>
    <row r="62" spans="1:59" ht="14.15" customHeight="1">
      <c r="A62" s="404">
        <f t="shared" si="52"/>
        <v>56</v>
      </c>
      <c r="B62" s="3" t="s">
        <v>508</v>
      </c>
      <c r="C62" s="47">
        <f t="shared" ref="C62:V62" si="475">SUM(C60:C61)</f>
        <v>-4029984.82</v>
      </c>
      <c r="D62" s="47">
        <f t="shared" ref="D62:I62" si="476">SUM(D60:D61)</f>
        <v>0</v>
      </c>
      <c r="E62" s="47">
        <f t="shared" si="476"/>
        <v>0</v>
      </c>
      <c r="F62" s="47">
        <f t="shared" si="476"/>
        <v>0</v>
      </c>
      <c r="G62" s="47">
        <f t="shared" si="476"/>
        <v>0</v>
      </c>
      <c r="H62" s="47">
        <f t="shared" si="476"/>
        <v>0</v>
      </c>
      <c r="I62" s="47">
        <f t="shared" si="476"/>
        <v>0</v>
      </c>
      <c r="J62" s="47">
        <f t="shared" si="475"/>
        <v>0</v>
      </c>
      <c r="K62" s="47">
        <f t="shared" ref="K62:U62" si="477">SUM(K60:K61)</f>
        <v>0</v>
      </c>
      <c r="L62" s="47">
        <f t="shared" si="477"/>
        <v>0</v>
      </c>
      <c r="M62" s="47">
        <f t="shared" si="477"/>
        <v>0</v>
      </c>
      <c r="N62" s="47">
        <f t="shared" si="477"/>
        <v>0</v>
      </c>
      <c r="O62" s="47">
        <f t="shared" si="477"/>
        <v>0</v>
      </c>
      <c r="P62" s="47">
        <f t="shared" si="477"/>
        <v>0</v>
      </c>
      <c r="Q62" s="47">
        <f t="shared" si="477"/>
        <v>0</v>
      </c>
      <c r="R62" s="47">
        <f t="shared" si="477"/>
        <v>0</v>
      </c>
      <c r="S62" s="47">
        <f t="shared" si="477"/>
        <v>0</v>
      </c>
      <c r="T62" s="47">
        <f t="shared" si="477"/>
        <v>0</v>
      </c>
      <c r="U62" s="47">
        <f t="shared" si="477"/>
        <v>1058.1800000000003</v>
      </c>
      <c r="V62" s="47">
        <f t="shared" si="475"/>
        <v>0</v>
      </c>
      <c r="W62" s="47">
        <f>SUM(W60:W61)</f>
        <v>0</v>
      </c>
      <c r="X62" s="47">
        <f t="shared" ref="X62:AD62" si="478">SUM(X60:X61)</f>
        <v>0</v>
      </c>
      <c r="Y62" s="47">
        <f>SUM(Y60:Y61)</f>
        <v>0</v>
      </c>
      <c r="Z62" s="47">
        <f t="shared" si="478"/>
        <v>0</v>
      </c>
      <c r="AA62" s="47">
        <f t="shared" si="478"/>
        <v>0</v>
      </c>
      <c r="AB62" s="47">
        <f t="shared" si="478"/>
        <v>0</v>
      </c>
      <c r="AC62" s="47">
        <f t="shared" si="478"/>
        <v>0</v>
      </c>
      <c r="AD62" s="47">
        <f t="shared" si="478"/>
        <v>0</v>
      </c>
      <c r="AE62" s="47">
        <f>SUM(AE60:AE61)</f>
        <v>0</v>
      </c>
      <c r="AF62" s="47">
        <f>SUM(AF60:AF61)</f>
        <v>0</v>
      </c>
      <c r="AG62" s="47">
        <f>SUM(AG60:AG61)</f>
        <v>0</v>
      </c>
      <c r="AH62" s="47">
        <f t="shared" ref="AH62" si="479">SUM(AH60:AH61)</f>
        <v>0</v>
      </c>
      <c r="AI62" s="47">
        <f t="shared" ref="AI62:AL62" si="480">SUM(AI60:AI61)</f>
        <v>0</v>
      </c>
      <c r="AJ62" s="47">
        <f t="shared" si="480"/>
        <v>0</v>
      </c>
      <c r="AK62" s="47">
        <f t="shared" si="480"/>
        <v>0</v>
      </c>
      <c r="AL62" s="47">
        <f t="shared" si="480"/>
        <v>0</v>
      </c>
      <c r="AM62" s="47">
        <f>SUM(AM60:AM61)</f>
        <v>0</v>
      </c>
      <c r="AN62" s="47">
        <f>SUM(AN60:AN61)</f>
        <v>0</v>
      </c>
      <c r="AO62" s="47">
        <f>SUM(AO60:AO61)</f>
        <v>0</v>
      </c>
      <c r="AP62" s="47">
        <f>SUM(AP60:AP61)</f>
        <v>0</v>
      </c>
      <c r="AQ62" s="47">
        <f>SUM(AQ60:AQ61)</f>
        <v>0</v>
      </c>
      <c r="AR62" s="47">
        <f t="shared" ref="AR62" si="481">SUM(AR60:AR61)</f>
        <v>0</v>
      </c>
      <c r="AS62" s="47">
        <f>SUM(AS60:AS61)</f>
        <v>0</v>
      </c>
      <c r="AT62" s="47">
        <f t="shared" ref="AT62" si="482">SUM(AT60:AT61)</f>
        <v>0</v>
      </c>
      <c r="AU62" s="47">
        <f t="shared" ref="AU62" si="483">SUM(AU60:AU61)</f>
        <v>0</v>
      </c>
      <c r="AV62" s="47">
        <f t="shared" ref="AV62" si="484">SUM(AV60:AV61)</f>
        <v>0</v>
      </c>
      <c r="AW62" s="47">
        <f>SUM(AW60:AW61)</f>
        <v>0</v>
      </c>
      <c r="AX62" s="47">
        <f t="shared" ref="AX62" si="485">SUM(AX60:AX61)</f>
        <v>0</v>
      </c>
      <c r="AY62" s="47">
        <f t="shared" ref="AY62:BF62" si="486">SUM(AY60:AY61)</f>
        <v>0</v>
      </c>
      <c r="AZ62" s="47">
        <f t="shared" si="486"/>
        <v>0</v>
      </c>
      <c r="BA62" s="47">
        <f t="shared" si="486"/>
        <v>0</v>
      </c>
      <c r="BB62" s="47">
        <f t="shared" si="486"/>
        <v>0</v>
      </c>
      <c r="BC62" s="47">
        <f t="shared" si="486"/>
        <v>0</v>
      </c>
      <c r="BD62" s="47">
        <f t="shared" si="486"/>
        <v>0</v>
      </c>
      <c r="BE62" s="47">
        <f t="shared" si="486"/>
        <v>-4031043</v>
      </c>
      <c r="BF62" s="47">
        <f t="shared" si="486"/>
        <v>0</v>
      </c>
    </row>
    <row r="63" spans="1:59" ht="14.15" customHeight="1">
      <c r="A63" s="404">
        <f t="shared" si="52"/>
        <v>57</v>
      </c>
      <c r="C63" s="22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</row>
    <row r="64" spans="1:59" ht="14.15" customHeight="1">
      <c r="A64" s="404">
        <f t="shared" si="52"/>
        <v>58</v>
      </c>
      <c r="B64" s="3" t="s">
        <v>56</v>
      </c>
      <c r="C64" s="1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</row>
    <row r="65" spans="1:58" ht="14.15" customHeight="1">
      <c r="A65" s="404">
        <f t="shared" si="52"/>
        <v>59</v>
      </c>
      <c r="B65" s="3" t="s">
        <v>57</v>
      </c>
      <c r="C65" s="3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</row>
    <row r="66" spans="1:58" ht="14.15" customHeight="1">
      <c r="A66" s="404">
        <f t="shared" si="52"/>
        <v>60</v>
      </c>
      <c r="B66" s="83" t="s">
        <v>58</v>
      </c>
      <c r="C66" s="38">
        <f t="shared" ref="C66:C73" si="487">SUM(D66:BF66)</f>
        <v>-2780439.54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74791.299999999814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10">
        <v>0</v>
      </c>
      <c r="AP66" s="10">
        <v>0</v>
      </c>
      <c r="AQ66" s="10">
        <v>0</v>
      </c>
      <c r="AR66" s="10">
        <v>0</v>
      </c>
      <c r="AS66" s="10">
        <v>0</v>
      </c>
      <c r="AT66" s="10">
        <v>0</v>
      </c>
      <c r="AU66" s="10">
        <v>-2855230.84</v>
      </c>
      <c r="AV66" s="10">
        <v>0</v>
      </c>
      <c r="AW66" s="10">
        <v>0</v>
      </c>
      <c r="AX66" s="10">
        <v>0</v>
      </c>
      <c r="AY66" s="10">
        <v>0</v>
      </c>
      <c r="AZ66" s="10">
        <v>0</v>
      </c>
      <c r="BA66" s="10">
        <v>0</v>
      </c>
      <c r="BB66" s="10">
        <v>0</v>
      </c>
      <c r="BC66" s="10">
        <v>0</v>
      </c>
      <c r="BD66" s="10">
        <v>0</v>
      </c>
      <c r="BE66" s="10">
        <v>0</v>
      </c>
      <c r="BF66" s="10">
        <v>0</v>
      </c>
    </row>
    <row r="67" spans="1:58" ht="14.15" customHeight="1">
      <c r="A67" s="404">
        <f t="shared" si="52"/>
        <v>61</v>
      </c>
      <c r="B67" s="83" t="s">
        <v>60</v>
      </c>
      <c r="C67" s="38">
        <f t="shared" si="487"/>
        <v>-30319477.320000004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1207833.6599999964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10">
        <v>0</v>
      </c>
      <c r="AP67" s="10">
        <v>0</v>
      </c>
      <c r="AQ67" s="10">
        <v>0</v>
      </c>
      <c r="AR67" s="10">
        <v>0</v>
      </c>
      <c r="AS67" s="10">
        <v>0</v>
      </c>
      <c r="AT67" s="10">
        <v>0</v>
      </c>
      <c r="AU67" s="10">
        <v>-31527310.98</v>
      </c>
      <c r="AV67" s="10">
        <v>0</v>
      </c>
      <c r="AW67" s="10">
        <f>3363486.46</f>
        <v>3363486.46</v>
      </c>
      <c r="AX67" s="10">
        <v>-3363486.46</v>
      </c>
      <c r="AY67" s="10">
        <v>0</v>
      </c>
      <c r="AZ67" s="10">
        <v>0</v>
      </c>
      <c r="BA67" s="10">
        <v>0</v>
      </c>
      <c r="BB67" s="10">
        <v>0</v>
      </c>
      <c r="BC67" s="10">
        <v>0</v>
      </c>
      <c r="BD67" s="10">
        <v>0</v>
      </c>
      <c r="BE67" s="10">
        <v>0</v>
      </c>
      <c r="BF67" s="10">
        <v>0</v>
      </c>
    </row>
    <row r="68" spans="1:58" ht="14.15" customHeight="1">
      <c r="A68" s="404">
        <f t="shared" si="52"/>
        <v>62</v>
      </c>
      <c r="B68" s="83" t="s">
        <v>61</v>
      </c>
      <c r="C68" s="38">
        <f t="shared" si="487"/>
        <v>-517583705.8599999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14488885.180000067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10">
        <v>0</v>
      </c>
      <c r="AP68" s="10">
        <v>0</v>
      </c>
      <c r="AQ68" s="10">
        <v>0</v>
      </c>
      <c r="AR68" s="10">
        <v>0</v>
      </c>
      <c r="AS68" s="10">
        <v>0</v>
      </c>
      <c r="AT68" s="10">
        <v>0</v>
      </c>
      <c r="AU68" s="10">
        <v>-207501842.03999999</v>
      </c>
      <c r="AV68" s="10">
        <v>0</v>
      </c>
      <c r="AW68" s="10">
        <f>23555190.22</f>
        <v>23555190.219999999</v>
      </c>
      <c r="AX68" s="10">
        <v>-23555190.219999999</v>
      </c>
      <c r="AY68" s="10">
        <v>0</v>
      </c>
      <c r="AZ68" s="10">
        <v>0</v>
      </c>
      <c r="BA68" s="10">
        <v>0</v>
      </c>
      <c r="BB68" s="10">
        <v>0</v>
      </c>
      <c r="BC68" s="10">
        <v>0</v>
      </c>
      <c r="BD68" s="10">
        <v>-324570749</v>
      </c>
      <c r="BE68" s="10">
        <v>0</v>
      </c>
      <c r="BF68" s="10">
        <v>0</v>
      </c>
    </row>
    <row r="69" spans="1:58" ht="14.15" customHeight="1">
      <c r="A69" s="404">
        <f t="shared" si="52"/>
        <v>63</v>
      </c>
      <c r="B69" s="83" t="s">
        <v>62</v>
      </c>
      <c r="C69" s="38">
        <f t="shared" si="487"/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10">
        <v>0</v>
      </c>
      <c r="AP69" s="10">
        <v>0</v>
      </c>
      <c r="AQ69" s="10">
        <v>0</v>
      </c>
      <c r="AR69" s="10">
        <v>0</v>
      </c>
      <c r="AS69" s="10">
        <v>0</v>
      </c>
      <c r="AT69" s="10">
        <v>0</v>
      </c>
      <c r="AU69" s="10">
        <v>0</v>
      </c>
      <c r="AV69" s="10">
        <v>0</v>
      </c>
      <c r="AW69" s="10">
        <v>0</v>
      </c>
      <c r="AX69" s="10">
        <v>0</v>
      </c>
      <c r="AY69" s="10">
        <v>0</v>
      </c>
      <c r="AZ69" s="10">
        <v>0</v>
      </c>
      <c r="BA69" s="10">
        <v>0</v>
      </c>
      <c r="BB69" s="10">
        <v>0</v>
      </c>
      <c r="BC69" s="10">
        <v>0</v>
      </c>
      <c r="BD69" s="10">
        <v>0</v>
      </c>
      <c r="BE69" s="10">
        <v>0</v>
      </c>
      <c r="BF69" s="10">
        <v>0</v>
      </c>
    </row>
    <row r="70" spans="1:58" ht="14.15" customHeight="1">
      <c r="A70" s="404">
        <f t="shared" si="52"/>
        <v>64</v>
      </c>
      <c r="B70" s="83" t="s">
        <v>63</v>
      </c>
      <c r="C70" s="38">
        <f t="shared" si="487"/>
        <v>-54489291.460000008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1802325.099999994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Q70" s="10">
        <v>0</v>
      </c>
      <c r="AR70" s="10">
        <v>0</v>
      </c>
      <c r="AS70" s="10">
        <v>0</v>
      </c>
      <c r="AT70" s="10">
        <v>0</v>
      </c>
      <c r="AU70" s="10">
        <v>-56291616.560000002</v>
      </c>
      <c r="AV70" s="10">
        <v>0</v>
      </c>
      <c r="AW70" s="10">
        <f>5164479.5</f>
        <v>5164479.5</v>
      </c>
      <c r="AX70" s="10">
        <v>-5164479.5</v>
      </c>
      <c r="AY70" s="10">
        <v>0</v>
      </c>
      <c r="AZ70" s="10">
        <v>0</v>
      </c>
      <c r="BA70" s="10">
        <v>0</v>
      </c>
      <c r="BB70" s="10">
        <v>0</v>
      </c>
      <c r="BC70" s="10">
        <v>0</v>
      </c>
      <c r="BD70" s="10">
        <v>0</v>
      </c>
      <c r="BE70" s="10">
        <v>0</v>
      </c>
      <c r="BF70" s="10">
        <v>0</v>
      </c>
    </row>
    <row r="71" spans="1:58" ht="14.15" customHeight="1">
      <c r="A71" s="404">
        <f t="shared" si="52"/>
        <v>65</v>
      </c>
      <c r="B71" s="83" t="s">
        <v>64</v>
      </c>
      <c r="C71" s="38">
        <f t="shared" si="487"/>
        <v>-21412522.949999999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519911.6400000006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0</v>
      </c>
      <c r="AO71" s="10">
        <v>0</v>
      </c>
      <c r="AP71" s="10">
        <v>0</v>
      </c>
      <c r="AQ71" s="10">
        <v>0</v>
      </c>
      <c r="AR71" s="10">
        <v>0</v>
      </c>
      <c r="AS71" s="10">
        <v>0</v>
      </c>
      <c r="AT71" s="10">
        <v>0</v>
      </c>
      <c r="AU71" s="10">
        <f>-(21823291.59+25728+83415)</f>
        <v>-21932434.59</v>
      </c>
      <c r="AV71" s="10">
        <v>0</v>
      </c>
      <c r="AW71" s="10">
        <f>652764.43</f>
        <v>652764.43000000005</v>
      </c>
      <c r="AX71" s="10">
        <v>-652764.43000000005</v>
      </c>
      <c r="AY71" s="10">
        <v>0</v>
      </c>
      <c r="AZ71" s="10">
        <v>0</v>
      </c>
      <c r="BA71" s="10">
        <v>0</v>
      </c>
      <c r="BB71" s="10">
        <v>0</v>
      </c>
      <c r="BC71" s="10">
        <v>0</v>
      </c>
      <c r="BD71" s="10">
        <v>0</v>
      </c>
      <c r="BE71" s="10">
        <v>0</v>
      </c>
      <c r="BF71" s="10">
        <v>0</v>
      </c>
    </row>
    <row r="72" spans="1:58" ht="14.15" customHeight="1">
      <c r="A72" s="404">
        <f t="shared" si="52"/>
        <v>66</v>
      </c>
      <c r="B72" s="83" t="s">
        <v>65</v>
      </c>
      <c r="C72" s="38">
        <f t="shared" si="487"/>
        <v>-7380003.4000000004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211449.01999999955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10">
        <v>0</v>
      </c>
      <c r="AP72" s="10">
        <v>0</v>
      </c>
      <c r="AQ72" s="10">
        <v>0</v>
      </c>
      <c r="AR72" s="10">
        <v>0</v>
      </c>
      <c r="AS72" s="10">
        <v>0</v>
      </c>
      <c r="AT72" s="10">
        <v>0</v>
      </c>
      <c r="AU72" s="10">
        <v>-7591452.4199999999</v>
      </c>
      <c r="AV72" s="10">
        <v>0</v>
      </c>
      <c r="AW72" s="10">
        <f>1090094.25</f>
        <v>1090094.25</v>
      </c>
      <c r="AX72" s="10">
        <v>-1090094.25</v>
      </c>
      <c r="AY72" s="10">
        <v>0</v>
      </c>
      <c r="AZ72" s="10">
        <v>0</v>
      </c>
      <c r="BA72" s="10">
        <v>0</v>
      </c>
      <c r="BB72" s="10">
        <v>0</v>
      </c>
      <c r="BC72" s="10">
        <v>0</v>
      </c>
      <c r="BD72" s="10">
        <v>0</v>
      </c>
      <c r="BE72" s="10">
        <v>0</v>
      </c>
      <c r="BF72" s="10">
        <v>0</v>
      </c>
    </row>
    <row r="73" spans="1:58" ht="14.15" customHeight="1">
      <c r="A73" s="404">
        <f t="shared" si="52"/>
        <v>67</v>
      </c>
      <c r="B73" s="56" t="s">
        <v>66</v>
      </c>
      <c r="C73" s="38">
        <f t="shared" si="487"/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10">
        <v>0</v>
      </c>
      <c r="AP73" s="10">
        <v>0</v>
      </c>
      <c r="AQ73" s="10">
        <v>0</v>
      </c>
      <c r="AR73" s="10">
        <v>0</v>
      </c>
      <c r="AS73" s="10">
        <v>0</v>
      </c>
      <c r="AT73" s="10">
        <v>0</v>
      </c>
      <c r="AU73" s="10">
        <v>0</v>
      </c>
      <c r="AV73" s="10">
        <v>0</v>
      </c>
      <c r="AW73" s="10">
        <v>0</v>
      </c>
      <c r="AX73" s="10">
        <v>0</v>
      </c>
      <c r="AY73" s="10">
        <v>0</v>
      </c>
      <c r="AZ73" s="10">
        <v>0</v>
      </c>
      <c r="BA73" s="10">
        <v>0</v>
      </c>
      <c r="BB73" s="10">
        <v>0</v>
      </c>
      <c r="BC73" s="10">
        <v>0</v>
      </c>
      <c r="BD73" s="10">
        <v>0</v>
      </c>
      <c r="BE73" s="10">
        <v>0</v>
      </c>
      <c r="BF73" s="10">
        <v>0</v>
      </c>
    </row>
    <row r="74" spans="1:58" s="18" customFormat="1" ht="14.15" customHeight="1">
      <c r="A74" s="404">
        <f t="shared" si="52"/>
        <v>68</v>
      </c>
      <c r="B74" s="2" t="s">
        <v>509</v>
      </c>
      <c r="C74" s="80">
        <f t="shared" ref="C74" si="488">SUM(C66:C73)</f>
        <v>-633965440.52999997</v>
      </c>
      <c r="D74" s="80">
        <f t="shared" ref="D74:W74" si="489">SUM(D66:D73)</f>
        <v>0</v>
      </c>
      <c r="E74" s="80">
        <f t="shared" si="489"/>
        <v>0</v>
      </c>
      <c r="F74" s="80">
        <f t="shared" si="489"/>
        <v>0</v>
      </c>
      <c r="G74" s="80">
        <f t="shared" si="489"/>
        <v>0</v>
      </c>
      <c r="H74" s="80">
        <f t="shared" si="489"/>
        <v>0</v>
      </c>
      <c r="I74" s="80">
        <f t="shared" si="489"/>
        <v>0</v>
      </c>
      <c r="J74" s="80">
        <f t="shared" si="489"/>
        <v>0</v>
      </c>
      <c r="K74" s="80">
        <f t="shared" si="489"/>
        <v>0</v>
      </c>
      <c r="L74" s="80">
        <f t="shared" si="489"/>
        <v>0</v>
      </c>
      <c r="M74" s="80">
        <f t="shared" si="489"/>
        <v>0</v>
      </c>
      <c r="N74" s="80">
        <f t="shared" si="489"/>
        <v>0</v>
      </c>
      <c r="O74" s="80">
        <f t="shared" si="489"/>
        <v>0</v>
      </c>
      <c r="P74" s="80">
        <f t="shared" si="489"/>
        <v>0</v>
      </c>
      <c r="Q74" s="80">
        <f t="shared" si="489"/>
        <v>0</v>
      </c>
      <c r="R74" s="80">
        <f t="shared" si="489"/>
        <v>0</v>
      </c>
      <c r="S74" s="80">
        <f t="shared" si="489"/>
        <v>0</v>
      </c>
      <c r="T74" s="80">
        <f t="shared" si="489"/>
        <v>0</v>
      </c>
      <c r="U74" s="80">
        <f t="shared" si="489"/>
        <v>18305195.900000058</v>
      </c>
      <c r="V74" s="80">
        <f t="shared" si="489"/>
        <v>0</v>
      </c>
      <c r="W74" s="80">
        <f t="shared" si="489"/>
        <v>0</v>
      </c>
      <c r="X74" s="80">
        <f t="shared" ref="X74:AD74" si="490">SUM(X66:X73)</f>
        <v>0</v>
      </c>
      <c r="Y74" s="80">
        <f>SUM(Y66:Y73)</f>
        <v>0</v>
      </c>
      <c r="Z74" s="80">
        <f t="shared" si="490"/>
        <v>0</v>
      </c>
      <c r="AA74" s="80">
        <f t="shared" si="490"/>
        <v>0</v>
      </c>
      <c r="AB74" s="80">
        <f t="shared" si="490"/>
        <v>0</v>
      </c>
      <c r="AC74" s="80">
        <f t="shared" si="490"/>
        <v>0</v>
      </c>
      <c r="AD74" s="80">
        <f t="shared" si="490"/>
        <v>0</v>
      </c>
      <c r="AE74" s="80">
        <f>SUM(AE66:AE73)</f>
        <v>0</v>
      </c>
      <c r="AF74" s="80">
        <f>SUM(AF66:AF73)</f>
        <v>0</v>
      </c>
      <c r="AG74" s="80">
        <f>SUM(AG66:AG73)</f>
        <v>0</v>
      </c>
      <c r="AH74" s="80">
        <f t="shared" ref="AH74:AL74" si="491">SUM(AH66:AH73)</f>
        <v>0</v>
      </c>
      <c r="AI74" s="80">
        <f t="shared" si="491"/>
        <v>0</v>
      </c>
      <c r="AJ74" s="80">
        <f t="shared" si="491"/>
        <v>0</v>
      </c>
      <c r="AK74" s="80">
        <f t="shared" si="491"/>
        <v>0</v>
      </c>
      <c r="AL74" s="80">
        <f t="shared" si="491"/>
        <v>0</v>
      </c>
      <c r="AM74" s="80">
        <f>SUM(AM66:AM73)</f>
        <v>0</v>
      </c>
      <c r="AN74" s="80">
        <f>SUM(AN66:AN73)</f>
        <v>0</v>
      </c>
      <c r="AO74" s="80">
        <f>SUM(AO66:AO73)</f>
        <v>0</v>
      </c>
      <c r="AP74" s="80">
        <f>SUM(AP66:AP73)</f>
        <v>0</v>
      </c>
      <c r="AQ74" s="80">
        <f>SUM(AQ66:AQ73)</f>
        <v>0</v>
      </c>
      <c r="AR74" s="80">
        <f t="shared" ref="AR74" si="492">SUM(AR66:AR73)</f>
        <v>0</v>
      </c>
      <c r="AS74" s="80">
        <f>SUM(AS66:AS73)</f>
        <v>0</v>
      </c>
      <c r="AT74" s="80">
        <f t="shared" ref="AT74" si="493">SUM(AT66:AT73)</f>
        <v>0</v>
      </c>
      <c r="AU74" s="80">
        <f t="shared" ref="AU74" si="494">SUM(AU66:AU73)</f>
        <v>-327699887.42999995</v>
      </c>
      <c r="AV74" s="80">
        <f t="shared" ref="AV74" si="495">SUM(AV66:AV73)</f>
        <v>0</v>
      </c>
      <c r="AW74" s="80">
        <f>SUM(AW66:AW73)</f>
        <v>33826014.859999999</v>
      </c>
      <c r="AX74" s="80">
        <f t="shared" ref="AX74" si="496">SUM(AX66:AX73)</f>
        <v>-33826014.859999999</v>
      </c>
      <c r="AY74" s="80">
        <f t="shared" ref="AY74:BF74" si="497">SUM(AY66:AY73)</f>
        <v>0</v>
      </c>
      <c r="AZ74" s="80">
        <f t="shared" si="497"/>
        <v>0</v>
      </c>
      <c r="BA74" s="80">
        <f t="shared" si="497"/>
        <v>0</v>
      </c>
      <c r="BB74" s="80">
        <f t="shared" si="497"/>
        <v>0</v>
      </c>
      <c r="BC74" s="80">
        <f t="shared" si="497"/>
        <v>0</v>
      </c>
      <c r="BD74" s="80">
        <f t="shared" si="497"/>
        <v>-324570749</v>
      </c>
      <c r="BE74" s="80">
        <f t="shared" si="497"/>
        <v>0</v>
      </c>
      <c r="BF74" s="80">
        <f t="shared" si="497"/>
        <v>0</v>
      </c>
    </row>
    <row r="75" spans="1:58" s="18" customFormat="1" ht="14.15" customHeight="1">
      <c r="A75" s="404">
        <f t="shared" ref="A75:A141" si="498">+A74+1</f>
        <v>69</v>
      </c>
      <c r="B75" s="6"/>
      <c r="C75" s="25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</row>
    <row r="76" spans="1:58" ht="14.15" customHeight="1">
      <c r="A76" s="404">
        <f t="shared" si="498"/>
        <v>70</v>
      </c>
      <c r="B76" s="3" t="s">
        <v>67</v>
      </c>
      <c r="C76" s="1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</row>
    <row r="77" spans="1:58" ht="14.15" customHeight="1">
      <c r="A77" s="404">
        <f t="shared" si="498"/>
        <v>71</v>
      </c>
      <c r="B77" s="83" t="s">
        <v>68</v>
      </c>
      <c r="C77" s="38">
        <f t="shared" ref="C77:C82" si="499">SUM(D77:BF77)</f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10">
        <v>0</v>
      </c>
      <c r="AP77" s="10">
        <v>0</v>
      </c>
      <c r="AQ77" s="10">
        <v>0</v>
      </c>
      <c r="AR77" s="10">
        <v>0</v>
      </c>
      <c r="AS77" s="10">
        <v>0</v>
      </c>
      <c r="AT77" s="10">
        <v>0</v>
      </c>
      <c r="AU77" s="10">
        <v>0</v>
      </c>
      <c r="AV77" s="10">
        <v>0</v>
      </c>
      <c r="AW77" s="10">
        <v>0</v>
      </c>
      <c r="AX77" s="10">
        <v>0</v>
      </c>
      <c r="AY77" s="10">
        <v>0</v>
      </c>
      <c r="AZ77" s="10">
        <v>0</v>
      </c>
      <c r="BA77" s="10">
        <v>0</v>
      </c>
      <c r="BB77" s="10">
        <v>0</v>
      </c>
      <c r="BC77" s="10">
        <v>0</v>
      </c>
      <c r="BD77" s="10">
        <v>0</v>
      </c>
      <c r="BE77" s="10">
        <v>0</v>
      </c>
      <c r="BF77" s="10">
        <v>0</v>
      </c>
    </row>
    <row r="78" spans="1:58" ht="14.15" customHeight="1">
      <c r="A78" s="404">
        <f t="shared" si="498"/>
        <v>72</v>
      </c>
      <c r="B78" s="83" t="s">
        <v>69</v>
      </c>
      <c r="C78" s="38">
        <f t="shared" si="499"/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10">
        <v>0</v>
      </c>
      <c r="AP78" s="10">
        <v>0</v>
      </c>
      <c r="AQ78" s="10">
        <v>0</v>
      </c>
      <c r="AR78" s="10">
        <v>0</v>
      </c>
      <c r="AS78" s="10">
        <v>0</v>
      </c>
      <c r="AT78" s="10">
        <v>0</v>
      </c>
      <c r="AU78" s="10">
        <v>0</v>
      </c>
      <c r="AV78" s="10">
        <v>0</v>
      </c>
      <c r="AW78" s="10">
        <v>0</v>
      </c>
      <c r="AX78" s="10">
        <v>0</v>
      </c>
      <c r="AY78" s="10">
        <v>0</v>
      </c>
      <c r="AZ78" s="10">
        <v>0</v>
      </c>
      <c r="BA78" s="10">
        <v>0</v>
      </c>
      <c r="BB78" s="10">
        <v>0</v>
      </c>
      <c r="BC78" s="10">
        <v>0</v>
      </c>
      <c r="BD78" s="10">
        <v>0</v>
      </c>
      <c r="BE78" s="10">
        <v>0</v>
      </c>
      <c r="BF78" s="10">
        <v>0</v>
      </c>
    </row>
    <row r="79" spans="1:58" ht="14.15" customHeight="1">
      <c r="A79" s="404">
        <f t="shared" si="498"/>
        <v>73</v>
      </c>
      <c r="B79" s="83" t="s">
        <v>70</v>
      </c>
      <c r="C79" s="38">
        <f t="shared" si="499"/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10">
        <v>0</v>
      </c>
      <c r="AP79" s="10">
        <v>0</v>
      </c>
      <c r="AQ79" s="10">
        <v>0</v>
      </c>
      <c r="AR79" s="10">
        <v>0</v>
      </c>
      <c r="AS79" s="10">
        <v>0</v>
      </c>
      <c r="AT79" s="10">
        <v>0</v>
      </c>
      <c r="AU79" s="10">
        <v>0</v>
      </c>
      <c r="AV79" s="10">
        <v>0</v>
      </c>
      <c r="AW79" s="10">
        <v>0</v>
      </c>
      <c r="AX79" s="10">
        <v>0</v>
      </c>
      <c r="AY79" s="10">
        <v>0</v>
      </c>
      <c r="AZ79" s="10">
        <v>0</v>
      </c>
      <c r="BA79" s="10">
        <v>0</v>
      </c>
      <c r="BB79" s="10">
        <v>0</v>
      </c>
      <c r="BC79" s="10">
        <v>0</v>
      </c>
      <c r="BD79" s="10">
        <v>0</v>
      </c>
      <c r="BE79" s="10">
        <v>0</v>
      </c>
      <c r="BF79" s="10">
        <v>0</v>
      </c>
    </row>
    <row r="80" spans="1:58" ht="14.15" customHeight="1">
      <c r="A80" s="404">
        <f t="shared" si="498"/>
        <v>74</v>
      </c>
      <c r="B80" s="83" t="s">
        <v>71</v>
      </c>
      <c r="C80" s="38">
        <f t="shared" si="499"/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10">
        <v>0</v>
      </c>
      <c r="AP80" s="10">
        <v>0</v>
      </c>
      <c r="AQ80" s="10">
        <v>0</v>
      </c>
      <c r="AR80" s="10">
        <v>0</v>
      </c>
      <c r="AS80" s="10">
        <v>0</v>
      </c>
      <c r="AT80" s="10">
        <v>0</v>
      </c>
      <c r="AU80" s="10">
        <v>0</v>
      </c>
      <c r="AV80" s="10">
        <v>0</v>
      </c>
      <c r="AW80" s="10">
        <v>0</v>
      </c>
      <c r="AX80" s="10">
        <v>0</v>
      </c>
      <c r="AY80" s="10">
        <v>0</v>
      </c>
      <c r="AZ80" s="10">
        <v>0</v>
      </c>
      <c r="BA80" s="10">
        <v>0</v>
      </c>
      <c r="BB80" s="10">
        <v>0</v>
      </c>
      <c r="BC80" s="10">
        <v>0</v>
      </c>
      <c r="BD80" s="10">
        <v>0</v>
      </c>
      <c r="BE80" s="10">
        <v>0</v>
      </c>
      <c r="BF80" s="10">
        <v>0</v>
      </c>
    </row>
    <row r="81" spans="1:58" ht="14.15" customHeight="1">
      <c r="A81" s="404">
        <f t="shared" si="498"/>
        <v>75</v>
      </c>
      <c r="B81" s="83" t="s">
        <v>72</v>
      </c>
      <c r="C81" s="38">
        <f t="shared" si="499"/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10">
        <v>0</v>
      </c>
      <c r="AP81" s="10">
        <v>0</v>
      </c>
      <c r="AQ81" s="10">
        <v>0</v>
      </c>
      <c r="AR81" s="10">
        <v>0</v>
      </c>
      <c r="AS81" s="10">
        <v>0</v>
      </c>
      <c r="AT81" s="10">
        <v>0</v>
      </c>
      <c r="AU81" s="10">
        <v>0</v>
      </c>
      <c r="AV81" s="10">
        <v>0</v>
      </c>
      <c r="AW81" s="10">
        <v>0</v>
      </c>
      <c r="AX81" s="10">
        <v>0</v>
      </c>
      <c r="AY81" s="10">
        <v>0</v>
      </c>
      <c r="AZ81" s="10">
        <v>0</v>
      </c>
      <c r="BA81" s="10">
        <v>0</v>
      </c>
      <c r="BB81" s="10">
        <v>0</v>
      </c>
      <c r="BC81" s="10">
        <v>0</v>
      </c>
      <c r="BD81" s="10">
        <v>0</v>
      </c>
      <c r="BE81" s="10">
        <v>0</v>
      </c>
      <c r="BF81" s="10">
        <v>0</v>
      </c>
    </row>
    <row r="82" spans="1:58" ht="14.15" customHeight="1">
      <c r="A82" s="404">
        <f t="shared" si="498"/>
        <v>76</v>
      </c>
      <c r="B82" s="56" t="s">
        <v>73</v>
      </c>
      <c r="C82" s="38">
        <f t="shared" si="499"/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10">
        <v>0</v>
      </c>
      <c r="AP82" s="10">
        <v>0</v>
      </c>
      <c r="AQ82" s="10">
        <v>0</v>
      </c>
      <c r="AR82" s="10">
        <v>0</v>
      </c>
      <c r="AS82" s="10">
        <v>0</v>
      </c>
      <c r="AT82" s="10">
        <v>0</v>
      </c>
      <c r="AU82" s="10">
        <v>0</v>
      </c>
      <c r="AV82" s="10">
        <v>0</v>
      </c>
      <c r="AW82" s="10">
        <v>0</v>
      </c>
      <c r="AX82" s="10">
        <v>0</v>
      </c>
      <c r="AY82" s="10">
        <v>0</v>
      </c>
      <c r="AZ82" s="10">
        <v>0</v>
      </c>
      <c r="BA82" s="10">
        <v>0</v>
      </c>
      <c r="BB82" s="10">
        <v>0</v>
      </c>
      <c r="BC82" s="10">
        <v>0</v>
      </c>
      <c r="BD82" s="10">
        <v>0</v>
      </c>
      <c r="BE82" s="10">
        <v>0</v>
      </c>
      <c r="BF82" s="10">
        <v>0</v>
      </c>
    </row>
    <row r="83" spans="1:58" s="18" customFormat="1" ht="14.15" customHeight="1">
      <c r="A83" s="404">
        <f t="shared" si="498"/>
        <v>77</v>
      </c>
      <c r="B83" s="2" t="s">
        <v>510</v>
      </c>
      <c r="C83" s="80">
        <f t="shared" ref="C83:V83" si="500">SUM(C77:C82)</f>
        <v>0</v>
      </c>
      <c r="D83" s="80">
        <f t="shared" ref="D83:I83" si="501">SUM(D77:D82)</f>
        <v>0</v>
      </c>
      <c r="E83" s="80">
        <f t="shared" si="501"/>
        <v>0</v>
      </c>
      <c r="F83" s="80">
        <f t="shared" si="501"/>
        <v>0</v>
      </c>
      <c r="G83" s="80">
        <f t="shared" si="501"/>
        <v>0</v>
      </c>
      <c r="H83" s="80">
        <f t="shared" si="501"/>
        <v>0</v>
      </c>
      <c r="I83" s="80">
        <f t="shared" si="501"/>
        <v>0</v>
      </c>
      <c r="J83" s="80">
        <f t="shared" si="500"/>
        <v>0</v>
      </c>
      <c r="K83" s="80">
        <f t="shared" ref="K83:U83" si="502">SUM(K77:K82)</f>
        <v>0</v>
      </c>
      <c r="L83" s="80">
        <f t="shared" si="502"/>
        <v>0</v>
      </c>
      <c r="M83" s="80">
        <f t="shared" si="502"/>
        <v>0</v>
      </c>
      <c r="N83" s="80">
        <f t="shared" si="502"/>
        <v>0</v>
      </c>
      <c r="O83" s="80">
        <f t="shared" si="502"/>
        <v>0</v>
      </c>
      <c r="P83" s="80">
        <f t="shared" si="502"/>
        <v>0</v>
      </c>
      <c r="Q83" s="80">
        <f t="shared" si="502"/>
        <v>0</v>
      </c>
      <c r="R83" s="80">
        <f t="shared" si="502"/>
        <v>0</v>
      </c>
      <c r="S83" s="80">
        <f t="shared" si="502"/>
        <v>0</v>
      </c>
      <c r="T83" s="80">
        <f t="shared" si="502"/>
        <v>0</v>
      </c>
      <c r="U83" s="80">
        <f t="shared" si="502"/>
        <v>0</v>
      </c>
      <c r="V83" s="80">
        <f t="shared" si="500"/>
        <v>0</v>
      </c>
      <c r="W83" s="80">
        <f>SUM(W77:W82)</f>
        <v>0</v>
      </c>
      <c r="X83" s="80">
        <f t="shared" ref="X83:AD83" si="503">SUM(X77:X82)</f>
        <v>0</v>
      </c>
      <c r="Y83" s="80">
        <f>SUM(Y77:Y82)</f>
        <v>0</v>
      </c>
      <c r="Z83" s="80">
        <f t="shared" si="503"/>
        <v>0</v>
      </c>
      <c r="AA83" s="80">
        <f t="shared" si="503"/>
        <v>0</v>
      </c>
      <c r="AB83" s="80">
        <f t="shared" si="503"/>
        <v>0</v>
      </c>
      <c r="AC83" s="80">
        <f t="shared" si="503"/>
        <v>0</v>
      </c>
      <c r="AD83" s="80">
        <f t="shared" si="503"/>
        <v>0</v>
      </c>
      <c r="AE83" s="80">
        <f>SUM(AE77:AE82)</f>
        <v>0</v>
      </c>
      <c r="AF83" s="80">
        <f>SUM(AF77:AF82)</f>
        <v>0</v>
      </c>
      <c r="AG83" s="80">
        <f>SUM(AG77:AG82)</f>
        <v>0</v>
      </c>
      <c r="AH83" s="80">
        <f t="shared" ref="AH83" si="504">SUM(AH77:AH82)</f>
        <v>0</v>
      </c>
      <c r="AI83" s="80">
        <f t="shared" ref="AI83:AL83" si="505">SUM(AI77:AI82)</f>
        <v>0</v>
      </c>
      <c r="AJ83" s="80">
        <f t="shared" si="505"/>
        <v>0</v>
      </c>
      <c r="AK83" s="80">
        <f t="shared" si="505"/>
        <v>0</v>
      </c>
      <c r="AL83" s="80">
        <f t="shared" si="505"/>
        <v>0</v>
      </c>
      <c r="AM83" s="80">
        <f>SUM(AM77:AM82)</f>
        <v>0</v>
      </c>
      <c r="AN83" s="80">
        <f>SUM(AN77:AN82)</f>
        <v>0</v>
      </c>
      <c r="AO83" s="80">
        <f>SUM(AO77:AO82)</f>
        <v>0</v>
      </c>
      <c r="AP83" s="80">
        <f>SUM(AP77:AP82)</f>
        <v>0</v>
      </c>
      <c r="AQ83" s="80">
        <f>SUM(AQ77:AQ82)</f>
        <v>0</v>
      </c>
      <c r="AR83" s="80">
        <f t="shared" ref="AR83" si="506">SUM(AR77:AR82)</f>
        <v>0</v>
      </c>
      <c r="AS83" s="80">
        <f>SUM(AS77:AS82)</f>
        <v>0</v>
      </c>
      <c r="AT83" s="80">
        <f t="shared" ref="AT83" si="507">SUM(AT77:AT82)</f>
        <v>0</v>
      </c>
      <c r="AU83" s="80">
        <f t="shared" ref="AU83" si="508">SUM(AU77:AU82)</f>
        <v>0</v>
      </c>
      <c r="AV83" s="80">
        <f t="shared" ref="AV83" si="509">SUM(AV77:AV82)</f>
        <v>0</v>
      </c>
      <c r="AW83" s="80">
        <f>SUM(AW77:AW82)</f>
        <v>0</v>
      </c>
      <c r="AX83" s="80">
        <f t="shared" ref="AX83" si="510">SUM(AX77:AX82)</f>
        <v>0</v>
      </c>
      <c r="AY83" s="80">
        <f t="shared" ref="AY83:BF83" si="511">SUM(AY77:AY82)</f>
        <v>0</v>
      </c>
      <c r="AZ83" s="80">
        <f t="shared" si="511"/>
        <v>0</v>
      </c>
      <c r="BA83" s="80">
        <f t="shared" si="511"/>
        <v>0</v>
      </c>
      <c r="BB83" s="80">
        <f t="shared" si="511"/>
        <v>0</v>
      </c>
      <c r="BC83" s="80">
        <f t="shared" si="511"/>
        <v>0</v>
      </c>
      <c r="BD83" s="80">
        <f t="shared" si="511"/>
        <v>0</v>
      </c>
      <c r="BE83" s="80">
        <f t="shared" si="511"/>
        <v>0</v>
      </c>
      <c r="BF83" s="80">
        <f t="shared" si="511"/>
        <v>0</v>
      </c>
    </row>
    <row r="84" spans="1:58" s="18" customFormat="1" ht="14.15" customHeight="1">
      <c r="A84" s="404">
        <f t="shared" si="498"/>
        <v>78</v>
      </c>
      <c r="B84" s="6"/>
      <c r="C84" s="25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</row>
    <row r="85" spans="1:58" ht="14.15" customHeight="1">
      <c r="A85" s="404">
        <f t="shared" si="498"/>
        <v>79</v>
      </c>
      <c r="B85" s="3" t="s">
        <v>74</v>
      </c>
      <c r="C85" s="1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</row>
    <row r="86" spans="1:58" ht="14.15" customHeight="1">
      <c r="A86" s="404">
        <f t="shared" si="498"/>
        <v>80</v>
      </c>
      <c r="B86" s="83" t="s">
        <v>75</v>
      </c>
      <c r="C86" s="38">
        <f t="shared" ref="C86:C93" si="512">SUM(D86:BF86)</f>
        <v>0</v>
      </c>
      <c r="D86" s="43">
        <v>0</v>
      </c>
      <c r="E86" s="43">
        <v>0</v>
      </c>
      <c r="F86" s="43">
        <v>0</v>
      </c>
      <c r="G86" s="43">
        <v>0</v>
      </c>
      <c r="H86" s="43">
        <v>0</v>
      </c>
      <c r="I86" s="43">
        <v>0</v>
      </c>
      <c r="J86" s="43">
        <v>0</v>
      </c>
      <c r="K86" s="43">
        <v>0</v>
      </c>
      <c r="L86" s="43">
        <v>0</v>
      </c>
      <c r="M86" s="43">
        <v>0</v>
      </c>
      <c r="N86" s="43">
        <v>0</v>
      </c>
      <c r="O86" s="43">
        <v>0</v>
      </c>
      <c r="P86" s="43">
        <v>0</v>
      </c>
      <c r="Q86" s="43">
        <v>0</v>
      </c>
      <c r="R86" s="43">
        <v>0</v>
      </c>
      <c r="S86" s="43">
        <v>0</v>
      </c>
      <c r="T86" s="43">
        <v>0</v>
      </c>
      <c r="U86" s="43">
        <v>0</v>
      </c>
      <c r="V86" s="43">
        <v>0</v>
      </c>
      <c r="W86" s="43">
        <v>0</v>
      </c>
      <c r="X86" s="43">
        <v>0</v>
      </c>
      <c r="Y86" s="43">
        <v>0</v>
      </c>
      <c r="Z86" s="43">
        <v>0</v>
      </c>
      <c r="AA86" s="43">
        <v>0</v>
      </c>
      <c r="AB86" s="43">
        <v>0</v>
      </c>
      <c r="AC86" s="43">
        <v>0</v>
      </c>
      <c r="AD86" s="43">
        <v>0</v>
      </c>
      <c r="AE86" s="43">
        <v>0</v>
      </c>
      <c r="AF86" s="43">
        <v>0</v>
      </c>
      <c r="AG86" s="43">
        <v>0</v>
      </c>
      <c r="AH86" s="43">
        <v>0</v>
      </c>
      <c r="AI86" s="43">
        <v>0</v>
      </c>
      <c r="AJ86" s="43">
        <v>0</v>
      </c>
      <c r="AK86" s="43">
        <v>0</v>
      </c>
      <c r="AL86" s="43">
        <v>0</v>
      </c>
      <c r="AM86" s="43">
        <v>0</v>
      </c>
      <c r="AN86" s="43">
        <v>0</v>
      </c>
      <c r="AO86" s="43">
        <v>0</v>
      </c>
      <c r="AP86" s="43">
        <v>0</v>
      </c>
      <c r="AQ86" s="43">
        <v>0</v>
      </c>
      <c r="AR86" s="43">
        <v>0</v>
      </c>
      <c r="AS86" s="43">
        <v>0</v>
      </c>
      <c r="AT86" s="43">
        <v>0</v>
      </c>
      <c r="AU86" s="43">
        <v>0</v>
      </c>
      <c r="AV86" s="43">
        <v>0</v>
      </c>
      <c r="AW86" s="43">
        <v>0</v>
      </c>
      <c r="AX86" s="43">
        <v>0</v>
      </c>
      <c r="AY86" s="43">
        <v>0</v>
      </c>
      <c r="AZ86" s="43">
        <v>0</v>
      </c>
      <c r="BA86" s="43">
        <v>0</v>
      </c>
      <c r="BB86" s="43">
        <v>0</v>
      </c>
      <c r="BC86" s="43">
        <v>0</v>
      </c>
      <c r="BD86" s="43">
        <v>0</v>
      </c>
      <c r="BE86" s="43">
        <v>0</v>
      </c>
      <c r="BF86" s="43">
        <v>0</v>
      </c>
    </row>
    <row r="87" spans="1:58" ht="14.15" customHeight="1">
      <c r="A87" s="404">
        <f t="shared" si="498"/>
        <v>81</v>
      </c>
      <c r="B87" s="83" t="s">
        <v>76</v>
      </c>
      <c r="C87" s="38">
        <f t="shared" si="512"/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10">
        <v>0</v>
      </c>
      <c r="AP87" s="10">
        <v>0</v>
      </c>
      <c r="AQ87" s="10">
        <v>0</v>
      </c>
      <c r="AR87" s="10">
        <v>0</v>
      </c>
      <c r="AS87" s="10">
        <v>0</v>
      </c>
      <c r="AT87" s="10">
        <v>0</v>
      </c>
      <c r="AU87" s="10">
        <v>0</v>
      </c>
      <c r="AV87" s="10">
        <v>0</v>
      </c>
      <c r="AW87" s="10">
        <v>0</v>
      </c>
      <c r="AX87" s="10">
        <v>0</v>
      </c>
      <c r="AY87" s="10">
        <v>0</v>
      </c>
      <c r="AZ87" s="10">
        <v>0</v>
      </c>
      <c r="BA87" s="10">
        <v>0</v>
      </c>
      <c r="BB87" s="10">
        <v>0</v>
      </c>
      <c r="BC87" s="10">
        <v>0</v>
      </c>
      <c r="BD87" s="10">
        <v>0</v>
      </c>
      <c r="BE87" s="10">
        <v>0</v>
      </c>
      <c r="BF87" s="10">
        <v>0</v>
      </c>
    </row>
    <row r="88" spans="1:58" ht="14.15" customHeight="1">
      <c r="A88" s="404">
        <f t="shared" si="498"/>
        <v>82</v>
      </c>
      <c r="B88" s="83" t="s">
        <v>1146</v>
      </c>
      <c r="C88" s="38">
        <f t="shared" si="512"/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10">
        <v>0</v>
      </c>
      <c r="AP88" s="10">
        <v>0</v>
      </c>
      <c r="AQ88" s="10">
        <v>0</v>
      </c>
      <c r="AR88" s="10">
        <v>0</v>
      </c>
      <c r="AS88" s="10">
        <v>0</v>
      </c>
      <c r="AT88" s="10">
        <v>0</v>
      </c>
      <c r="AU88" s="10">
        <v>0</v>
      </c>
      <c r="AV88" s="10">
        <v>0</v>
      </c>
      <c r="AW88" s="10">
        <v>0</v>
      </c>
      <c r="AX88" s="10">
        <v>0</v>
      </c>
      <c r="AY88" s="10">
        <v>0</v>
      </c>
      <c r="AZ88" s="10">
        <v>0</v>
      </c>
      <c r="BA88" s="10">
        <v>0</v>
      </c>
      <c r="BB88" s="10">
        <v>0</v>
      </c>
      <c r="BC88" s="10">
        <v>0</v>
      </c>
      <c r="BD88" s="10">
        <v>0</v>
      </c>
      <c r="BE88" s="10">
        <v>0</v>
      </c>
      <c r="BF88" s="10">
        <v>0</v>
      </c>
    </row>
    <row r="89" spans="1:58" ht="14.15" customHeight="1">
      <c r="A89" s="404">
        <f t="shared" si="498"/>
        <v>83</v>
      </c>
      <c r="B89" s="83" t="s">
        <v>77</v>
      </c>
      <c r="C89" s="38">
        <f t="shared" si="512"/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10">
        <v>0</v>
      </c>
      <c r="AP89" s="10">
        <v>0</v>
      </c>
      <c r="AQ89" s="10">
        <v>0</v>
      </c>
      <c r="AR89" s="10">
        <v>0</v>
      </c>
      <c r="AS89" s="10">
        <v>0</v>
      </c>
      <c r="AT89" s="10">
        <v>0</v>
      </c>
      <c r="AU89" s="10">
        <v>0</v>
      </c>
      <c r="AV89" s="10">
        <v>0</v>
      </c>
      <c r="AW89" s="10">
        <v>0</v>
      </c>
      <c r="AX89" s="10">
        <v>0</v>
      </c>
      <c r="AY89" s="10">
        <v>0</v>
      </c>
      <c r="AZ89" s="10">
        <v>0</v>
      </c>
      <c r="BA89" s="10">
        <v>0</v>
      </c>
      <c r="BB89" s="10">
        <v>0</v>
      </c>
      <c r="BC89" s="10">
        <v>0</v>
      </c>
      <c r="BD89" s="10">
        <v>0</v>
      </c>
      <c r="BE89" s="10">
        <v>0</v>
      </c>
      <c r="BF89" s="10">
        <v>0</v>
      </c>
    </row>
    <row r="90" spans="1:58" ht="14.15" customHeight="1">
      <c r="A90" s="404">
        <f t="shared" si="498"/>
        <v>84</v>
      </c>
      <c r="B90" s="83" t="s">
        <v>78</v>
      </c>
      <c r="C90" s="38">
        <f t="shared" si="512"/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0">
        <v>0</v>
      </c>
      <c r="AM90" s="10">
        <v>0</v>
      </c>
      <c r="AN90" s="10">
        <v>0</v>
      </c>
      <c r="AO90" s="10">
        <v>0</v>
      </c>
      <c r="AP90" s="10">
        <v>0</v>
      </c>
      <c r="AQ90" s="10">
        <v>0</v>
      </c>
      <c r="AR90" s="10">
        <v>0</v>
      </c>
      <c r="AS90" s="10">
        <v>0</v>
      </c>
      <c r="AT90" s="10">
        <v>0</v>
      </c>
      <c r="AU90" s="10">
        <v>0</v>
      </c>
      <c r="AV90" s="10">
        <v>0</v>
      </c>
      <c r="AW90" s="10">
        <v>0</v>
      </c>
      <c r="AX90" s="10">
        <v>0</v>
      </c>
      <c r="AY90" s="10">
        <v>0</v>
      </c>
      <c r="AZ90" s="10">
        <v>0</v>
      </c>
      <c r="BA90" s="10">
        <v>0</v>
      </c>
      <c r="BB90" s="10">
        <v>0</v>
      </c>
      <c r="BC90" s="10">
        <v>0</v>
      </c>
      <c r="BD90" s="10">
        <v>0</v>
      </c>
      <c r="BE90" s="10">
        <v>0</v>
      </c>
      <c r="BF90" s="10">
        <v>0</v>
      </c>
    </row>
    <row r="91" spans="1:58" ht="14.15" customHeight="1">
      <c r="A91" s="404">
        <f t="shared" si="498"/>
        <v>85</v>
      </c>
      <c r="B91" s="83" t="s">
        <v>79</v>
      </c>
      <c r="C91" s="38">
        <f t="shared" si="512"/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0">
        <v>0</v>
      </c>
      <c r="AN91" s="10">
        <v>0</v>
      </c>
      <c r="AO91" s="10">
        <v>0</v>
      </c>
      <c r="AP91" s="10">
        <v>0</v>
      </c>
      <c r="AQ91" s="10">
        <v>0</v>
      </c>
      <c r="AR91" s="10">
        <v>0</v>
      </c>
      <c r="AS91" s="10">
        <v>0</v>
      </c>
      <c r="AT91" s="10">
        <v>0</v>
      </c>
      <c r="AU91" s="10">
        <v>0</v>
      </c>
      <c r="AV91" s="10">
        <v>0</v>
      </c>
      <c r="AW91" s="10">
        <v>0</v>
      </c>
      <c r="AX91" s="10">
        <v>0</v>
      </c>
      <c r="AY91" s="10">
        <v>0</v>
      </c>
      <c r="AZ91" s="10">
        <v>0</v>
      </c>
      <c r="BA91" s="10">
        <v>0</v>
      </c>
      <c r="BB91" s="10">
        <v>0</v>
      </c>
      <c r="BC91" s="10">
        <v>0</v>
      </c>
      <c r="BD91" s="10">
        <v>0</v>
      </c>
      <c r="BE91" s="10">
        <v>0</v>
      </c>
      <c r="BF91" s="10">
        <v>0</v>
      </c>
    </row>
    <row r="92" spans="1:58" ht="14.15" customHeight="1">
      <c r="A92" s="404">
        <f t="shared" si="498"/>
        <v>86</v>
      </c>
      <c r="B92" s="83" t="s">
        <v>80</v>
      </c>
      <c r="C92" s="38">
        <f t="shared" si="512"/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10">
        <v>0</v>
      </c>
      <c r="AN92" s="10">
        <v>0</v>
      </c>
      <c r="AO92" s="10">
        <v>0</v>
      </c>
      <c r="AP92" s="10">
        <v>0</v>
      </c>
      <c r="AQ92" s="10">
        <v>0</v>
      </c>
      <c r="AR92" s="10">
        <v>0</v>
      </c>
      <c r="AS92" s="10">
        <v>0</v>
      </c>
      <c r="AT92" s="10">
        <v>0</v>
      </c>
      <c r="AU92" s="10">
        <v>0</v>
      </c>
      <c r="AV92" s="10">
        <v>0</v>
      </c>
      <c r="AW92" s="10">
        <v>0</v>
      </c>
      <c r="AX92" s="10">
        <v>0</v>
      </c>
      <c r="AY92" s="10">
        <v>0</v>
      </c>
      <c r="AZ92" s="10">
        <v>0</v>
      </c>
      <c r="BA92" s="10">
        <v>0</v>
      </c>
      <c r="BB92" s="10">
        <v>0</v>
      </c>
      <c r="BC92" s="10">
        <v>0</v>
      </c>
      <c r="BD92" s="10">
        <v>0</v>
      </c>
      <c r="BE92" s="10">
        <v>0</v>
      </c>
      <c r="BF92" s="10">
        <v>0</v>
      </c>
    </row>
    <row r="93" spans="1:58" ht="13.5" customHeight="1">
      <c r="A93" s="404">
        <f t="shared" si="498"/>
        <v>87</v>
      </c>
      <c r="B93" s="56" t="s">
        <v>81</v>
      </c>
      <c r="C93" s="38">
        <f t="shared" si="512"/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0">
        <v>0</v>
      </c>
      <c r="AN93" s="10">
        <v>0</v>
      </c>
      <c r="AO93" s="10">
        <v>0</v>
      </c>
      <c r="AP93" s="10">
        <v>0</v>
      </c>
      <c r="AQ93" s="10">
        <v>0</v>
      </c>
      <c r="AR93" s="10">
        <v>0</v>
      </c>
      <c r="AS93" s="10">
        <v>0</v>
      </c>
      <c r="AT93" s="10">
        <v>0</v>
      </c>
      <c r="AU93" s="10">
        <v>0</v>
      </c>
      <c r="AV93" s="10">
        <v>0</v>
      </c>
      <c r="AW93" s="10">
        <v>0</v>
      </c>
      <c r="AX93" s="10">
        <v>0</v>
      </c>
      <c r="AY93" s="10">
        <v>0</v>
      </c>
      <c r="AZ93" s="10">
        <v>0</v>
      </c>
      <c r="BA93" s="10">
        <v>0</v>
      </c>
      <c r="BB93" s="10">
        <v>0</v>
      </c>
      <c r="BC93" s="10">
        <v>0</v>
      </c>
      <c r="BD93" s="10">
        <v>0</v>
      </c>
      <c r="BE93" s="10">
        <v>0</v>
      </c>
      <c r="BF93" s="10">
        <v>0</v>
      </c>
    </row>
    <row r="94" spans="1:58" s="18" customFormat="1" ht="14.15" customHeight="1">
      <c r="A94" s="404">
        <f t="shared" si="498"/>
        <v>88</v>
      </c>
      <c r="B94" s="2" t="s">
        <v>511</v>
      </c>
      <c r="C94" s="80">
        <f t="shared" ref="C94:V94" si="513">SUM(C86:C93)</f>
        <v>0</v>
      </c>
      <c r="D94" s="80">
        <f t="shared" ref="D94:I94" si="514">SUM(D86:D93)</f>
        <v>0</v>
      </c>
      <c r="E94" s="80">
        <f t="shared" si="514"/>
        <v>0</v>
      </c>
      <c r="F94" s="80">
        <f t="shared" si="514"/>
        <v>0</v>
      </c>
      <c r="G94" s="80">
        <f t="shared" si="514"/>
        <v>0</v>
      </c>
      <c r="H94" s="80">
        <f t="shared" si="514"/>
        <v>0</v>
      </c>
      <c r="I94" s="80">
        <f t="shared" si="514"/>
        <v>0</v>
      </c>
      <c r="J94" s="80">
        <f t="shared" si="513"/>
        <v>0</v>
      </c>
      <c r="K94" s="80">
        <f t="shared" ref="K94:U94" si="515">SUM(K86:K93)</f>
        <v>0</v>
      </c>
      <c r="L94" s="80">
        <f t="shared" si="515"/>
        <v>0</v>
      </c>
      <c r="M94" s="80">
        <f t="shared" si="515"/>
        <v>0</v>
      </c>
      <c r="N94" s="80">
        <f t="shared" si="515"/>
        <v>0</v>
      </c>
      <c r="O94" s="80">
        <f t="shared" si="515"/>
        <v>0</v>
      </c>
      <c r="P94" s="80">
        <f t="shared" si="515"/>
        <v>0</v>
      </c>
      <c r="Q94" s="80">
        <f t="shared" si="515"/>
        <v>0</v>
      </c>
      <c r="R94" s="80">
        <f t="shared" si="515"/>
        <v>0</v>
      </c>
      <c r="S94" s="80">
        <f t="shared" si="515"/>
        <v>0</v>
      </c>
      <c r="T94" s="80">
        <f t="shared" si="515"/>
        <v>0</v>
      </c>
      <c r="U94" s="80">
        <f t="shared" si="515"/>
        <v>0</v>
      </c>
      <c r="V94" s="80">
        <f t="shared" si="513"/>
        <v>0</v>
      </c>
      <c r="W94" s="80">
        <f>SUM(W86:W93)</f>
        <v>0</v>
      </c>
      <c r="X94" s="80">
        <f t="shared" ref="X94:AD94" si="516">SUM(X86:X93)</f>
        <v>0</v>
      </c>
      <c r="Y94" s="80">
        <f>SUM(Y86:Y93)</f>
        <v>0</v>
      </c>
      <c r="Z94" s="80">
        <f t="shared" si="516"/>
        <v>0</v>
      </c>
      <c r="AA94" s="80">
        <f t="shared" si="516"/>
        <v>0</v>
      </c>
      <c r="AB94" s="80">
        <f t="shared" si="516"/>
        <v>0</v>
      </c>
      <c r="AC94" s="80">
        <f t="shared" si="516"/>
        <v>0</v>
      </c>
      <c r="AD94" s="80">
        <f t="shared" si="516"/>
        <v>0</v>
      </c>
      <c r="AE94" s="80">
        <f>SUM(AE86:AE93)</f>
        <v>0</v>
      </c>
      <c r="AF94" s="80">
        <f>SUM(AF86:AF93)</f>
        <v>0</v>
      </c>
      <c r="AG94" s="80">
        <f>SUM(AG86:AG93)</f>
        <v>0</v>
      </c>
      <c r="AH94" s="80">
        <f t="shared" ref="AH94" si="517">SUM(AH86:AH93)</f>
        <v>0</v>
      </c>
      <c r="AI94" s="80">
        <f t="shared" ref="AI94:AL94" si="518">SUM(AI86:AI93)</f>
        <v>0</v>
      </c>
      <c r="AJ94" s="80">
        <f t="shared" si="518"/>
        <v>0</v>
      </c>
      <c r="AK94" s="80">
        <f t="shared" si="518"/>
        <v>0</v>
      </c>
      <c r="AL94" s="80">
        <f t="shared" si="518"/>
        <v>0</v>
      </c>
      <c r="AM94" s="80">
        <f>SUM(AM86:AM93)</f>
        <v>0</v>
      </c>
      <c r="AN94" s="80">
        <f>SUM(AN86:AN93)</f>
        <v>0</v>
      </c>
      <c r="AO94" s="80">
        <f>SUM(AO86:AO93)</f>
        <v>0</v>
      </c>
      <c r="AP94" s="80">
        <f>SUM(AP86:AP93)</f>
        <v>0</v>
      </c>
      <c r="AQ94" s="80">
        <f>SUM(AQ86:AQ93)</f>
        <v>0</v>
      </c>
      <c r="AR94" s="80">
        <f t="shared" ref="AR94" si="519">SUM(AR86:AR93)</f>
        <v>0</v>
      </c>
      <c r="AS94" s="80">
        <f>SUM(AS86:AS93)</f>
        <v>0</v>
      </c>
      <c r="AT94" s="80">
        <f t="shared" ref="AT94" si="520">SUM(AT86:AT93)</f>
        <v>0</v>
      </c>
      <c r="AU94" s="80">
        <f t="shared" ref="AU94" si="521">SUM(AU86:AU93)</f>
        <v>0</v>
      </c>
      <c r="AV94" s="80">
        <f t="shared" ref="AV94" si="522">SUM(AV86:AV93)</f>
        <v>0</v>
      </c>
      <c r="AW94" s="80">
        <f>SUM(AW86:AW93)</f>
        <v>0</v>
      </c>
      <c r="AX94" s="80">
        <f t="shared" ref="AX94" si="523">SUM(AX86:AX93)</f>
        <v>0</v>
      </c>
      <c r="AY94" s="80">
        <f t="shared" ref="AY94:BF94" si="524">SUM(AY86:AY93)</f>
        <v>0</v>
      </c>
      <c r="AZ94" s="80">
        <f t="shared" si="524"/>
        <v>0</v>
      </c>
      <c r="BA94" s="80">
        <f t="shared" si="524"/>
        <v>0</v>
      </c>
      <c r="BB94" s="80">
        <f t="shared" si="524"/>
        <v>0</v>
      </c>
      <c r="BC94" s="80">
        <f t="shared" si="524"/>
        <v>0</v>
      </c>
      <c r="BD94" s="80">
        <f t="shared" si="524"/>
        <v>0</v>
      </c>
      <c r="BE94" s="80">
        <f t="shared" si="524"/>
        <v>0</v>
      </c>
      <c r="BF94" s="80">
        <f t="shared" si="524"/>
        <v>0</v>
      </c>
    </row>
    <row r="95" spans="1:58" s="18" customFormat="1" ht="14.15" customHeight="1">
      <c r="A95" s="404">
        <f t="shared" si="498"/>
        <v>89</v>
      </c>
      <c r="B95" s="6"/>
      <c r="C95" s="25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</row>
    <row r="96" spans="1:58" ht="14.15" customHeight="1">
      <c r="A96" s="404">
        <f t="shared" si="498"/>
        <v>90</v>
      </c>
      <c r="B96" s="3" t="s">
        <v>82</v>
      </c>
      <c r="C96" s="1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</row>
    <row r="97" spans="1:58" ht="14.15" customHeight="1">
      <c r="A97" s="404">
        <f t="shared" si="498"/>
        <v>91</v>
      </c>
      <c r="B97" s="83" t="s">
        <v>83</v>
      </c>
      <c r="C97" s="38">
        <f t="shared" ref="C97:C103" si="525">SUM(D97:BF97)</f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0">
        <v>0</v>
      </c>
      <c r="AM97" s="10">
        <v>0</v>
      </c>
      <c r="AN97" s="10">
        <v>0</v>
      </c>
      <c r="AO97" s="10">
        <v>0</v>
      </c>
      <c r="AP97" s="10">
        <v>0</v>
      </c>
      <c r="AQ97" s="10">
        <v>0</v>
      </c>
      <c r="AR97" s="10">
        <v>0</v>
      </c>
      <c r="AS97" s="10">
        <v>0</v>
      </c>
      <c r="AT97" s="10">
        <v>0</v>
      </c>
      <c r="AU97" s="10">
        <v>0</v>
      </c>
      <c r="AV97" s="10">
        <v>0</v>
      </c>
      <c r="AW97" s="10">
        <v>0</v>
      </c>
      <c r="AX97" s="10">
        <v>0</v>
      </c>
      <c r="AY97" s="10">
        <v>0</v>
      </c>
      <c r="AZ97" s="10">
        <v>0</v>
      </c>
      <c r="BA97" s="10">
        <v>0</v>
      </c>
      <c r="BB97" s="10">
        <v>0</v>
      </c>
      <c r="BC97" s="10">
        <v>0</v>
      </c>
      <c r="BD97" s="10">
        <v>0</v>
      </c>
      <c r="BE97" s="10">
        <v>0</v>
      </c>
      <c r="BF97" s="10">
        <v>0</v>
      </c>
    </row>
    <row r="98" spans="1:58" ht="14.15" customHeight="1">
      <c r="A98" s="404">
        <f t="shared" si="498"/>
        <v>92</v>
      </c>
      <c r="B98" s="83" t="s">
        <v>84</v>
      </c>
      <c r="C98" s="38">
        <f t="shared" si="525"/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0">
        <v>0</v>
      </c>
      <c r="AM98" s="10">
        <v>0</v>
      </c>
      <c r="AN98" s="10">
        <v>0</v>
      </c>
      <c r="AO98" s="10">
        <v>0</v>
      </c>
      <c r="AP98" s="10">
        <v>0</v>
      </c>
      <c r="AQ98" s="10">
        <v>0</v>
      </c>
      <c r="AR98" s="10">
        <v>0</v>
      </c>
      <c r="AS98" s="10">
        <v>0</v>
      </c>
      <c r="AT98" s="10">
        <v>0</v>
      </c>
      <c r="AU98" s="10">
        <v>0</v>
      </c>
      <c r="AV98" s="10">
        <v>0</v>
      </c>
      <c r="AW98" s="10">
        <v>0</v>
      </c>
      <c r="AX98" s="10">
        <v>0</v>
      </c>
      <c r="AY98" s="10">
        <v>0</v>
      </c>
      <c r="AZ98" s="10">
        <v>0</v>
      </c>
      <c r="BA98" s="10">
        <v>0</v>
      </c>
      <c r="BB98" s="10">
        <v>0</v>
      </c>
      <c r="BC98" s="10">
        <v>0</v>
      </c>
      <c r="BD98" s="10">
        <v>0</v>
      </c>
      <c r="BE98" s="10">
        <v>0</v>
      </c>
      <c r="BF98" s="10">
        <v>0</v>
      </c>
    </row>
    <row r="99" spans="1:58" ht="14.15" customHeight="1">
      <c r="A99" s="404">
        <f t="shared" si="498"/>
        <v>93</v>
      </c>
      <c r="B99" s="83" t="s">
        <v>85</v>
      </c>
      <c r="C99" s="38">
        <f t="shared" si="525"/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0">
        <v>0</v>
      </c>
      <c r="AN99" s="10">
        <v>0</v>
      </c>
      <c r="AO99" s="10">
        <v>0</v>
      </c>
      <c r="AP99" s="10">
        <v>0</v>
      </c>
      <c r="AQ99" s="10">
        <v>0</v>
      </c>
      <c r="AR99" s="10">
        <v>0</v>
      </c>
      <c r="AS99" s="10">
        <v>0</v>
      </c>
      <c r="AT99" s="10">
        <v>0</v>
      </c>
      <c r="AU99" s="10">
        <v>0</v>
      </c>
      <c r="AV99" s="10">
        <v>0</v>
      </c>
      <c r="AW99" s="10">
        <v>0</v>
      </c>
      <c r="AX99" s="10">
        <v>0</v>
      </c>
      <c r="AY99" s="10">
        <v>0</v>
      </c>
      <c r="AZ99" s="10">
        <v>0</v>
      </c>
      <c r="BA99" s="10">
        <v>0</v>
      </c>
      <c r="BB99" s="10">
        <v>0</v>
      </c>
      <c r="BC99" s="10">
        <v>0</v>
      </c>
      <c r="BD99" s="10">
        <v>0</v>
      </c>
      <c r="BE99" s="10">
        <v>0</v>
      </c>
      <c r="BF99" s="10">
        <v>0</v>
      </c>
    </row>
    <row r="100" spans="1:58" ht="14.15" customHeight="1">
      <c r="A100" s="404">
        <f t="shared" si="498"/>
        <v>94</v>
      </c>
      <c r="B100" s="83" t="s">
        <v>86</v>
      </c>
      <c r="C100" s="38">
        <f t="shared" si="525"/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10">
        <v>0</v>
      </c>
      <c r="AH100" s="10">
        <v>0</v>
      </c>
      <c r="AI100" s="10">
        <v>0</v>
      </c>
      <c r="AJ100" s="10">
        <v>0</v>
      </c>
      <c r="AK100" s="10">
        <v>0</v>
      </c>
      <c r="AL100" s="10">
        <v>0</v>
      </c>
      <c r="AM100" s="10">
        <v>0</v>
      </c>
      <c r="AN100" s="10">
        <v>0</v>
      </c>
      <c r="AO100" s="10">
        <v>0</v>
      </c>
      <c r="AP100" s="10">
        <v>0</v>
      </c>
      <c r="AQ100" s="10">
        <v>0</v>
      </c>
      <c r="AR100" s="10">
        <v>0</v>
      </c>
      <c r="AS100" s="10">
        <v>0</v>
      </c>
      <c r="AT100" s="10">
        <v>0</v>
      </c>
      <c r="AU100" s="10">
        <v>0</v>
      </c>
      <c r="AV100" s="10">
        <v>0</v>
      </c>
      <c r="AW100" s="10">
        <v>0</v>
      </c>
      <c r="AX100" s="10">
        <v>0</v>
      </c>
      <c r="AY100" s="10">
        <v>0</v>
      </c>
      <c r="AZ100" s="10">
        <v>0</v>
      </c>
      <c r="BA100" s="10">
        <v>0</v>
      </c>
      <c r="BB100" s="10">
        <v>0</v>
      </c>
      <c r="BC100" s="10">
        <v>0</v>
      </c>
      <c r="BD100" s="10">
        <v>0</v>
      </c>
      <c r="BE100" s="10">
        <v>0</v>
      </c>
      <c r="BF100" s="10">
        <v>0</v>
      </c>
    </row>
    <row r="101" spans="1:58" ht="14.15" customHeight="1">
      <c r="A101" s="404">
        <f t="shared" si="498"/>
        <v>95</v>
      </c>
      <c r="B101" s="83" t="s">
        <v>87</v>
      </c>
      <c r="C101" s="38">
        <f t="shared" si="525"/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0</v>
      </c>
      <c r="AI101" s="10">
        <v>0</v>
      </c>
      <c r="AJ101" s="10">
        <v>0</v>
      </c>
      <c r="AK101" s="10">
        <v>0</v>
      </c>
      <c r="AL101" s="10">
        <v>0</v>
      </c>
      <c r="AM101" s="10">
        <v>0</v>
      </c>
      <c r="AN101" s="10">
        <v>0</v>
      </c>
      <c r="AO101" s="10">
        <v>0</v>
      </c>
      <c r="AP101" s="10">
        <v>0</v>
      </c>
      <c r="AQ101" s="10">
        <v>0</v>
      </c>
      <c r="AR101" s="10">
        <v>0</v>
      </c>
      <c r="AS101" s="10">
        <v>0</v>
      </c>
      <c r="AT101" s="10">
        <v>0</v>
      </c>
      <c r="AU101" s="10">
        <v>0</v>
      </c>
      <c r="AV101" s="10">
        <v>0</v>
      </c>
      <c r="AW101" s="10">
        <v>0</v>
      </c>
      <c r="AX101" s="10">
        <v>0</v>
      </c>
      <c r="AY101" s="10">
        <v>0</v>
      </c>
      <c r="AZ101" s="10">
        <v>0</v>
      </c>
      <c r="BA101" s="10">
        <v>0</v>
      </c>
      <c r="BB101" s="10">
        <v>0</v>
      </c>
      <c r="BC101" s="10">
        <v>0</v>
      </c>
      <c r="BD101" s="10">
        <v>0</v>
      </c>
      <c r="BE101" s="10">
        <v>0</v>
      </c>
      <c r="BF101" s="10">
        <v>0</v>
      </c>
    </row>
    <row r="102" spans="1:58" ht="14.15" customHeight="1">
      <c r="A102" s="404">
        <f t="shared" si="498"/>
        <v>96</v>
      </c>
      <c r="B102" s="83" t="s">
        <v>88</v>
      </c>
      <c r="C102" s="38">
        <f t="shared" si="525"/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0</v>
      </c>
      <c r="AH102" s="10">
        <v>0</v>
      </c>
      <c r="AI102" s="10">
        <v>0</v>
      </c>
      <c r="AJ102" s="10">
        <v>0</v>
      </c>
      <c r="AK102" s="10">
        <v>0</v>
      </c>
      <c r="AL102" s="10">
        <v>0</v>
      </c>
      <c r="AM102" s="10">
        <v>0</v>
      </c>
      <c r="AN102" s="10">
        <v>0</v>
      </c>
      <c r="AO102" s="10">
        <v>0</v>
      </c>
      <c r="AP102" s="10">
        <v>0</v>
      </c>
      <c r="AQ102" s="10">
        <v>0</v>
      </c>
      <c r="AR102" s="10">
        <v>0</v>
      </c>
      <c r="AS102" s="10">
        <v>0</v>
      </c>
      <c r="AT102" s="10">
        <v>0</v>
      </c>
      <c r="AU102" s="10">
        <v>0</v>
      </c>
      <c r="AV102" s="10">
        <v>0</v>
      </c>
      <c r="AW102" s="10">
        <v>0</v>
      </c>
      <c r="AX102" s="10">
        <v>0</v>
      </c>
      <c r="AY102" s="10">
        <v>0</v>
      </c>
      <c r="AZ102" s="10">
        <v>0</v>
      </c>
      <c r="BA102" s="10">
        <v>0</v>
      </c>
      <c r="BB102" s="10">
        <v>0</v>
      </c>
      <c r="BC102" s="10">
        <v>0</v>
      </c>
      <c r="BD102" s="10">
        <v>0</v>
      </c>
      <c r="BE102" s="10">
        <v>0</v>
      </c>
      <c r="BF102" s="10">
        <v>0</v>
      </c>
    </row>
    <row r="103" spans="1:58" ht="14.15" customHeight="1">
      <c r="A103" s="404">
        <f t="shared" si="498"/>
        <v>97</v>
      </c>
      <c r="B103" s="56" t="s">
        <v>89</v>
      </c>
      <c r="C103" s="38">
        <f t="shared" si="525"/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0">
        <v>0</v>
      </c>
      <c r="AN103" s="10">
        <v>0</v>
      </c>
      <c r="AO103" s="10">
        <v>0</v>
      </c>
      <c r="AP103" s="10">
        <v>0</v>
      </c>
      <c r="AQ103" s="10">
        <v>0</v>
      </c>
      <c r="AR103" s="10">
        <v>0</v>
      </c>
      <c r="AS103" s="10">
        <v>0</v>
      </c>
      <c r="AT103" s="10">
        <v>0</v>
      </c>
      <c r="AU103" s="10">
        <v>0</v>
      </c>
      <c r="AV103" s="10">
        <v>0</v>
      </c>
      <c r="AW103" s="10">
        <v>0</v>
      </c>
      <c r="AX103" s="10">
        <v>0</v>
      </c>
      <c r="AY103" s="10">
        <v>0</v>
      </c>
      <c r="AZ103" s="10">
        <v>0</v>
      </c>
      <c r="BA103" s="10">
        <v>0</v>
      </c>
      <c r="BB103" s="10">
        <v>0</v>
      </c>
      <c r="BC103" s="10">
        <v>0</v>
      </c>
      <c r="BD103" s="10">
        <v>0</v>
      </c>
      <c r="BE103" s="10">
        <v>0</v>
      </c>
      <c r="BF103" s="10">
        <v>0</v>
      </c>
    </row>
    <row r="104" spans="1:58" s="18" customFormat="1" ht="14.15" customHeight="1">
      <c r="A104" s="404">
        <f t="shared" si="498"/>
        <v>98</v>
      </c>
      <c r="B104" s="2" t="s">
        <v>512</v>
      </c>
      <c r="C104" s="80">
        <f t="shared" ref="C104:V104" si="526">SUM(C96:C103)</f>
        <v>0</v>
      </c>
      <c r="D104" s="80">
        <f t="shared" ref="D104:I104" si="527">SUM(D96:D103)</f>
        <v>0</v>
      </c>
      <c r="E104" s="80">
        <f t="shared" si="527"/>
        <v>0</v>
      </c>
      <c r="F104" s="80">
        <f t="shared" si="527"/>
        <v>0</v>
      </c>
      <c r="G104" s="80">
        <f t="shared" si="527"/>
        <v>0</v>
      </c>
      <c r="H104" s="80">
        <f t="shared" si="527"/>
        <v>0</v>
      </c>
      <c r="I104" s="80">
        <f t="shared" si="527"/>
        <v>0</v>
      </c>
      <c r="J104" s="80">
        <f t="shared" si="526"/>
        <v>0</v>
      </c>
      <c r="K104" s="80">
        <f t="shared" ref="K104:U104" si="528">SUM(K96:K103)</f>
        <v>0</v>
      </c>
      <c r="L104" s="80">
        <f t="shared" si="528"/>
        <v>0</v>
      </c>
      <c r="M104" s="80">
        <f t="shared" si="528"/>
        <v>0</v>
      </c>
      <c r="N104" s="80">
        <f t="shared" si="528"/>
        <v>0</v>
      </c>
      <c r="O104" s="80">
        <f t="shared" si="528"/>
        <v>0</v>
      </c>
      <c r="P104" s="80">
        <f t="shared" si="528"/>
        <v>0</v>
      </c>
      <c r="Q104" s="80">
        <f t="shared" si="528"/>
        <v>0</v>
      </c>
      <c r="R104" s="80">
        <f t="shared" si="528"/>
        <v>0</v>
      </c>
      <c r="S104" s="80">
        <f t="shared" si="528"/>
        <v>0</v>
      </c>
      <c r="T104" s="80">
        <f t="shared" si="528"/>
        <v>0</v>
      </c>
      <c r="U104" s="80">
        <f t="shared" si="528"/>
        <v>0</v>
      </c>
      <c r="V104" s="80">
        <f t="shared" si="526"/>
        <v>0</v>
      </c>
      <c r="W104" s="80">
        <f>SUM(W96:W103)</f>
        <v>0</v>
      </c>
      <c r="X104" s="80">
        <f t="shared" ref="X104:AD104" si="529">SUM(X96:X103)</f>
        <v>0</v>
      </c>
      <c r="Y104" s="80">
        <f>SUM(Y96:Y103)</f>
        <v>0</v>
      </c>
      <c r="Z104" s="80">
        <f t="shared" si="529"/>
        <v>0</v>
      </c>
      <c r="AA104" s="80">
        <f t="shared" si="529"/>
        <v>0</v>
      </c>
      <c r="AB104" s="80">
        <f t="shared" si="529"/>
        <v>0</v>
      </c>
      <c r="AC104" s="80">
        <f t="shared" si="529"/>
        <v>0</v>
      </c>
      <c r="AD104" s="80">
        <f t="shared" si="529"/>
        <v>0</v>
      </c>
      <c r="AE104" s="80">
        <f>SUM(AE96:AE103)</f>
        <v>0</v>
      </c>
      <c r="AF104" s="80">
        <f>SUM(AF96:AF103)</f>
        <v>0</v>
      </c>
      <c r="AG104" s="80">
        <f>SUM(AG96:AG103)</f>
        <v>0</v>
      </c>
      <c r="AH104" s="80">
        <f t="shared" ref="AH104" si="530">SUM(AH96:AH103)</f>
        <v>0</v>
      </c>
      <c r="AI104" s="80">
        <f t="shared" ref="AI104:AL104" si="531">SUM(AI96:AI103)</f>
        <v>0</v>
      </c>
      <c r="AJ104" s="80">
        <f t="shared" si="531"/>
        <v>0</v>
      </c>
      <c r="AK104" s="80">
        <f t="shared" si="531"/>
        <v>0</v>
      </c>
      <c r="AL104" s="80">
        <f t="shared" si="531"/>
        <v>0</v>
      </c>
      <c r="AM104" s="80">
        <f>SUM(AM96:AM103)</f>
        <v>0</v>
      </c>
      <c r="AN104" s="80">
        <f>SUM(AN96:AN103)</f>
        <v>0</v>
      </c>
      <c r="AO104" s="80">
        <f>SUM(AO96:AO103)</f>
        <v>0</v>
      </c>
      <c r="AP104" s="80">
        <f>SUM(AP96:AP103)</f>
        <v>0</v>
      </c>
      <c r="AQ104" s="80">
        <f>SUM(AQ96:AQ103)</f>
        <v>0</v>
      </c>
      <c r="AR104" s="80">
        <f t="shared" ref="AR104" si="532">SUM(AR96:AR103)</f>
        <v>0</v>
      </c>
      <c r="AS104" s="80">
        <f>SUM(AS96:AS103)</f>
        <v>0</v>
      </c>
      <c r="AT104" s="80">
        <f t="shared" ref="AT104" si="533">SUM(AT96:AT103)</f>
        <v>0</v>
      </c>
      <c r="AU104" s="80">
        <f t="shared" ref="AU104" si="534">SUM(AU96:AU103)</f>
        <v>0</v>
      </c>
      <c r="AV104" s="80">
        <f t="shared" ref="AV104" si="535">SUM(AV96:AV103)</f>
        <v>0</v>
      </c>
      <c r="AW104" s="80">
        <f>SUM(AW96:AW103)</f>
        <v>0</v>
      </c>
      <c r="AX104" s="80">
        <f t="shared" ref="AX104" si="536">SUM(AX96:AX103)</f>
        <v>0</v>
      </c>
      <c r="AY104" s="80">
        <f t="shared" ref="AY104:BF104" si="537">SUM(AY96:AY103)</f>
        <v>0</v>
      </c>
      <c r="AZ104" s="80">
        <f t="shared" si="537"/>
        <v>0</v>
      </c>
      <c r="BA104" s="80">
        <f t="shared" si="537"/>
        <v>0</v>
      </c>
      <c r="BB104" s="80">
        <f t="shared" si="537"/>
        <v>0</v>
      </c>
      <c r="BC104" s="80">
        <f t="shared" si="537"/>
        <v>0</v>
      </c>
      <c r="BD104" s="80">
        <f t="shared" si="537"/>
        <v>0</v>
      </c>
      <c r="BE104" s="80">
        <f t="shared" si="537"/>
        <v>0</v>
      </c>
      <c r="BF104" s="80">
        <f t="shared" si="537"/>
        <v>0</v>
      </c>
    </row>
    <row r="105" spans="1:58" s="18" customFormat="1" ht="14.15" customHeight="1">
      <c r="A105" s="404">
        <f t="shared" si="498"/>
        <v>99</v>
      </c>
      <c r="B105" s="6"/>
      <c r="C105" s="25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</row>
    <row r="106" spans="1:58" s="18" customFormat="1" ht="14.15" customHeight="1">
      <c r="A106" s="404">
        <f t="shared" si="498"/>
        <v>100</v>
      </c>
      <c r="B106" s="60" t="s">
        <v>474</v>
      </c>
      <c r="C106" s="197">
        <f>SUM(J106:BF106)</f>
        <v>-633965440.52999997</v>
      </c>
      <c r="D106" s="197">
        <f t="shared" ref="D106:U106" si="538">D104+D94+D83+D74</f>
        <v>0</v>
      </c>
      <c r="E106" s="197">
        <f t="shared" si="538"/>
        <v>0</v>
      </c>
      <c r="F106" s="197">
        <f t="shared" si="538"/>
        <v>0</v>
      </c>
      <c r="G106" s="197">
        <f t="shared" si="538"/>
        <v>0</v>
      </c>
      <c r="H106" s="197">
        <f t="shared" si="538"/>
        <v>0</v>
      </c>
      <c r="I106" s="197">
        <f t="shared" si="538"/>
        <v>0</v>
      </c>
      <c r="J106" s="197">
        <f t="shared" si="538"/>
        <v>0</v>
      </c>
      <c r="K106" s="197">
        <f t="shared" si="538"/>
        <v>0</v>
      </c>
      <c r="L106" s="197">
        <f t="shared" si="538"/>
        <v>0</v>
      </c>
      <c r="M106" s="197">
        <f t="shared" si="538"/>
        <v>0</v>
      </c>
      <c r="N106" s="197">
        <f t="shared" si="538"/>
        <v>0</v>
      </c>
      <c r="O106" s="197">
        <f t="shared" si="538"/>
        <v>0</v>
      </c>
      <c r="P106" s="197">
        <f t="shared" si="538"/>
        <v>0</v>
      </c>
      <c r="Q106" s="197">
        <f t="shared" si="538"/>
        <v>0</v>
      </c>
      <c r="R106" s="197">
        <f t="shared" si="538"/>
        <v>0</v>
      </c>
      <c r="S106" s="197">
        <f t="shared" si="538"/>
        <v>0</v>
      </c>
      <c r="T106" s="197">
        <f t="shared" si="538"/>
        <v>0</v>
      </c>
      <c r="U106" s="197">
        <f t="shared" si="538"/>
        <v>18305195.900000058</v>
      </c>
      <c r="V106" s="197">
        <f t="shared" ref="V106:AL106" si="539">V104+V94+V83+V74</f>
        <v>0</v>
      </c>
      <c r="W106" s="197">
        <f t="shared" ref="W106:AG106" si="540">W104+W94+W83+W74</f>
        <v>0</v>
      </c>
      <c r="X106" s="197">
        <f t="shared" si="540"/>
        <v>0</v>
      </c>
      <c r="Y106" s="197">
        <f t="shared" si="540"/>
        <v>0</v>
      </c>
      <c r="Z106" s="197">
        <f t="shared" si="540"/>
        <v>0</v>
      </c>
      <c r="AA106" s="197">
        <f t="shared" si="540"/>
        <v>0</v>
      </c>
      <c r="AB106" s="197">
        <f t="shared" si="540"/>
        <v>0</v>
      </c>
      <c r="AC106" s="197">
        <f t="shared" si="540"/>
        <v>0</v>
      </c>
      <c r="AD106" s="197">
        <f t="shared" si="540"/>
        <v>0</v>
      </c>
      <c r="AE106" s="197">
        <f t="shared" si="540"/>
        <v>0</v>
      </c>
      <c r="AF106" s="197">
        <f t="shared" si="540"/>
        <v>0</v>
      </c>
      <c r="AG106" s="197">
        <f t="shared" si="540"/>
        <v>0</v>
      </c>
      <c r="AH106" s="197">
        <f t="shared" si="539"/>
        <v>0</v>
      </c>
      <c r="AI106" s="197">
        <f t="shared" si="539"/>
        <v>0</v>
      </c>
      <c r="AJ106" s="197">
        <f t="shared" si="539"/>
        <v>0</v>
      </c>
      <c r="AK106" s="197">
        <f t="shared" si="539"/>
        <v>0</v>
      </c>
      <c r="AL106" s="197">
        <f t="shared" si="539"/>
        <v>0</v>
      </c>
      <c r="AM106" s="197">
        <f>AM104+AM94+AM83+AM74</f>
        <v>0</v>
      </c>
      <c r="AN106" s="197">
        <f>AN104+AN94+AN83+AN74</f>
        <v>0</v>
      </c>
      <c r="AO106" s="197">
        <f>AO104+AO94+AO83+AO74</f>
        <v>0</v>
      </c>
      <c r="AP106" s="197">
        <f>AP104+AP94+AP83+AP74</f>
        <v>0</v>
      </c>
      <c r="AQ106" s="197">
        <f>AQ104+AQ94+AQ83+AQ74</f>
        <v>0</v>
      </c>
      <c r="AR106" s="197">
        <f t="shared" ref="AR106" si="541">AR104+AR94+AR83+AR74</f>
        <v>0</v>
      </c>
      <c r="AS106" s="197">
        <f>AS104+AS94+AS83+AS74</f>
        <v>0</v>
      </c>
      <c r="AT106" s="197">
        <f t="shared" ref="AT106" si="542">AT104+AT94+AT83+AT74</f>
        <v>0</v>
      </c>
      <c r="AU106" s="197">
        <f t="shared" ref="AU106" si="543">AU104+AU94+AU83+AU74</f>
        <v>-327699887.42999995</v>
      </c>
      <c r="AV106" s="197">
        <f>AV104+AV94+AV83+AV74</f>
        <v>0</v>
      </c>
      <c r="AW106" s="197">
        <f>AW104+AW94+AW83+AW74</f>
        <v>33826014.859999999</v>
      </c>
      <c r="AX106" s="197">
        <f t="shared" ref="AX106" si="544">AX104+AX94+AX83+AX74</f>
        <v>-33826014.859999999</v>
      </c>
      <c r="AY106" s="197">
        <f t="shared" ref="AY106:BF106" si="545">AY104+AY94+AY83+AY74</f>
        <v>0</v>
      </c>
      <c r="AZ106" s="197">
        <f t="shared" si="545"/>
        <v>0</v>
      </c>
      <c r="BA106" s="197">
        <f t="shared" si="545"/>
        <v>0</v>
      </c>
      <c r="BB106" s="197">
        <f t="shared" si="545"/>
        <v>0</v>
      </c>
      <c r="BC106" s="197">
        <f t="shared" si="545"/>
        <v>0</v>
      </c>
      <c r="BD106" s="197">
        <f t="shared" si="545"/>
        <v>-324570749</v>
      </c>
      <c r="BE106" s="197">
        <f t="shared" si="545"/>
        <v>0</v>
      </c>
      <c r="BF106" s="197">
        <f t="shared" si="545"/>
        <v>0</v>
      </c>
    </row>
    <row r="107" spans="1:58" s="18" customFormat="1" ht="14.15" customHeight="1">
      <c r="A107" s="404">
        <f t="shared" si="498"/>
        <v>101</v>
      </c>
      <c r="B107" s="2"/>
      <c r="C107" s="149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</row>
    <row r="108" spans="1:58" ht="14.15" customHeight="1">
      <c r="A108" s="404">
        <f t="shared" si="498"/>
        <v>102</v>
      </c>
      <c r="B108" s="83" t="s">
        <v>90</v>
      </c>
      <c r="C108" s="38">
        <f>SUM(D108:BF108)</f>
        <v>4348</v>
      </c>
      <c r="D108" s="43">
        <v>0</v>
      </c>
      <c r="E108" s="43">
        <v>0</v>
      </c>
      <c r="F108" s="43">
        <v>0</v>
      </c>
      <c r="G108" s="43">
        <v>0</v>
      </c>
      <c r="H108" s="43">
        <v>0</v>
      </c>
      <c r="I108" s="43">
        <v>0</v>
      </c>
      <c r="J108" s="43">
        <v>0</v>
      </c>
      <c r="K108" s="43">
        <v>0</v>
      </c>
      <c r="L108" s="43">
        <v>0</v>
      </c>
      <c r="M108" s="43">
        <v>0</v>
      </c>
      <c r="N108" s="43">
        <v>0</v>
      </c>
      <c r="O108" s="43">
        <v>0</v>
      </c>
      <c r="P108" s="43">
        <v>0</v>
      </c>
      <c r="Q108" s="43">
        <v>0</v>
      </c>
      <c r="R108" s="43">
        <v>0</v>
      </c>
      <c r="S108" s="43">
        <v>0</v>
      </c>
      <c r="T108" s="43">
        <v>0</v>
      </c>
      <c r="U108" s="43">
        <v>4348</v>
      </c>
      <c r="V108" s="43">
        <v>0</v>
      </c>
      <c r="W108" s="43">
        <v>0</v>
      </c>
      <c r="X108" s="43">
        <v>0</v>
      </c>
      <c r="Y108" s="43">
        <v>0</v>
      </c>
      <c r="Z108" s="43">
        <v>0</v>
      </c>
      <c r="AA108" s="43">
        <v>0</v>
      </c>
      <c r="AB108" s="43">
        <v>0</v>
      </c>
      <c r="AC108" s="43">
        <v>0</v>
      </c>
      <c r="AD108" s="43">
        <v>0</v>
      </c>
      <c r="AE108" s="43">
        <v>0</v>
      </c>
      <c r="AF108" s="43">
        <v>0</v>
      </c>
      <c r="AG108" s="43">
        <v>0</v>
      </c>
      <c r="AH108" s="43">
        <v>0</v>
      </c>
      <c r="AI108" s="43">
        <v>0</v>
      </c>
      <c r="AJ108" s="43">
        <v>0</v>
      </c>
      <c r="AK108" s="43">
        <v>0</v>
      </c>
      <c r="AL108" s="43">
        <v>0</v>
      </c>
      <c r="AM108" s="43">
        <v>0</v>
      </c>
      <c r="AN108" s="43">
        <v>0</v>
      </c>
      <c r="AO108" s="43">
        <v>0</v>
      </c>
      <c r="AP108" s="43">
        <v>0</v>
      </c>
      <c r="AQ108" s="43">
        <v>0</v>
      </c>
      <c r="AR108" s="43">
        <v>0</v>
      </c>
      <c r="AS108" s="43">
        <v>0</v>
      </c>
      <c r="AT108" s="43">
        <v>0</v>
      </c>
      <c r="AU108" s="43">
        <v>0</v>
      </c>
      <c r="AV108" s="43">
        <v>0</v>
      </c>
      <c r="AW108" s="43">
        <v>0</v>
      </c>
      <c r="AX108" s="43">
        <v>0</v>
      </c>
      <c r="AY108" s="43">
        <v>0</v>
      </c>
      <c r="AZ108" s="43">
        <v>0</v>
      </c>
      <c r="BA108" s="10">
        <v>0</v>
      </c>
      <c r="BB108" s="10">
        <v>0</v>
      </c>
      <c r="BC108" s="43">
        <v>0</v>
      </c>
      <c r="BD108" s="43">
        <v>0</v>
      </c>
      <c r="BE108" s="10">
        <v>0</v>
      </c>
      <c r="BF108" s="43">
        <v>0</v>
      </c>
    </row>
    <row r="109" spans="1:58" ht="14.15" customHeight="1">
      <c r="A109" s="404">
        <f t="shared" si="498"/>
        <v>103</v>
      </c>
      <c r="B109" s="56" t="s">
        <v>91</v>
      </c>
      <c r="C109" s="38">
        <f>SUM(D109:BF109)</f>
        <v>0</v>
      </c>
      <c r="D109" s="64">
        <v>0</v>
      </c>
      <c r="E109" s="64">
        <v>0</v>
      </c>
      <c r="F109" s="64">
        <v>0</v>
      </c>
      <c r="G109" s="64">
        <v>0</v>
      </c>
      <c r="H109" s="64">
        <v>0</v>
      </c>
      <c r="I109" s="64">
        <v>0</v>
      </c>
      <c r="J109" s="64">
        <v>0</v>
      </c>
      <c r="K109" s="64">
        <v>0</v>
      </c>
      <c r="L109" s="64">
        <v>0</v>
      </c>
      <c r="M109" s="64">
        <v>0</v>
      </c>
      <c r="N109" s="64">
        <v>0</v>
      </c>
      <c r="O109" s="64">
        <v>0</v>
      </c>
      <c r="P109" s="64">
        <v>0</v>
      </c>
      <c r="Q109" s="64">
        <v>0</v>
      </c>
      <c r="R109" s="64">
        <v>0</v>
      </c>
      <c r="S109" s="64">
        <v>0</v>
      </c>
      <c r="T109" s="64">
        <v>0</v>
      </c>
      <c r="U109" s="64">
        <v>0</v>
      </c>
      <c r="V109" s="64">
        <v>0</v>
      </c>
      <c r="W109" s="64">
        <v>0</v>
      </c>
      <c r="X109" s="64">
        <v>0</v>
      </c>
      <c r="Y109" s="64">
        <v>0</v>
      </c>
      <c r="Z109" s="64">
        <v>0</v>
      </c>
      <c r="AA109" s="64">
        <v>0</v>
      </c>
      <c r="AB109" s="64">
        <v>0</v>
      </c>
      <c r="AC109" s="64">
        <v>0</v>
      </c>
      <c r="AD109" s="64">
        <v>0</v>
      </c>
      <c r="AE109" s="64">
        <v>0</v>
      </c>
      <c r="AF109" s="64">
        <v>0</v>
      </c>
      <c r="AG109" s="64">
        <v>0</v>
      </c>
      <c r="AH109" s="64">
        <v>0</v>
      </c>
      <c r="AI109" s="64">
        <v>0</v>
      </c>
      <c r="AJ109" s="64">
        <v>0</v>
      </c>
      <c r="AK109" s="64">
        <v>0</v>
      </c>
      <c r="AL109" s="64">
        <v>0</v>
      </c>
      <c r="AM109" s="64">
        <v>0</v>
      </c>
      <c r="AN109" s="64">
        <v>0</v>
      </c>
      <c r="AO109" s="64">
        <v>0</v>
      </c>
      <c r="AP109" s="64">
        <v>0</v>
      </c>
      <c r="AQ109" s="64">
        <v>0</v>
      </c>
      <c r="AR109" s="64">
        <v>0</v>
      </c>
      <c r="AS109" s="64">
        <v>0</v>
      </c>
      <c r="AT109" s="64">
        <v>0</v>
      </c>
      <c r="AU109" s="64">
        <v>0</v>
      </c>
      <c r="AV109" s="64">
        <v>0</v>
      </c>
      <c r="AW109" s="64">
        <v>0</v>
      </c>
      <c r="AX109" s="64">
        <v>0</v>
      </c>
      <c r="AY109" s="64">
        <v>0</v>
      </c>
      <c r="AZ109" s="64">
        <v>0</v>
      </c>
      <c r="BA109" s="64">
        <v>0</v>
      </c>
      <c r="BB109" s="64">
        <v>0</v>
      </c>
      <c r="BC109" s="64">
        <v>0</v>
      </c>
      <c r="BD109" s="64">
        <v>0</v>
      </c>
      <c r="BE109" s="64">
        <v>0</v>
      </c>
      <c r="BF109" s="64">
        <v>0</v>
      </c>
    </row>
    <row r="110" spans="1:58" s="18" customFormat="1" ht="14.15" customHeight="1">
      <c r="A110" s="404">
        <f t="shared" si="498"/>
        <v>104</v>
      </c>
      <c r="B110" s="2" t="s">
        <v>848</v>
      </c>
      <c r="C110" s="47">
        <f t="shared" ref="C110:I110" si="546">C109+C108</f>
        <v>4348</v>
      </c>
      <c r="D110" s="47">
        <f t="shared" si="546"/>
        <v>0</v>
      </c>
      <c r="E110" s="47">
        <f t="shared" si="546"/>
        <v>0</v>
      </c>
      <c r="F110" s="47">
        <f t="shared" si="546"/>
        <v>0</v>
      </c>
      <c r="G110" s="47">
        <f t="shared" si="546"/>
        <v>0</v>
      </c>
      <c r="H110" s="47">
        <f t="shared" si="546"/>
        <v>0</v>
      </c>
      <c r="I110" s="47">
        <f t="shared" si="546"/>
        <v>0</v>
      </c>
      <c r="J110" s="47">
        <f t="shared" ref="J110:AL110" si="547">J109+J108</f>
        <v>0</v>
      </c>
      <c r="K110" s="47">
        <f t="shared" ref="K110:U110" si="548">K109+K108</f>
        <v>0</v>
      </c>
      <c r="L110" s="47">
        <f t="shared" si="548"/>
        <v>0</v>
      </c>
      <c r="M110" s="47">
        <f t="shared" si="548"/>
        <v>0</v>
      </c>
      <c r="N110" s="47">
        <f t="shared" si="548"/>
        <v>0</v>
      </c>
      <c r="O110" s="47">
        <f t="shared" si="548"/>
        <v>0</v>
      </c>
      <c r="P110" s="47">
        <f t="shared" si="548"/>
        <v>0</v>
      </c>
      <c r="Q110" s="47">
        <f t="shared" si="548"/>
        <v>0</v>
      </c>
      <c r="R110" s="47">
        <f t="shared" si="548"/>
        <v>0</v>
      </c>
      <c r="S110" s="47">
        <f t="shared" si="548"/>
        <v>0</v>
      </c>
      <c r="T110" s="47">
        <f t="shared" si="548"/>
        <v>0</v>
      </c>
      <c r="U110" s="47">
        <f t="shared" si="548"/>
        <v>4348</v>
      </c>
      <c r="V110" s="47">
        <f t="shared" si="547"/>
        <v>0</v>
      </c>
      <c r="W110" s="47">
        <f t="shared" ref="W110:AG110" si="549">W109+W108</f>
        <v>0</v>
      </c>
      <c r="X110" s="47">
        <f t="shared" si="549"/>
        <v>0</v>
      </c>
      <c r="Y110" s="47">
        <f t="shared" si="549"/>
        <v>0</v>
      </c>
      <c r="Z110" s="47">
        <f t="shared" si="549"/>
        <v>0</v>
      </c>
      <c r="AA110" s="47">
        <f t="shared" si="549"/>
        <v>0</v>
      </c>
      <c r="AB110" s="47">
        <f t="shared" si="549"/>
        <v>0</v>
      </c>
      <c r="AC110" s="47">
        <f t="shared" si="549"/>
        <v>0</v>
      </c>
      <c r="AD110" s="47">
        <f t="shared" si="549"/>
        <v>0</v>
      </c>
      <c r="AE110" s="47">
        <f t="shared" si="549"/>
        <v>0</v>
      </c>
      <c r="AF110" s="47">
        <f t="shared" si="549"/>
        <v>0</v>
      </c>
      <c r="AG110" s="47">
        <f t="shared" si="549"/>
        <v>0</v>
      </c>
      <c r="AH110" s="47">
        <f t="shared" si="547"/>
        <v>0</v>
      </c>
      <c r="AI110" s="47">
        <f t="shared" si="547"/>
        <v>0</v>
      </c>
      <c r="AJ110" s="47">
        <f t="shared" si="547"/>
        <v>0</v>
      </c>
      <c r="AK110" s="47">
        <f t="shared" si="547"/>
        <v>0</v>
      </c>
      <c r="AL110" s="47">
        <f t="shared" si="547"/>
        <v>0</v>
      </c>
      <c r="AM110" s="47">
        <f>AM109+AM108</f>
        <v>0</v>
      </c>
      <c r="AN110" s="47">
        <f>AN109+AN108</f>
        <v>0</v>
      </c>
      <c r="AO110" s="47">
        <f>AO109+AO108</f>
        <v>0</v>
      </c>
      <c r="AP110" s="47">
        <f>AP109+AP108</f>
        <v>0</v>
      </c>
      <c r="AQ110" s="47">
        <f>AQ109+AQ108</f>
        <v>0</v>
      </c>
      <c r="AR110" s="47">
        <f t="shared" ref="AR110" si="550">AR109+AR108</f>
        <v>0</v>
      </c>
      <c r="AS110" s="47">
        <f>AS109+AS108</f>
        <v>0</v>
      </c>
      <c r="AT110" s="47">
        <f t="shared" ref="AT110" si="551">AT109+AT108</f>
        <v>0</v>
      </c>
      <c r="AU110" s="47">
        <f t="shared" ref="AU110" si="552">AU109+AU108</f>
        <v>0</v>
      </c>
      <c r="AV110" s="47">
        <f>AV109+AV108</f>
        <v>0</v>
      </c>
      <c r="AW110" s="47">
        <f>AW109+AW108</f>
        <v>0</v>
      </c>
      <c r="AX110" s="47">
        <f t="shared" ref="AX110" si="553">AX109+AX108</f>
        <v>0</v>
      </c>
      <c r="AY110" s="47">
        <f t="shared" ref="AY110:BF110" si="554">AY109+AY108</f>
        <v>0</v>
      </c>
      <c r="AZ110" s="47">
        <f t="shared" si="554"/>
        <v>0</v>
      </c>
      <c r="BA110" s="47">
        <f t="shared" si="554"/>
        <v>0</v>
      </c>
      <c r="BB110" s="47">
        <f t="shared" si="554"/>
        <v>0</v>
      </c>
      <c r="BC110" s="47">
        <f t="shared" si="554"/>
        <v>0</v>
      </c>
      <c r="BD110" s="47">
        <f t="shared" si="554"/>
        <v>0</v>
      </c>
      <c r="BE110" s="47">
        <f t="shared" si="554"/>
        <v>0</v>
      </c>
      <c r="BF110" s="47">
        <f t="shared" si="554"/>
        <v>0</v>
      </c>
    </row>
    <row r="111" spans="1:58" s="18" customFormat="1" ht="14.15" customHeight="1">
      <c r="A111" s="404">
        <f t="shared" si="498"/>
        <v>105</v>
      </c>
      <c r="B111" s="6"/>
      <c r="C111" s="25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</row>
    <row r="112" spans="1:58" ht="14.15" customHeight="1">
      <c r="A112" s="404">
        <f t="shared" si="498"/>
        <v>106</v>
      </c>
      <c r="B112" s="3" t="s">
        <v>92</v>
      </c>
      <c r="C112" s="1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</row>
    <row r="113" spans="1:58" ht="14.15" customHeight="1">
      <c r="A113" s="404">
        <f t="shared" si="498"/>
        <v>107</v>
      </c>
      <c r="B113" s="83" t="s">
        <v>93</v>
      </c>
      <c r="C113" s="38">
        <f t="shared" ref="C113:C124" si="555">SUM(D113:BF113)</f>
        <v>613730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613730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0">
        <v>0</v>
      </c>
      <c r="AN113" s="10">
        <v>0</v>
      </c>
      <c r="AO113" s="10">
        <v>0</v>
      </c>
      <c r="AP113" s="10">
        <v>0</v>
      </c>
      <c r="AQ113" s="10">
        <v>0</v>
      </c>
      <c r="AR113" s="10">
        <v>0</v>
      </c>
      <c r="AS113" s="10">
        <v>0</v>
      </c>
      <c r="AT113" s="10">
        <v>0</v>
      </c>
      <c r="AU113" s="10">
        <v>0</v>
      </c>
      <c r="AV113" s="10">
        <v>0</v>
      </c>
      <c r="AW113" s="10">
        <v>0</v>
      </c>
      <c r="AX113" s="10">
        <v>0</v>
      </c>
      <c r="AY113" s="10">
        <v>0</v>
      </c>
      <c r="AZ113" s="10">
        <v>0</v>
      </c>
      <c r="BA113" s="10">
        <v>0</v>
      </c>
      <c r="BB113" s="10">
        <v>0</v>
      </c>
      <c r="BC113" s="10">
        <v>0</v>
      </c>
      <c r="BD113" s="10">
        <v>0</v>
      </c>
      <c r="BE113" s="10">
        <v>0</v>
      </c>
      <c r="BF113" s="10">
        <v>0</v>
      </c>
    </row>
    <row r="114" spans="1:58" ht="14.15" customHeight="1">
      <c r="A114" s="404">
        <f t="shared" si="498"/>
        <v>108</v>
      </c>
      <c r="B114" s="83" t="s">
        <v>1028</v>
      </c>
      <c r="C114" s="38">
        <f t="shared" si="555"/>
        <v>7864.5500000000466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7864.5500000000466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0">
        <v>0</v>
      </c>
      <c r="AM114" s="10">
        <v>0</v>
      </c>
      <c r="AN114" s="10">
        <v>0</v>
      </c>
      <c r="AO114" s="10">
        <v>0</v>
      </c>
      <c r="AP114" s="10">
        <v>0</v>
      </c>
      <c r="AQ114" s="10">
        <v>0</v>
      </c>
      <c r="AR114" s="10">
        <v>0</v>
      </c>
      <c r="AS114" s="10">
        <v>0</v>
      </c>
      <c r="AT114" s="10">
        <v>0</v>
      </c>
      <c r="AU114" s="10">
        <v>0</v>
      </c>
      <c r="AV114" s="10">
        <v>0</v>
      </c>
      <c r="AW114" s="10">
        <v>0</v>
      </c>
      <c r="AX114" s="10">
        <v>0</v>
      </c>
      <c r="AY114" s="10">
        <v>0</v>
      </c>
      <c r="AZ114" s="10">
        <v>0</v>
      </c>
      <c r="BA114" s="10">
        <v>0</v>
      </c>
      <c r="BB114" s="10">
        <v>0</v>
      </c>
      <c r="BC114" s="10">
        <v>0</v>
      </c>
      <c r="BD114" s="10">
        <v>0</v>
      </c>
      <c r="BE114" s="10">
        <v>0</v>
      </c>
      <c r="BF114" s="10">
        <v>0</v>
      </c>
    </row>
    <row r="115" spans="1:58" ht="14.15" customHeight="1">
      <c r="A115" s="404">
        <f t="shared" si="498"/>
        <v>109</v>
      </c>
      <c r="B115" s="83" t="s">
        <v>94</v>
      </c>
      <c r="C115" s="38">
        <f t="shared" si="555"/>
        <v>198123.6799999997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198123.6799999997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0">
        <v>0</v>
      </c>
      <c r="AM115" s="10">
        <v>0</v>
      </c>
      <c r="AN115" s="10">
        <v>0</v>
      </c>
      <c r="AO115" s="10">
        <v>0</v>
      </c>
      <c r="AP115" s="10">
        <v>0</v>
      </c>
      <c r="AQ115" s="10">
        <v>0</v>
      </c>
      <c r="AR115" s="10">
        <v>0</v>
      </c>
      <c r="AS115" s="10">
        <v>0</v>
      </c>
      <c r="AT115" s="10">
        <v>0</v>
      </c>
      <c r="AU115" s="10">
        <v>0</v>
      </c>
      <c r="AV115" s="10">
        <v>0</v>
      </c>
      <c r="AW115" s="10">
        <v>0</v>
      </c>
      <c r="AX115" s="10">
        <v>0</v>
      </c>
      <c r="AY115" s="10">
        <v>0</v>
      </c>
      <c r="AZ115" s="10">
        <v>0</v>
      </c>
      <c r="BA115" s="10">
        <v>0</v>
      </c>
      <c r="BB115" s="10">
        <v>0</v>
      </c>
      <c r="BC115" s="10">
        <v>0</v>
      </c>
      <c r="BD115" s="10">
        <v>0</v>
      </c>
      <c r="BE115" s="10">
        <v>0</v>
      </c>
      <c r="BF115" s="10">
        <v>0</v>
      </c>
    </row>
    <row r="116" spans="1:58" ht="14.15" customHeight="1">
      <c r="A116" s="404">
        <f t="shared" si="498"/>
        <v>110</v>
      </c>
      <c r="B116" s="83" t="s">
        <v>95</v>
      </c>
      <c r="C116" s="38">
        <f t="shared" si="555"/>
        <v>3879788.9899999797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3879788.9899999797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0">
        <v>0</v>
      </c>
      <c r="AN116" s="10">
        <v>0</v>
      </c>
      <c r="AO116" s="10">
        <v>0</v>
      </c>
      <c r="AP116" s="10">
        <v>0</v>
      </c>
      <c r="AQ116" s="10">
        <v>0</v>
      </c>
      <c r="AR116" s="10">
        <v>0</v>
      </c>
      <c r="AS116" s="10">
        <v>0</v>
      </c>
      <c r="AT116" s="10">
        <v>0</v>
      </c>
      <c r="AU116" s="10">
        <v>0</v>
      </c>
      <c r="AV116" s="10">
        <v>0</v>
      </c>
      <c r="AW116" s="10">
        <v>0</v>
      </c>
      <c r="AX116" s="10">
        <v>0</v>
      </c>
      <c r="AY116" s="10">
        <v>0</v>
      </c>
      <c r="AZ116" s="10">
        <v>0</v>
      </c>
      <c r="BA116" s="10">
        <v>0</v>
      </c>
      <c r="BB116" s="10">
        <v>0</v>
      </c>
      <c r="BC116" s="10">
        <v>0</v>
      </c>
      <c r="BD116" s="10">
        <v>0</v>
      </c>
      <c r="BE116" s="10">
        <v>0</v>
      </c>
      <c r="BF116" s="10">
        <v>0</v>
      </c>
    </row>
    <row r="117" spans="1:58" ht="14.15" customHeight="1">
      <c r="A117" s="404">
        <f t="shared" si="498"/>
        <v>111</v>
      </c>
      <c r="B117" s="83" t="s">
        <v>96</v>
      </c>
      <c r="C117" s="38">
        <f t="shared" si="555"/>
        <v>1228.25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1228.25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0">
        <v>0</v>
      </c>
      <c r="AM117" s="10">
        <v>0</v>
      </c>
      <c r="AN117" s="10">
        <v>0</v>
      </c>
      <c r="AO117" s="10">
        <v>0</v>
      </c>
      <c r="AP117" s="10">
        <v>0</v>
      </c>
      <c r="AQ117" s="10">
        <v>0</v>
      </c>
      <c r="AR117" s="10">
        <v>0</v>
      </c>
      <c r="AS117" s="10">
        <v>0</v>
      </c>
      <c r="AT117" s="10">
        <v>0</v>
      </c>
      <c r="AU117" s="10">
        <v>0</v>
      </c>
      <c r="AV117" s="10">
        <v>0</v>
      </c>
      <c r="AW117" s="10">
        <v>0</v>
      </c>
      <c r="AX117" s="10">
        <v>0</v>
      </c>
      <c r="AY117" s="10">
        <v>0</v>
      </c>
      <c r="AZ117" s="10">
        <v>0</v>
      </c>
      <c r="BA117" s="10">
        <v>0</v>
      </c>
      <c r="BB117" s="10">
        <v>0</v>
      </c>
      <c r="BC117" s="10">
        <v>0</v>
      </c>
      <c r="BD117" s="10">
        <v>0</v>
      </c>
      <c r="BE117" s="10">
        <v>0</v>
      </c>
      <c r="BF117" s="10">
        <v>0</v>
      </c>
    </row>
    <row r="118" spans="1:58" ht="14.15" customHeight="1">
      <c r="A118" s="404">
        <f t="shared" si="498"/>
        <v>112</v>
      </c>
      <c r="B118" s="83" t="s">
        <v>97</v>
      </c>
      <c r="C118" s="38">
        <f t="shared" si="555"/>
        <v>193601.8200000003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193601.8200000003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0">
        <v>0</v>
      </c>
      <c r="AM118" s="10">
        <v>0</v>
      </c>
      <c r="AN118" s="10">
        <v>0</v>
      </c>
      <c r="AO118" s="10">
        <v>0</v>
      </c>
      <c r="AP118" s="10">
        <v>0</v>
      </c>
      <c r="AQ118" s="10">
        <v>0</v>
      </c>
      <c r="AR118" s="10">
        <v>0</v>
      </c>
      <c r="AS118" s="10">
        <v>0</v>
      </c>
      <c r="AT118" s="10">
        <v>0</v>
      </c>
      <c r="AU118" s="10">
        <v>0</v>
      </c>
      <c r="AV118" s="10">
        <v>0</v>
      </c>
      <c r="AW118" s="10">
        <v>0</v>
      </c>
      <c r="AX118" s="10">
        <v>0</v>
      </c>
      <c r="AY118" s="10">
        <v>0</v>
      </c>
      <c r="AZ118" s="10">
        <v>0</v>
      </c>
      <c r="BA118" s="10">
        <v>0</v>
      </c>
      <c r="BB118" s="10">
        <v>0</v>
      </c>
      <c r="BC118" s="10">
        <v>0</v>
      </c>
      <c r="BD118" s="10">
        <v>0</v>
      </c>
      <c r="BE118" s="10">
        <v>0</v>
      </c>
      <c r="BF118" s="10">
        <v>0</v>
      </c>
    </row>
    <row r="119" spans="1:58" ht="14.15" customHeight="1">
      <c r="A119" s="404">
        <f t="shared" si="498"/>
        <v>113</v>
      </c>
      <c r="B119" s="83" t="s">
        <v>98</v>
      </c>
      <c r="C119" s="38">
        <f t="shared" si="555"/>
        <v>1537050.2399999946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1537050.2399999946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0">
        <v>0</v>
      </c>
      <c r="AM119" s="10">
        <v>0</v>
      </c>
      <c r="AN119" s="10">
        <v>0</v>
      </c>
      <c r="AO119" s="10">
        <v>0</v>
      </c>
      <c r="AP119" s="10">
        <v>0</v>
      </c>
      <c r="AQ119" s="10">
        <v>0</v>
      </c>
      <c r="AR119" s="10">
        <v>0</v>
      </c>
      <c r="AS119" s="10">
        <v>0</v>
      </c>
      <c r="AT119" s="10">
        <v>0</v>
      </c>
      <c r="AU119" s="10">
        <v>0</v>
      </c>
      <c r="AV119" s="10">
        <v>0</v>
      </c>
      <c r="AW119" s="10">
        <v>0</v>
      </c>
      <c r="AX119" s="10">
        <v>0</v>
      </c>
      <c r="AY119" s="10">
        <v>0</v>
      </c>
      <c r="AZ119" s="10">
        <v>0</v>
      </c>
      <c r="BA119" s="10">
        <v>0</v>
      </c>
      <c r="BB119" s="10">
        <v>0</v>
      </c>
      <c r="BC119" s="10">
        <v>0</v>
      </c>
      <c r="BD119" s="10">
        <v>0</v>
      </c>
      <c r="BE119" s="10">
        <v>0</v>
      </c>
      <c r="BF119" s="10">
        <v>0</v>
      </c>
    </row>
    <row r="120" spans="1:58" ht="14.15" customHeight="1">
      <c r="A120" s="404">
        <f t="shared" si="498"/>
        <v>114</v>
      </c>
      <c r="B120" s="83" t="s">
        <v>99</v>
      </c>
      <c r="C120" s="38">
        <f t="shared" si="555"/>
        <v>2943668.3100000024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2943668.3100000024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10">
        <v>0</v>
      </c>
      <c r="AG120" s="10">
        <v>0</v>
      </c>
      <c r="AH120" s="10">
        <v>0</v>
      </c>
      <c r="AI120" s="10">
        <v>0</v>
      </c>
      <c r="AJ120" s="10">
        <v>0</v>
      </c>
      <c r="AK120" s="10">
        <v>0</v>
      </c>
      <c r="AL120" s="10">
        <v>0</v>
      </c>
      <c r="AM120" s="10">
        <v>0</v>
      </c>
      <c r="AN120" s="10">
        <v>0</v>
      </c>
      <c r="AO120" s="10">
        <v>0</v>
      </c>
      <c r="AP120" s="10">
        <v>0</v>
      </c>
      <c r="AQ120" s="10">
        <v>0</v>
      </c>
      <c r="AR120" s="10">
        <v>0</v>
      </c>
      <c r="AS120" s="10">
        <v>0</v>
      </c>
      <c r="AT120" s="10">
        <v>0</v>
      </c>
      <c r="AU120" s="10">
        <v>0</v>
      </c>
      <c r="AV120" s="10">
        <v>0</v>
      </c>
      <c r="AW120" s="10">
        <v>0</v>
      </c>
      <c r="AX120" s="10">
        <v>0</v>
      </c>
      <c r="AY120" s="10">
        <v>0</v>
      </c>
      <c r="AZ120" s="10">
        <v>0</v>
      </c>
      <c r="BA120" s="10">
        <v>0</v>
      </c>
      <c r="BB120" s="10">
        <v>0</v>
      </c>
      <c r="BC120" s="10">
        <v>0</v>
      </c>
      <c r="BD120" s="10">
        <v>0</v>
      </c>
      <c r="BE120" s="10">
        <v>0</v>
      </c>
      <c r="BF120" s="10">
        <v>0</v>
      </c>
    </row>
    <row r="121" spans="1:58" ht="14.15" customHeight="1">
      <c r="A121" s="404">
        <f t="shared" si="498"/>
        <v>115</v>
      </c>
      <c r="B121" s="83" t="s">
        <v>100</v>
      </c>
      <c r="C121" s="38">
        <f t="shared" si="555"/>
        <v>2550491.2099999785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2550491.2099999785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v>0</v>
      </c>
      <c r="AF121" s="10">
        <v>0</v>
      </c>
      <c r="AG121" s="10">
        <v>0</v>
      </c>
      <c r="AH121" s="10">
        <v>0</v>
      </c>
      <c r="AI121" s="10">
        <v>0</v>
      </c>
      <c r="AJ121" s="10">
        <v>0</v>
      </c>
      <c r="AK121" s="10">
        <v>0</v>
      </c>
      <c r="AL121" s="10">
        <v>0</v>
      </c>
      <c r="AM121" s="10">
        <v>0</v>
      </c>
      <c r="AN121" s="10">
        <v>0</v>
      </c>
      <c r="AO121" s="10">
        <v>0</v>
      </c>
      <c r="AP121" s="10">
        <v>0</v>
      </c>
      <c r="AQ121" s="10">
        <v>0</v>
      </c>
      <c r="AR121" s="10">
        <v>0</v>
      </c>
      <c r="AS121" s="10">
        <v>0</v>
      </c>
      <c r="AT121" s="10">
        <v>0</v>
      </c>
      <c r="AU121" s="10">
        <v>0</v>
      </c>
      <c r="AV121" s="10">
        <v>0</v>
      </c>
      <c r="AW121" s="10">
        <v>0</v>
      </c>
      <c r="AX121" s="10">
        <v>0</v>
      </c>
      <c r="AY121" s="10">
        <v>0</v>
      </c>
      <c r="AZ121" s="10">
        <v>0</v>
      </c>
      <c r="BA121" s="10">
        <v>0</v>
      </c>
      <c r="BB121" s="10">
        <v>0</v>
      </c>
      <c r="BC121" s="10">
        <v>0</v>
      </c>
      <c r="BD121" s="10">
        <v>0</v>
      </c>
      <c r="BE121" s="10">
        <v>0</v>
      </c>
      <c r="BF121" s="10">
        <v>0</v>
      </c>
    </row>
    <row r="122" spans="1:58" ht="14.15" customHeight="1">
      <c r="A122" s="404">
        <f t="shared" si="498"/>
        <v>116</v>
      </c>
      <c r="B122" s="83" t="s">
        <v>1147</v>
      </c>
      <c r="C122" s="38">
        <f t="shared" si="555"/>
        <v>7664.320000000007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7664.320000000007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10">
        <v>0</v>
      </c>
      <c r="AG122" s="10">
        <v>0</v>
      </c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0">
        <v>0</v>
      </c>
      <c r="AN122" s="10">
        <v>0</v>
      </c>
      <c r="AO122" s="10">
        <v>0</v>
      </c>
      <c r="AP122" s="10">
        <v>0</v>
      </c>
      <c r="AQ122" s="10">
        <v>0</v>
      </c>
      <c r="AR122" s="10">
        <v>0</v>
      </c>
      <c r="AS122" s="10">
        <v>0</v>
      </c>
      <c r="AT122" s="10">
        <v>0</v>
      </c>
      <c r="AU122" s="10">
        <v>0</v>
      </c>
      <c r="AV122" s="10">
        <v>0</v>
      </c>
      <c r="AW122" s="10">
        <v>0</v>
      </c>
      <c r="AX122" s="10">
        <v>0</v>
      </c>
      <c r="AY122" s="10">
        <v>0</v>
      </c>
      <c r="AZ122" s="10">
        <v>0</v>
      </c>
      <c r="BA122" s="10">
        <v>0</v>
      </c>
      <c r="BB122" s="10">
        <v>0</v>
      </c>
      <c r="BC122" s="10">
        <v>0</v>
      </c>
      <c r="BD122" s="10">
        <v>0</v>
      </c>
      <c r="BE122" s="10">
        <v>0</v>
      </c>
      <c r="BF122" s="10">
        <v>0</v>
      </c>
    </row>
    <row r="123" spans="1:58" ht="14.15" customHeight="1">
      <c r="A123" s="404">
        <f t="shared" si="498"/>
        <v>117</v>
      </c>
      <c r="B123" s="83" t="s">
        <v>101</v>
      </c>
      <c r="C123" s="38">
        <f t="shared" si="555"/>
        <v>7464.5400000000373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7464.5400000000373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  <c r="AF123" s="10">
        <v>0</v>
      </c>
      <c r="AG123" s="10">
        <v>0</v>
      </c>
      <c r="AH123" s="10">
        <v>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>
        <v>0</v>
      </c>
      <c r="AO123" s="10">
        <v>0</v>
      </c>
      <c r="AP123" s="10">
        <v>0</v>
      </c>
      <c r="AQ123" s="10">
        <v>0</v>
      </c>
      <c r="AR123" s="10">
        <v>0</v>
      </c>
      <c r="AS123" s="10">
        <v>0</v>
      </c>
      <c r="AT123" s="10">
        <v>0</v>
      </c>
      <c r="AU123" s="10">
        <v>0</v>
      </c>
      <c r="AV123" s="10">
        <v>0</v>
      </c>
      <c r="AW123" s="10">
        <v>0</v>
      </c>
      <c r="AX123" s="10">
        <v>0</v>
      </c>
      <c r="AY123" s="10">
        <v>0</v>
      </c>
      <c r="AZ123" s="10">
        <v>0</v>
      </c>
      <c r="BA123" s="10">
        <v>0</v>
      </c>
      <c r="BB123" s="10">
        <v>0</v>
      </c>
      <c r="BC123" s="10">
        <v>0</v>
      </c>
      <c r="BD123" s="10">
        <v>0</v>
      </c>
      <c r="BE123" s="10">
        <v>0</v>
      </c>
      <c r="BF123" s="10">
        <v>0</v>
      </c>
    </row>
    <row r="124" spans="1:58" ht="14.15" customHeight="1">
      <c r="A124" s="404">
        <f t="shared" si="498"/>
        <v>118</v>
      </c>
      <c r="B124" s="56" t="s">
        <v>102</v>
      </c>
      <c r="C124" s="38">
        <f t="shared" si="555"/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  <c r="AF124" s="10">
        <v>0</v>
      </c>
      <c r="AG124" s="10">
        <v>0</v>
      </c>
      <c r="AH124" s="10">
        <v>0</v>
      </c>
      <c r="AI124" s="10">
        <v>0</v>
      </c>
      <c r="AJ124" s="10">
        <v>0</v>
      </c>
      <c r="AK124" s="10">
        <v>0</v>
      </c>
      <c r="AL124" s="10">
        <v>0</v>
      </c>
      <c r="AM124" s="10">
        <v>0</v>
      </c>
      <c r="AN124" s="10">
        <v>0</v>
      </c>
      <c r="AO124" s="10">
        <v>0</v>
      </c>
      <c r="AP124" s="10">
        <v>0</v>
      </c>
      <c r="AQ124" s="10">
        <v>0</v>
      </c>
      <c r="AR124" s="10">
        <v>0</v>
      </c>
      <c r="AS124" s="10">
        <v>0</v>
      </c>
      <c r="AT124" s="10">
        <v>0</v>
      </c>
      <c r="AU124" s="10">
        <v>0</v>
      </c>
      <c r="AV124" s="10">
        <v>0</v>
      </c>
      <c r="AW124" s="10">
        <v>0</v>
      </c>
      <c r="AX124" s="10">
        <v>0</v>
      </c>
      <c r="AY124" s="10">
        <v>0</v>
      </c>
      <c r="AZ124" s="10">
        <v>0</v>
      </c>
      <c r="BA124" s="10">
        <v>0</v>
      </c>
      <c r="BB124" s="10">
        <v>0</v>
      </c>
      <c r="BC124" s="10">
        <v>0</v>
      </c>
      <c r="BD124" s="10">
        <v>0</v>
      </c>
      <c r="BE124" s="10">
        <v>0</v>
      </c>
      <c r="BF124" s="10">
        <v>0</v>
      </c>
    </row>
    <row r="125" spans="1:58" ht="14.15" customHeight="1">
      <c r="A125" s="404">
        <f t="shared" si="498"/>
        <v>119</v>
      </c>
      <c r="B125" s="2" t="s">
        <v>470</v>
      </c>
      <c r="C125" s="80">
        <f t="shared" ref="C125:V125" si="556">SUM(C113:C124)</f>
        <v>11940675.909999955</v>
      </c>
      <c r="D125" s="80">
        <f t="shared" ref="D125:I125" si="557">SUM(D113:D124)</f>
        <v>0</v>
      </c>
      <c r="E125" s="80">
        <f t="shared" si="557"/>
        <v>0</v>
      </c>
      <c r="F125" s="80">
        <f t="shared" si="557"/>
        <v>0</v>
      </c>
      <c r="G125" s="80">
        <f t="shared" si="557"/>
        <v>0</v>
      </c>
      <c r="H125" s="80">
        <f t="shared" si="557"/>
        <v>0</v>
      </c>
      <c r="I125" s="80">
        <f t="shared" si="557"/>
        <v>0</v>
      </c>
      <c r="J125" s="80">
        <f t="shared" si="556"/>
        <v>0</v>
      </c>
      <c r="K125" s="80">
        <f t="shared" ref="K125:U125" si="558">SUM(K113:K124)</f>
        <v>0</v>
      </c>
      <c r="L125" s="80">
        <f t="shared" si="558"/>
        <v>0</v>
      </c>
      <c r="M125" s="80">
        <f t="shared" si="558"/>
        <v>0</v>
      </c>
      <c r="N125" s="80">
        <f t="shared" si="558"/>
        <v>0</v>
      </c>
      <c r="O125" s="80">
        <f t="shared" si="558"/>
        <v>0</v>
      </c>
      <c r="P125" s="80">
        <f t="shared" si="558"/>
        <v>0</v>
      </c>
      <c r="Q125" s="80">
        <f t="shared" si="558"/>
        <v>0</v>
      </c>
      <c r="R125" s="80">
        <f t="shared" si="558"/>
        <v>0</v>
      </c>
      <c r="S125" s="80">
        <f t="shared" si="558"/>
        <v>0</v>
      </c>
      <c r="T125" s="80">
        <f t="shared" si="558"/>
        <v>0</v>
      </c>
      <c r="U125" s="80">
        <f t="shared" si="558"/>
        <v>11940675.909999955</v>
      </c>
      <c r="V125" s="80">
        <f t="shared" si="556"/>
        <v>0</v>
      </c>
      <c r="W125" s="80">
        <f>SUM(W113:W124)</f>
        <v>0</v>
      </c>
      <c r="X125" s="80">
        <f t="shared" ref="X125:AD125" si="559">SUM(X113:X124)</f>
        <v>0</v>
      </c>
      <c r="Y125" s="80">
        <f>SUM(Y113:Y124)</f>
        <v>0</v>
      </c>
      <c r="Z125" s="80">
        <f t="shared" si="559"/>
        <v>0</v>
      </c>
      <c r="AA125" s="80">
        <f t="shared" si="559"/>
        <v>0</v>
      </c>
      <c r="AB125" s="80">
        <f t="shared" si="559"/>
        <v>0</v>
      </c>
      <c r="AC125" s="80">
        <f t="shared" si="559"/>
        <v>0</v>
      </c>
      <c r="AD125" s="80">
        <f t="shared" si="559"/>
        <v>0</v>
      </c>
      <c r="AE125" s="80">
        <f>SUM(AE113:AE124)</f>
        <v>0</v>
      </c>
      <c r="AF125" s="80">
        <f>SUM(AF113:AF124)</f>
        <v>0</v>
      </c>
      <c r="AG125" s="80">
        <f>SUM(AG113:AG124)</f>
        <v>0</v>
      </c>
      <c r="AH125" s="80">
        <f t="shared" ref="AH125:AL125" si="560">SUM(AH113:AH124)</f>
        <v>0</v>
      </c>
      <c r="AI125" s="80">
        <f t="shared" si="560"/>
        <v>0</v>
      </c>
      <c r="AJ125" s="80">
        <f t="shared" si="560"/>
        <v>0</v>
      </c>
      <c r="AK125" s="80">
        <f t="shared" si="560"/>
        <v>0</v>
      </c>
      <c r="AL125" s="80">
        <f t="shared" si="560"/>
        <v>0</v>
      </c>
      <c r="AM125" s="80">
        <f>SUM(AM113:AM124)</f>
        <v>0</v>
      </c>
      <c r="AN125" s="80">
        <f>SUM(AN113:AN124)</f>
        <v>0</v>
      </c>
      <c r="AO125" s="80">
        <f>SUM(AO113:AO124)</f>
        <v>0</v>
      </c>
      <c r="AP125" s="80">
        <f>SUM(AP113:AP124)</f>
        <v>0</v>
      </c>
      <c r="AQ125" s="80">
        <f>SUM(AQ113:AQ124)</f>
        <v>0</v>
      </c>
      <c r="AR125" s="80">
        <f t="shared" ref="AR125" si="561">SUM(AR113:AR124)</f>
        <v>0</v>
      </c>
      <c r="AS125" s="80">
        <f>SUM(AS113:AS124)</f>
        <v>0</v>
      </c>
      <c r="AT125" s="80">
        <f t="shared" ref="AT125" si="562">SUM(AT113:AT124)</f>
        <v>0</v>
      </c>
      <c r="AU125" s="80">
        <f t="shared" ref="AU125" si="563">SUM(AU113:AU124)</f>
        <v>0</v>
      </c>
      <c r="AV125" s="80">
        <f t="shared" ref="AV125" si="564">SUM(AV113:AV124)</f>
        <v>0</v>
      </c>
      <c r="AW125" s="80">
        <f>SUM(AW113:AW124)</f>
        <v>0</v>
      </c>
      <c r="AX125" s="80">
        <f t="shared" ref="AX125" si="565">SUM(AX113:AX124)</f>
        <v>0</v>
      </c>
      <c r="AY125" s="80">
        <f t="shared" ref="AY125:BF125" si="566">SUM(AY113:AY124)</f>
        <v>0</v>
      </c>
      <c r="AZ125" s="80">
        <f t="shared" si="566"/>
        <v>0</v>
      </c>
      <c r="BA125" s="80">
        <f t="shared" si="566"/>
        <v>0</v>
      </c>
      <c r="BB125" s="80">
        <f t="shared" si="566"/>
        <v>0</v>
      </c>
      <c r="BC125" s="80">
        <f t="shared" si="566"/>
        <v>0</v>
      </c>
      <c r="BD125" s="80">
        <f t="shared" si="566"/>
        <v>0</v>
      </c>
      <c r="BE125" s="80">
        <f t="shared" si="566"/>
        <v>0</v>
      </c>
      <c r="BF125" s="80">
        <f t="shared" si="566"/>
        <v>0</v>
      </c>
    </row>
    <row r="126" spans="1:58" ht="14.15" customHeight="1">
      <c r="A126" s="404">
        <f t="shared" si="498"/>
        <v>120</v>
      </c>
      <c r="B126" s="6"/>
      <c r="C126" s="25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</row>
    <row r="127" spans="1:58" ht="14.15" customHeight="1">
      <c r="A127" s="404">
        <f t="shared" si="498"/>
        <v>121</v>
      </c>
      <c r="B127" s="3" t="s">
        <v>103</v>
      </c>
      <c r="C127" s="1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</row>
    <row r="128" spans="1:58" ht="14.15" customHeight="1">
      <c r="A128" s="404">
        <f t="shared" si="498"/>
        <v>122</v>
      </c>
      <c r="B128" s="83" t="s">
        <v>104</v>
      </c>
      <c r="C128" s="38">
        <f t="shared" ref="C128:C142" si="567">SUM(D128:BF128)</f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0">
        <v>0</v>
      </c>
      <c r="AN128" s="10">
        <v>0</v>
      </c>
      <c r="AO128" s="10">
        <v>0</v>
      </c>
      <c r="AP128" s="10">
        <v>0</v>
      </c>
      <c r="AQ128" s="10">
        <v>0</v>
      </c>
      <c r="AR128" s="10">
        <v>0</v>
      </c>
      <c r="AS128" s="10">
        <v>0</v>
      </c>
      <c r="AT128" s="10">
        <v>0</v>
      </c>
      <c r="AU128" s="10">
        <v>0</v>
      </c>
      <c r="AV128" s="10">
        <v>0</v>
      </c>
      <c r="AW128" s="10">
        <v>0</v>
      </c>
      <c r="AX128" s="10">
        <v>0</v>
      </c>
      <c r="AY128" s="10">
        <v>0</v>
      </c>
      <c r="AZ128" s="10">
        <v>0</v>
      </c>
      <c r="BA128" s="10">
        <v>0</v>
      </c>
      <c r="BB128" s="10">
        <v>0</v>
      </c>
      <c r="BC128" s="10">
        <v>0</v>
      </c>
      <c r="BD128" s="10">
        <v>0</v>
      </c>
      <c r="BE128" s="10">
        <v>0</v>
      </c>
      <c r="BF128" s="10">
        <v>0</v>
      </c>
    </row>
    <row r="129" spans="1:58" ht="14.15" customHeight="1">
      <c r="A129" s="404">
        <f t="shared" si="498"/>
        <v>123</v>
      </c>
      <c r="B129" s="83" t="s">
        <v>105</v>
      </c>
      <c r="C129" s="38">
        <f t="shared" si="567"/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0</v>
      </c>
      <c r="AE129" s="10">
        <v>0</v>
      </c>
      <c r="AF129" s="10">
        <v>0</v>
      </c>
      <c r="AG129" s="10">
        <v>0</v>
      </c>
      <c r="AH129" s="10">
        <v>0</v>
      </c>
      <c r="AI129" s="10">
        <v>0</v>
      </c>
      <c r="AJ129" s="10">
        <v>0</v>
      </c>
      <c r="AK129" s="10">
        <v>0</v>
      </c>
      <c r="AL129" s="10">
        <v>0</v>
      </c>
      <c r="AM129" s="10">
        <v>0</v>
      </c>
      <c r="AN129" s="10">
        <v>0</v>
      </c>
      <c r="AO129" s="10">
        <v>0</v>
      </c>
      <c r="AP129" s="10">
        <v>0</v>
      </c>
      <c r="AQ129" s="10">
        <v>0</v>
      </c>
      <c r="AR129" s="10">
        <v>0</v>
      </c>
      <c r="AS129" s="10">
        <v>0</v>
      </c>
      <c r="AT129" s="10">
        <v>0</v>
      </c>
      <c r="AU129" s="10">
        <v>0</v>
      </c>
      <c r="AV129" s="10">
        <v>0</v>
      </c>
      <c r="AW129" s="10">
        <v>0</v>
      </c>
      <c r="AX129" s="10">
        <v>0</v>
      </c>
      <c r="AY129" s="10">
        <v>0</v>
      </c>
      <c r="AZ129" s="10">
        <v>0</v>
      </c>
      <c r="BA129" s="10">
        <v>0</v>
      </c>
      <c r="BB129" s="10">
        <v>0</v>
      </c>
      <c r="BC129" s="10">
        <v>0</v>
      </c>
      <c r="BD129" s="10">
        <v>0</v>
      </c>
      <c r="BE129" s="10">
        <v>0</v>
      </c>
      <c r="BF129" s="10">
        <v>0</v>
      </c>
    </row>
    <row r="130" spans="1:58" ht="14.15" customHeight="1">
      <c r="A130" s="404">
        <f t="shared" si="498"/>
        <v>124</v>
      </c>
      <c r="B130" s="83" t="s">
        <v>106</v>
      </c>
      <c r="C130" s="38">
        <f t="shared" si="567"/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0</v>
      </c>
      <c r="AE130" s="10">
        <v>0</v>
      </c>
      <c r="AF130" s="10">
        <v>0</v>
      </c>
      <c r="AG130" s="10">
        <v>0</v>
      </c>
      <c r="AH130" s="10">
        <v>0</v>
      </c>
      <c r="AI130" s="10">
        <v>0</v>
      </c>
      <c r="AJ130" s="10">
        <v>0</v>
      </c>
      <c r="AK130" s="10">
        <v>0</v>
      </c>
      <c r="AL130" s="10">
        <v>0</v>
      </c>
      <c r="AM130" s="10">
        <v>0</v>
      </c>
      <c r="AN130" s="10">
        <v>0</v>
      </c>
      <c r="AO130" s="10">
        <v>0</v>
      </c>
      <c r="AP130" s="10">
        <v>0</v>
      </c>
      <c r="AQ130" s="10">
        <v>0</v>
      </c>
      <c r="AR130" s="10">
        <v>0</v>
      </c>
      <c r="AS130" s="10">
        <v>0</v>
      </c>
      <c r="AT130" s="10">
        <v>0</v>
      </c>
      <c r="AU130" s="10">
        <v>0</v>
      </c>
      <c r="AV130" s="10">
        <v>0</v>
      </c>
      <c r="AW130" s="10">
        <v>0</v>
      </c>
      <c r="AX130" s="10">
        <v>0</v>
      </c>
      <c r="AY130" s="10">
        <v>0</v>
      </c>
      <c r="AZ130" s="10">
        <v>0</v>
      </c>
      <c r="BA130" s="10">
        <v>0</v>
      </c>
      <c r="BB130" s="10">
        <v>0</v>
      </c>
      <c r="BC130" s="10">
        <v>0</v>
      </c>
      <c r="BD130" s="10">
        <v>0</v>
      </c>
      <c r="BE130" s="10">
        <v>0</v>
      </c>
      <c r="BF130" s="10">
        <v>0</v>
      </c>
    </row>
    <row r="131" spans="1:58" ht="14.15" customHeight="1">
      <c r="A131" s="404">
        <f t="shared" si="498"/>
        <v>125</v>
      </c>
      <c r="B131" s="83" t="s">
        <v>107</v>
      </c>
      <c r="C131" s="38">
        <f t="shared" si="567"/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10">
        <v>0</v>
      </c>
      <c r="AE131" s="10">
        <v>0</v>
      </c>
      <c r="AF131" s="10">
        <v>0</v>
      </c>
      <c r="AG131" s="10">
        <v>0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10">
        <v>0</v>
      </c>
      <c r="AN131" s="10">
        <v>0</v>
      </c>
      <c r="AO131" s="10">
        <v>0</v>
      </c>
      <c r="AP131" s="10">
        <v>0</v>
      </c>
      <c r="AQ131" s="10">
        <v>0</v>
      </c>
      <c r="AR131" s="10">
        <v>0</v>
      </c>
      <c r="AS131" s="10">
        <v>0</v>
      </c>
      <c r="AT131" s="10">
        <v>0</v>
      </c>
      <c r="AU131" s="10">
        <v>0</v>
      </c>
      <c r="AV131" s="10">
        <v>0</v>
      </c>
      <c r="AW131" s="10">
        <v>0</v>
      </c>
      <c r="AX131" s="10">
        <v>0</v>
      </c>
      <c r="AY131" s="10">
        <v>0</v>
      </c>
      <c r="AZ131" s="10">
        <v>0</v>
      </c>
      <c r="BA131" s="10">
        <v>0</v>
      </c>
      <c r="BB131" s="10">
        <v>0</v>
      </c>
      <c r="BC131" s="10">
        <v>0</v>
      </c>
      <c r="BD131" s="10">
        <v>0</v>
      </c>
      <c r="BE131" s="10">
        <v>0</v>
      </c>
      <c r="BF131" s="10">
        <v>0</v>
      </c>
    </row>
    <row r="132" spans="1:58" ht="14.15" customHeight="1">
      <c r="A132" s="404">
        <f t="shared" si="498"/>
        <v>126</v>
      </c>
      <c r="B132" s="83" t="s">
        <v>108</v>
      </c>
      <c r="C132" s="38">
        <f t="shared" si="567"/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0</v>
      </c>
      <c r="AE132" s="10">
        <v>0</v>
      </c>
      <c r="AF132" s="10">
        <v>0</v>
      </c>
      <c r="AG132" s="10">
        <v>0</v>
      </c>
      <c r="AH132" s="10">
        <v>0</v>
      </c>
      <c r="AI132" s="10">
        <v>0</v>
      </c>
      <c r="AJ132" s="10">
        <v>0</v>
      </c>
      <c r="AK132" s="10">
        <v>0</v>
      </c>
      <c r="AL132" s="10">
        <v>0</v>
      </c>
      <c r="AM132" s="10">
        <v>0</v>
      </c>
      <c r="AN132" s="10">
        <v>0</v>
      </c>
      <c r="AO132" s="10">
        <v>0</v>
      </c>
      <c r="AP132" s="10">
        <v>0</v>
      </c>
      <c r="AQ132" s="10">
        <v>0</v>
      </c>
      <c r="AR132" s="10">
        <v>0</v>
      </c>
      <c r="AS132" s="10">
        <v>0</v>
      </c>
      <c r="AT132" s="10">
        <v>0</v>
      </c>
      <c r="AU132" s="10">
        <v>0</v>
      </c>
      <c r="AV132" s="10">
        <v>0</v>
      </c>
      <c r="AW132" s="10">
        <v>0</v>
      </c>
      <c r="AX132" s="10">
        <v>0</v>
      </c>
      <c r="AY132" s="10">
        <v>0</v>
      </c>
      <c r="AZ132" s="10">
        <v>0</v>
      </c>
      <c r="BA132" s="10">
        <v>0</v>
      </c>
      <c r="BB132" s="10">
        <v>0</v>
      </c>
      <c r="BC132" s="10">
        <v>0</v>
      </c>
      <c r="BD132" s="10">
        <v>0</v>
      </c>
      <c r="BE132" s="10">
        <v>0</v>
      </c>
      <c r="BF132" s="10">
        <v>0</v>
      </c>
    </row>
    <row r="133" spans="1:58" ht="14.15" customHeight="1">
      <c r="A133" s="404">
        <f t="shared" si="498"/>
        <v>127</v>
      </c>
      <c r="B133" s="83" t="s">
        <v>109</v>
      </c>
      <c r="C133" s="38">
        <f t="shared" si="567"/>
        <v>18000000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0</v>
      </c>
      <c r="AE133" s="10">
        <v>0</v>
      </c>
      <c r="AF133" s="10">
        <v>0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0">
        <v>0</v>
      </c>
      <c r="AN133" s="10">
        <v>0</v>
      </c>
      <c r="AO133" s="10">
        <v>0</v>
      </c>
      <c r="AP133" s="10">
        <v>0</v>
      </c>
      <c r="AQ133" s="10">
        <v>0</v>
      </c>
      <c r="AR133" s="10">
        <v>0</v>
      </c>
      <c r="AS133" s="10">
        <v>0</v>
      </c>
      <c r="AT133" s="10">
        <v>0</v>
      </c>
      <c r="AU133" s="10">
        <v>0</v>
      </c>
      <c r="AV133" s="10">
        <v>18000000</v>
      </c>
      <c r="AW133" s="10">
        <v>0</v>
      </c>
      <c r="AX133" s="10">
        <v>0</v>
      </c>
      <c r="AY133" s="10">
        <v>0</v>
      </c>
      <c r="AZ133" s="10">
        <v>0</v>
      </c>
      <c r="BA133" s="10">
        <v>0</v>
      </c>
      <c r="BB133" s="10">
        <v>0</v>
      </c>
      <c r="BC133" s="10">
        <v>0</v>
      </c>
      <c r="BD133" s="10">
        <v>0</v>
      </c>
      <c r="BE133" s="10">
        <v>0</v>
      </c>
      <c r="BF133" s="10">
        <v>0</v>
      </c>
    </row>
    <row r="134" spans="1:58" ht="14.15" customHeight="1">
      <c r="A134" s="404">
        <f t="shared" si="498"/>
        <v>128</v>
      </c>
      <c r="B134" s="83" t="s">
        <v>110</v>
      </c>
      <c r="C134" s="38">
        <f t="shared" si="567"/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  <c r="AF134" s="10">
        <v>0</v>
      </c>
      <c r="AG134" s="10">
        <v>0</v>
      </c>
      <c r="AH134" s="10">
        <v>0</v>
      </c>
      <c r="AI134" s="10">
        <v>0</v>
      </c>
      <c r="AJ134" s="10">
        <v>0</v>
      </c>
      <c r="AK134" s="10">
        <v>0</v>
      </c>
      <c r="AL134" s="10">
        <v>0</v>
      </c>
      <c r="AM134" s="10">
        <v>0</v>
      </c>
      <c r="AN134" s="10">
        <v>0</v>
      </c>
      <c r="AO134" s="10">
        <v>0</v>
      </c>
      <c r="AP134" s="10">
        <v>0</v>
      </c>
      <c r="AQ134" s="10">
        <v>0</v>
      </c>
      <c r="AR134" s="10">
        <v>0</v>
      </c>
      <c r="AS134" s="10">
        <v>0</v>
      </c>
      <c r="AT134" s="10">
        <v>0</v>
      </c>
      <c r="AU134" s="10">
        <v>0</v>
      </c>
      <c r="AV134" s="10">
        <v>0</v>
      </c>
      <c r="AW134" s="10">
        <v>0</v>
      </c>
      <c r="AX134" s="10">
        <v>0</v>
      </c>
      <c r="AY134" s="10">
        <v>0</v>
      </c>
      <c r="AZ134" s="10">
        <v>0</v>
      </c>
      <c r="BA134" s="10">
        <v>0</v>
      </c>
      <c r="BB134" s="10">
        <v>0</v>
      </c>
      <c r="BC134" s="10">
        <v>0</v>
      </c>
      <c r="BD134" s="10">
        <v>0</v>
      </c>
      <c r="BE134" s="10">
        <v>0</v>
      </c>
      <c r="BF134" s="10">
        <v>0</v>
      </c>
    </row>
    <row r="135" spans="1:58" ht="14.15" customHeight="1">
      <c r="A135" s="404">
        <f t="shared" si="498"/>
        <v>129</v>
      </c>
      <c r="B135" s="83" t="s">
        <v>111</v>
      </c>
      <c r="C135" s="38">
        <f t="shared" si="567"/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0">
        <v>0</v>
      </c>
      <c r="AE135" s="10">
        <v>0</v>
      </c>
      <c r="AF135" s="10">
        <v>0</v>
      </c>
      <c r="AG135" s="10">
        <v>0</v>
      </c>
      <c r="AH135" s="10">
        <v>0</v>
      </c>
      <c r="AI135" s="10">
        <v>0</v>
      </c>
      <c r="AJ135" s="10">
        <v>0</v>
      </c>
      <c r="AK135" s="10">
        <v>0</v>
      </c>
      <c r="AL135" s="10">
        <v>0</v>
      </c>
      <c r="AM135" s="10">
        <v>0</v>
      </c>
      <c r="AN135" s="10">
        <v>0</v>
      </c>
      <c r="AO135" s="10">
        <v>0</v>
      </c>
      <c r="AP135" s="10">
        <v>0</v>
      </c>
      <c r="AQ135" s="10">
        <v>0</v>
      </c>
      <c r="AR135" s="10">
        <v>0</v>
      </c>
      <c r="AS135" s="10">
        <v>0</v>
      </c>
      <c r="AT135" s="10">
        <v>0</v>
      </c>
      <c r="AU135" s="10">
        <v>0</v>
      </c>
      <c r="AV135" s="10">
        <v>0</v>
      </c>
      <c r="AW135" s="10">
        <v>0</v>
      </c>
      <c r="AX135" s="10">
        <v>0</v>
      </c>
      <c r="AY135" s="10">
        <v>0</v>
      </c>
      <c r="AZ135" s="10">
        <v>0</v>
      </c>
      <c r="BA135" s="10">
        <v>0</v>
      </c>
      <c r="BB135" s="10">
        <v>0</v>
      </c>
      <c r="BC135" s="10">
        <v>0</v>
      </c>
      <c r="BD135" s="10">
        <v>0</v>
      </c>
      <c r="BE135" s="10">
        <v>0</v>
      </c>
      <c r="BF135" s="10">
        <v>0</v>
      </c>
    </row>
    <row r="136" spans="1:58" ht="14.15" customHeight="1">
      <c r="A136" s="404">
        <f t="shared" si="498"/>
        <v>130</v>
      </c>
      <c r="B136" s="83" t="s">
        <v>112</v>
      </c>
      <c r="C136" s="38">
        <f t="shared" si="567"/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0">
        <v>0</v>
      </c>
      <c r="AN136" s="10">
        <v>0</v>
      </c>
      <c r="AO136" s="10">
        <v>0</v>
      </c>
      <c r="AP136" s="10">
        <v>0</v>
      </c>
      <c r="AQ136" s="10">
        <v>0</v>
      </c>
      <c r="AR136" s="10">
        <v>0</v>
      </c>
      <c r="AS136" s="10">
        <v>0</v>
      </c>
      <c r="AT136" s="10">
        <v>0</v>
      </c>
      <c r="AU136" s="10">
        <v>0</v>
      </c>
      <c r="AV136" s="10">
        <v>0</v>
      </c>
      <c r="AW136" s="10">
        <v>0</v>
      </c>
      <c r="AX136" s="10">
        <v>0</v>
      </c>
      <c r="AY136" s="10">
        <v>0</v>
      </c>
      <c r="AZ136" s="10">
        <v>0</v>
      </c>
      <c r="BA136" s="10">
        <v>0</v>
      </c>
      <c r="BB136" s="10">
        <v>0</v>
      </c>
      <c r="BC136" s="10">
        <v>0</v>
      </c>
      <c r="BD136" s="10">
        <v>0</v>
      </c>
      <c r="BE136" s="10">
        <v>0</v>
      </c>
      <c r="BF136" s="10">
        <v>0</v>
      </c>
    </row>
    <row r="137" spans="1:58" ht="14.15" customHeight="1">
      <c r="A137" s="404">
        <f t="shared" si="498"/>
        <v>131</v>
      </c>
      <c r="B137" s="83" t="s">
        <v>113</v>
      </c>
      <c r="C137" s="38">
        <f t="shared" si="567"/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0</v>
      </c>
      <c r="AE137" s="10">
        <v>0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0">
        <v>0</v>
      </c>
      <c r="AN137" s="10">
        <v>0</v>
      </c>
      <c r="AO137" s="10">
        <v>0</v>
      </c>
      <c r="AP137" s="10">
        <v>0</v>
      </c>
      <c r="AQ137" s="10">
        <v>0</v>
      </c>
      <c r="AR137" s="10">
        <v>0</v>
      </c>
      <c r="AS137" s="10">
        <v>0</v>
      </c>
      <c r="AT137" s="10">
        <v>0</v>
      </c>
      <c r="AU137" s="10">
        <v>0</v>
      </c>
      <c r="AV137" s="10">
        <v>0</v>
      </c>
      <c r="AW137" s="10">
        <v>0</v>
      </c>
      <c r="AX137" s="10">
        <v>0</v>
      </c>
      <c r="AY137" s="10">
        <v>0</v>
      </c>
      <c r="AZ137" s="10">
        <v>0</v>
      </c>
      <c r="BA137" s="10">
        <v>0</v>
      </c>
      <c r="BB137" s="10">
        <v>0</v>
      </c>
      <c r="BC137" s="10">
        <v>0</v>
      </c>
      <c r="BD137" s="10">
        <v>0</v>
      </c>
      <c r="BE137" s="10">
        <v>0</v>
      </c>
      <c r="BF137" s="10">
        <v>0</v>
      </c>
    </row>
    <row r="138" spans="1:58" ht="14.15" customHeight="1">
      <c r="A138" s="404">
        <f t="shared" si="498"/>
        <v>132</v>
      </c>
      <c r="B138" s="83" t="s">
        <v>114</v>
      </c>
      <c r="C138" s="38">
        <f t="shared" si="567"/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0</v>
      </c>
      <c r="AF138" s="10">
        <v>0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0">
        <v>0</v>
      </c>
      <c r="AN138" s="10">
        <v>0</v>
      </c>
      <c r="AO138" s="10">
        <v>0</v>
      </c>
      <c r="AP138" s="10">
        <v>0</v>
      </c>
      <c r="AQ138" s="10">
        <v>0</v>
      </c>
      <c r="AR138" s="10">
        <v>0</v>
      </c>
      <c r="AS138" s="10">
        <v>0</v>
      </c>
      <c r="AT138" s="10">
        <v>0</v>
      </c>
      <c r="AU138" s="10">
        <v>0</v>
      </c>
      <c r="AV138" s="10">
        <v>0</v>
      </c>
      <c r="AW138" s="10">
        <v>0</v>
      </c>
      <c r="AX138" s="10">
        <v>0</v>
      </c>
      <c r="AY138" s="10">
        <v>0</v>
      </c>
      <c r="AZ138" s="10">
        <v>0</v>
      </c>
      <c r="BA138" s="10">
        <v>0</v>
      </c>
      <c r="BB138" s="10">
        <v>0</v>
      </c>
      <c r="BC138" s="10">
        <v>0</v>
      </c>
      <c r="BD138" s="10">
        <v>0</v>
      </c>
      <c r="BE138" s="10">
        <v>0</v>
      </c>
      <c r="BF138" s="10">
        <v>0</v>
      </c>
    </row>
    <row r="139" spans="1:58" ht="14.15" customHeight="1">
      <c r="A139" s="404">
        <f t="shared" si="498"/>
        <v>133</v>
      </c>
      <c r="B139" s="83" t="s">
        <v>115</v>
      </c>
      <c r="C139" s="38">
        <f t="shared" si="567"/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0">
        <v>0</v>
      </c>
      <c r="AE139" s="10">
        <v>0</v>
      </c>
      <c r="AF139" s="10">
        <v>0</v>
      </c>
      <c r="AG139" s="10">
        <v>0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0">
        <v>0</v>
      </c>
      <c r="AN139" s="10">
        <v>0</v>
      </c>
      <c r="AO139" s="10">
        <v>0</v>
      </c>
      <c r="AP139" s="10">
        <v>0</v>
      </c>
      <c r="AQ139" s="10">
        <v>0</v>
      </c>
      <c r="AR139" s="10">
        <v>0</v>
      </c>
      <c r="AS139" s="10">
        <v>0</v>
      </c>
      <c r="AT139" s="10">
        <v>0</v>
      </c>
      <c r="AU139" s="10">
        <v>0</v>
      </c>
      <c r="AV139" s="10">
        <v>0</v>
      </c>
      <c r="AW139" s="10">
        <v>0</v>
      </c>
      <c r="AX139" s="10">
        <v>0</v>
      </c>
      <c r="AY139" s="10">
        <v>0</v>
      </c>
      <c r="AZ139" s="10">
        <v>0</v>
      </c>
      <c r="BA139" s="10">
        <v>0</v>
      </c>
      <c r="BB139" s="10">
        <v>0</v>
      </c>
      <c r="BC139" s="10">
        <v>0</v>
      </c>
      <c r="BD139" s="10">
        <v>0</v>
      </c>
      <c r="BE139" s="10">
        <v>0</v>
      </c>
      <c r="BF139" s="10">
        <v>0</v>
      </c>
    </row>
    <row r="140" spans="1:58" ht="14.15" customHeight="1">
      <c r="A140" s="404">
        <f t="shared" si="498"/>
        <v>134</v>
      </c>
      <c r="B140" s="83" t="s">
        <v>116</v>
      </c>
      <c r="C140" s="38">
        <f t="shared" si="567"/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0">
        <v>0</v>
      </c>
      <c r="AM140" s="10">
        <v>0</v>
      </c>
      <c r="AN140" s="10">
        <v>0</v>
      </c>
      <c r="AO140" s="10">
        <v>0</v>
      </c>
      <c r="AP140" s="10">
        <v>0</v>
      </c>
      <c r="AQ140" s="10">
        <v>0</v>
      </c>
      <c r="AR140" s="10">
        <v>0</v>
      </c>
      <c r="AS140" s="10">
        <v>0</v>
      </c>
      <c r="AT140" s="10">
        <v>0</v>
      </c>
      <c r="AU140" s="10">
        <v>0</v>
      </c>
      <c r="AV140" s="10">
        <v>0</v>
      </c>
      <c r="AW140" s="10">
        <v>0</v>
      </c>
      <c r="AX140" s="10">
        <v>0</v>
      </c>
      <c r="AY140" s="10">
        <v>0</v>
      </c>
      <c r="AZ140" s="10">
        <v>0</v>
      </c>
      <c r="BA140" s="10">
        <v>0</v>
      </c>
      <c r="BB140" s="10">
        <v>0</v>
      </c>
      <c r="BC140" s="10">
        <v>0</v>
      </c>
      <c r="BD140" s="10">
        <v>0</v>
      </c>
      <c r="BE140" s="10">
        <v>0</v>
      </c>
      <c r="BF140" s="10">
        <v>0</v>
      </c>
    </row>
    <row r="141" spans="1:58" ht="14.15" customHeight="1">
      <c r="A141" s="404">
        <f t="shared" si="498"/>
        <v>135</v>
      </c>
      <c r="B141" s="83" t="s">
        <v>117</v>
      </c>
      <c r="C141" s="38">
        <f t="shared" si="567"/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0">
        <v>0</v>
      </c>
      <c r="AM141" s="10">
        <v>0</v>
      </c>
      <c r="AN141" s="10">
        <v>0</v>
      </c>
      <c r="AO141" s="10">
        <v>0</v>
      </c>
      <c r="AP141" s="10">
        <v>0</v>
      </c>
      <c r="AQ141" s="10">
        <v>0</v>
      </c>
      <c r="AR141" s="10">
        <v>0</v>
      </c>
      <c r="AS141" s="10">
        <v>0</v>
      </c>
      <c r="AT141" s="10">
        <v>0</v>
      </c>
      <c r="AU141" s="10">
        <v>0</v>
      </c>
      <c r="AV141" s="10">
        <v>0</v>
      </c>
      <c r="AW141" s="10">
        <v>0</v>
      </c>
      <c r="AX141" s="10">
        <v>0</v>
      </c>
      <c r="AY141" s="10">
        <v>0</v>
      </c>
      <c r="AZ141" s="10">
        <v>0</v>
      </c>
      <c r="BA141" s="10">
        <v>0</v>
      </c>
      <c r="BB141" s="10">
        <v>0</v>
      </c>
      <c r="BC141" s="10">
        <v>0</v>
      </c>
      <c r="BD141" s="10">
        <v>0</v>
      </c>
      <c r="BE141" s="10">
        <v>0</v>
      </c>
      <c r="BF141" s="10">
        <v>0</v>
      </c>
    </row>
    <row r="142" spans="1:58" ht="14.15" customHeight="1">
      <c r="A142" s="404">
        <f t="shared" ref="A142:A205" si="568">+A141+1</f>
        <v>136</v>
      </c>
      <c r="B142" s="56" t="s">
        <v>118</v>
      </c>
      <c r="C142" s="38">
        <f t="shared" si="567"/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0">
        <v>0</v>
      </c>
      <c r="AM142" s="10">
        <v>0</v>
      </c>
      <c r="AN142" s="10">
        <v>0</v>
      </c>
      <c r="AO142" s="10">
        <v>0</v>
      </c>
      <c r="AP142" s="10">
        <v>0</v>
      </c>
      <c r="AQ142" s="10">
        <v>0</v>
      </c>
      <c r="AR142" s="10">
        <v>0</v>
      </c>
      <c r="AS142" s="10">
        <v>0</v>
      </c>
      <c r="AT142" s="10">
        <v>0</v>
      </c>
      <c r="AU142" s="10">
        <v>0</v>
      </c>
      <c r="AV142" s="10">
        <v>0</v>
      </c>
      <c r="AW142" s="10">
        <v>0</v>
      </c>
      <c r="AX142" s="10">
        <v>0</v>
      </c>
      <c r="AY142" s="10">
        <v>0</v>
      </c>
      <c r="AZ142" s="10">
        <v>0</v>
      </c>
      <c r="BA142" s="10">
        <v>0</v>
      </c>
      <c r="BB142" s="10">
        <v>0</v>
      </c>
      <c r="BC142" s="10">
        <v>0</v>
      </c>
      <c r="BD142" s="10">
        <v>0</v>
      </c>
      <c r="BE142" s="10">
        <v>0</v>
      </c>
      <c r="BF142" s="10">
        <v>0</v>
      </c>
    </row>
    <row r="143" spans="1:58" ht="14.15" customHeight="1">
      <c r="A143" s="404">
        <f t="shared" si="568"/>
        <v>137</v>
      </c>
      <c r="B143" s="2" t="s">
        <v>471</v>
      </c>
      <c r="C143" s="80">
        <f t="shared" ref="C143:V143" si="569">SUM(C128:C142)</f>
        <v>18000000</v>
      </c>
      <c r="D143" s="80">
        <f t="shared" ref="D143:I143" si="570">SUM(D128:D142)</f>
        <v>0</v>
      </c>
      <c r="E143" s="80">
        <f t="shared" si="570"/>
        <v>0</v>
      </c>
      <c r="F143" s="80">
        <f t="shared" si="570"/>
        <v>0</v>
      </c>
      <c r="G143" s="80">
        <f t="shared" si="570"/>
        <v>0</v>
      </c>
      <c r="H143" s="80">
        <f t="shared" si="570"/>
        <v>0</v>
      </c>
      <c r="I143" s="80">
        <f t="shared" si="570"/>
        <v>0</v>
      </c>
      <c r="J143" s="80">
        <f t="shared" si="569"/>
        <v>0</v>
      </c>
      <c r="K143" s="80">
        <f t="shared" ref="K143:U143" si="571">SUM(K128:K142)</f>
        <v>0</v>
      </c>
      <c r="L143" s="80">
        <f t="shared" si="571"/>
        <v>0</v>
      </c>
      <c r="M143" s="80">
        <f t="shared" si="571"/>
        <v>0</v>
      </c>
      <c r="N143" s="80">
        <f t="shared" si="571"/>
        <v>0</v>
      </c>
      <c r="O143" s="80">
        <f t="shared" si="571"/>
        <v>0</v>
      </c>
      <c r="P143" s="80">
        <f t="shared" si="571"/>
        <v>0</v>
      </c>
      <c r="Q143" s="80">
        <f t="shared" si="571"/>
        <v>0</v>
      </c>
      <c r="R143" s="80">
        <f t="shared" si="571"/>
        <v>0</v>
      </c>
      <c r="S143" s="80">
        <f t="shared" si="571"/>
        <v>0</v>
      </c>
      <c r="T143" s="80">
        <f t="shared" si="571"/>
        <v>0</v>
      </c>
      <c r="U143" s="80">
        <f t="shared" si="571"/>
        <v>0</v>
      </c>
      <c r="V143" s="80">
        <f t="shared" si="569"/>
        <v>0</v>
      </c>
      <c r="W143" s="80">
        <f>SUM(W128:W142)</f>
        <v>0</v>
      </c>
      <c r="X143" s="80">
        <f t="shared" ref="X143:AD143" si="572">SUM(X128:X142)</f>
        <v>0</v>
      </c>
      <c r="Y143" s="80">
        <f>SUM(Y128:Y142)</f>
        <v>0</v>
      </c>
      <c r="Z143" s="80">
        <f t="shared" si="572"/>
        <v>0</v>
      </c>
      <c r="AA143" s="80">
        <f t="shared" si="572"/>
        <v>0</v>
      </c>
      <c r="AB143" s="80">
        <f t="shared" si="572"/>
        <v>0</v>
      </c>
      <c r="AC143" s="80">
        <f t="shared" si="572"/>
        <v>0</v>
      </c>
      <c r="AD143" s="80">
        <f t="shared" si="572"/>
        <v>0</v>
      </c>
      <c r="AE143" s="80">
        <f>SUM(AE128:AE142)</f>
        <v>0</v>
      </c>
      <c r="AF143" s="80">
        <f>SUM(AF128:AF142)</f>
        <v>0</v>
      </c>
      <c r="AG143" s="80">
        <f>SUM(AG128:AG142)</f>
        <v>0</v>
      </c>
      <c r="AH143" s="80">
        <f t="shared" ref="AH143" si="573">SUM(AH128:AH142)</f>
        <v>0</v>
      </c>
      <c r="AI143" s="80">
        <f t="shared" ref="AI143:AL143" si="574">SUM(AI128:AI142)</f>
        <v>0</v>
      </c>
      <c r="AJ143" s="80">
        <f t="shared" si="574"/>
        <v>0</v>
      </c>
      <c r="AK143" s="80">
        <f t="shared" si="574"/>
        <v>0</v>
      </c>
      <c r="AL143" s="80">
        <f t="shared" si="574"/>
        <v>0</v>
      </c>
      <c r="AM143" s="80">
        <f>SUM(AM128:AM142)</f>
        <v>0</v>
      </c>
      <c r="AN143" s="80">
        <f>SUM(AN128:AN142)</f>
        <v>0</v>
      </c>
      <c r="AO143" s="80">
        <f>SUM(AO128:AO142)</f>
        <v>0</v>
      </c>
      <c r="AP143" s="80">
        <f>SUM(AP128:AP142)</f>
        <v>0</v>
      </c>
      <c r="AQ143" s="80">
        <f>SUM(AQ128:AQ142)</f>
        <v>0</v>
      </c>
      <c r="AR143" s="80">
        <f t="shared" ref="AR143" si="575">SUM(AR128:AR142)</f>
        <v>0</v>
      </c>
      <c r="AS143" s="80">
        <f>SUM(AS128:AS142)</f>
        <v>0</v>
      </c>
      <c r="AT143" s="80">
        <f t="shared" ref="AT143" si="576">SUM(AT128:AT142)</f>
        <v>0</v>
      </c>
      <c r="AU143" s="80">
        <f t="shared" ref="AU143" si="577">SUM(AU128:AU142)</f>
        <v>0</v>
      </c>
      <c r="AV143" s="80">
        <f t="shared" ref="AV143" si="578">SUM(AV128:AV142)</f>
        <v>18000000</v>
      </c>
      <c r="AW143" s="80">
        <f>SUM(AW128:AW142)</f>
        <v>0</v>
      </c>
      <c r="AX143" s="80">
        <f t="shared" ref="AX143" si="579">SUM(AX128:AX142)</f>
        <v>0</v>
      </c>
      <c r="AY143" s="80">
        <f t="shared" ref="AY143:BF143" si="580">SUM(AY128:AY142)</f>
        <v>0</v>
      </c>
      <c r="AZ143" s="80">
        <f t="shared" si="580"/>
        <v>0</v>
      </c>
      <c r="BA143" s="80">
        <f t="shared" si="580"/>
        <v>0</v>
      </c>
      <c r="BB143" s="80">
        <f t="shared" si="580"/>
        <v>0</v>
      </c>
      <c r="BC143" s="80">
        <f t="shared" si="580"/>
        <v>0</v>
      </c>
      <c r="BD143" s="80">
        <f t="shared" si="580"/>
        <v>0</v>
      </c>
      <c r="BE143" s="80">
        <f t="shared" si="580"/>
        <v>0</v>
      </c>
      <c r="BF143" s="80">
        <f t="shared" si="580"/>
        <v>0</v>
      </c>
    </row>
    <row r="144" spans="1:58" ht="14.15" customHeight="1">
      <c r="A144" s="404">
        <f t="shared" si="568"/>
        <v>138</v>
      </c>
      <c r="B144" s="6"/>
      <c r="C144" s="25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</row>
    <row r="145" spans="1:58" ht="14.15" customHeight="1">
      <c r="A145" s="404">
        <f t="shared" si="568"/>
        <v>139</v>
      </c>
      <c r="B145" s="3" t="s">
        <v>119</v>
      </c>
      <c r="C145" s="1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</row>
    <row r="146" spans="1:58" ht="14.15" customHeight="1">
      <c r="A146" s="404">
        <f t="shared" si="568"/>
        <v>140</v>
      </c>
      <c r="B146" s="83" t="s">
        <v>120</v>
      </c>
      <c r="C146" s="38">
        <f t="shared" ref="C146:C157" si="581">SUM(D146:BF146)</f>
        <v>42693.770000000019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42693.770000000019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0">
        <v>0</v>
      </c>
      <c r="AN146" s="10">
        <v>0</v>
      </c>
      <c r="AO146" s="10">
        <v>0</v>
      </c>
      <c r="AP146" s="10">
        <v>0</v>
      </c>
      <c r="AQ146" s="10">
        <v>0</v>
      </c>
      <c r="AR146" s="10">
        <v>0</v>
      </c>
      <c r="AS146" s="10">
        <v>0</v>
      </c>
      <c r="AT146" s="10">
        <v>0</v>
      </c>
      <c r="AU146" s="10">
        <v>0</v>
      </c>
      <c r="AV146" s="10">
        <v>0</v>
      </c>
      <c r="AW146" s="10">
        <v>0</v>
      </c>
      <c r="AX146" s="10">
        <v>0</v>
      </c>
      <c r="AY146" s="10">
        <v>0</v>
      </c>
      <c r="AZ146" s="10">
        <v>0</v>
      </c>
      <c r="BA146" s="10">
        <v>0</v>
      </c>
      <c r="BB146" s="10">
        <v>0</v>
      </c>
      <c r="BC146" s="10">
        <v>0</v>
      </c>
      <c r="BD146" s="10">
        <v>0</v>
      </c>
      <c r="BE146" s="10">
        <v>0</v>
      </c>
      <c r="BF146" s="10">
        <v>0</v>
      </c>
    </row>
    <row r="147" spans="1:58" ht="14.15" customHeight="1">
      <c r="A147" s="404">
        <f t="shared" si="568"/>
        <v>141</v>
      </c>
      <c r="B147" s="83" t="s">
        <v>121</v>
      </c>
      <c r="C147" s="38">
        <f t="shared" si="581"/>
        <v>574766.33999999985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574766.33999999985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10">
        <v>0</v>
      </c>
      <c r="AN147" s="10">
        <v>0</v>
      </c>
      <c r="AO147" s="10">
        <v>0</v>
      </c>
      <c r="AP147" s="10">
        <v>0</v>
      </c>
      <c r="AQ147" s="10">
        <v>0</v>
      </c>
      <c r="AR147" s="10">
        <v>0</v>
      </c>
      <c r="AS147" s="10">
        <v>0</v>
      </c>
      <c r="AT147" s="10">
        <v>0</v>
      </c>
      <c r="AU147" s="10">
        <v>0</v>
      </c>
      <c r="AV147" s="10">
        <v>0</v>
      </c>
      <c r="AW147" s="10">
        <v>0</v>
      </c>
      <c r="AX147" s="10">
        <v>0</v>
      </c>
      <c r="AY147" s="10">
        <v>0</v>
      </c>
      <c r="AZ147" s="10">
        <v>0</v>
      </c>
      <c r="BA147" s="10">
        <v>0</v>
      </c>
      <c r="BB147" s="10">
        <v>0</v>
      </c>
      <c r="BC147" s="10">
        <v>0</v>
      </c>
      <c r="BD147" s="10">
        <v>0</v>
      </c>
      <c r="BE147" s="10">
        <v>0</v>
      </c>
      <c r="BF147" s="10">
        <v>0</v>
      </c>
    </row>
    <row r="148" spans="1:58" ht="14.15" customHeight="1">
      <c r="A148" s="404">
        <f t="shared" si="568"/>
        <v>142</v>
      </c>
      <c r="B148" s="83" t="s">
        <v>122</v>
      </c>
      <c r="C148" s="38">
        <f t="shared" si="581"/>
        <v>50416.049999999814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50416.049999999814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0">
        <v>0</v>
      </c>
      <c r="AM148" s="10">
        <v>0</v>
      </c>
      <c r="AN148" s="10">
        <v>0</v>
      </c>
      <c r="AO148" s="10">
        <v>0</v>
      </c>
      <c r="AP148" s="10">
        <v>0</v>
      </c>
      <c r="AQ148" s="10">
        <v>0</v>
      </c>
      <c r="AR148" s="10">
        <v>0</v>
      </c>
      <c r="AS148" s="10">
        <v>0</v>
      </c>
      <c r="AT148" s="10">
        <v>0</v>
      </c>
      <c r="AU148" s="10">
        <v>0</v>
      </c>
      <c r="AV148" s="10">
        <v>0</v>
      </c>
      <c r="AW148" s="10">
        <v>0</v>
      </c>
      <c r="AX148" s="10">
        <v>0</v>
      </c>
      <c r="AY148" s="10">
        <v>0</v>
      </c>
      <c r="AZ148" s="10">
        <v>0</v>
      </c>
      <c r="BA148" s="10">
        <v>0</v>
      </c>
      <c r="BB148" s="10">
        <v>0</v>
      </c>
      <c r="BC148" s="10">
        <v>0</v>
      </c>
      <c r="BD148" s="10">
        <v>0</v>
      </c>
      <c r="BE148" s="10">
        <v>0</v>
      </c>
      <c r="BF148" s="10">
        <v>0</v>
      </c>
    </row>
    <row r="149" spans="1:58" ht="14.15" customHeight="1">
      <c r="A149" s="404">
        <f t="shared" si="568"/>
        <v>143</v>
      </c>
      <c r="B149" s="83" t="s">
        <v>123</v>
      </c>
      <c r="C149" s="38">
        <f t="shared" si="581"/>
        <v>481369.65000000224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481369.65000000224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  <c r="AF149" s="10">
        <v>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0">
        <v>0</v>
      </c>
      <c r="AN149" s="10">
        <v>0</v>
      </c>
      <c r="AO149" s="10">
        <v>0</v>
      </c>
      <c r="AP149" s="10">
        <v>0</v>
      </c>
      <c r="AQ149" s="10">
        <v>0</v>
      </c>
      <c r="AR149" s="10">
        <v>0</v>
      </c>
      <c r="AS149" s="10">
        <v>0</v>
      </c>
      <c r="AT149" s="10">
        <v>0</v>
      </c>
      <c r="AU149" s="10">
        <v>0</v>
      </c>
      <c r="AV149" s="10">
        <v>0</v>
      </c>
      <c r="AW149" s="10">
        <v>0</v>
      </c>
      <c r="AX149" s="10">
        <v>0</v>
      </c>
      <c r="AY149" s="10">
        <v>0</v>
      </c>
      <c r="AZ149" s="10">
        <v>0</v>
      </c>
      <c r="BA149" s="10">
        <v>0</v>
      </c>
      <c r="BB149" s="10">
        <v>0</v>
      </c>
      <c r="BC149" s="10">
        <v>0</v>
      </c>
      <c r="BD149" s="10">
        <v>0</v>
      </c>
      <c r="BE149" s="10">
        <v>0</v>
      </c>
      <c r="BF149" s="10">
        <v>0</v>
      </c>
    </row>
    <row r="150" spans="1:58" ht="14.15" customHeight="1">
      <c r="A150" s="404">
        <f t="shared" si="568"/>
        <v>144</v>
      </c>
      <c r="B150" s="83" t="s">
        <v>124</v>
      </c>
      <c r="C150" s="38">
        <f t="shared" si="581"/>
        <v>8852.1600000000326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8852.1600000000326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  <c r="AF150" s="10">
        <v>0</v>
      </c>
      <c r="AG150" s="10">
        <v>0</v>
      </c>
      <c r="AH150" s="10">
        <v>0</v>
      </c>
      <c r="AI150" s="10">
        <v>0</v>
      </c>
      <c r="AJ150" s="10">
        <v>0</v>
      </c>
      <c r="AK150" s="10">
        <v>0</v>
      </c>
      <c r="AL150" s="10">
        <v>0</v>
      </c>
      <c r="AM150" s="10">
        <v>0</v>
      </c>
      <c r="AN150" s="10">
        <v>0</v>
      </c>
      <c r="AO150" s="10">
        <v>0</v>
      </c>
      <c r="AP150" s="10">
        <v>0</v>
      </c>
      <c r="AQ150" s="10">
        <v>0</v>
      </c>
      <c r="AR150" s="10">
        <v>0</v>
      </c>
      <c r="AS150" s="10">
        <v>0</v>
      </c>
      <c r="AT150" s="10">
        <v>0</v>
      </c>
      <c r="AU150" s="10">
        <v>0</v>
      </c>
      <c r="AV150" s="10">
        <v>0</v>
      </c>
      <c r="AW150" s="10">
        <f>21810.2</f>
        <v>21810.2</v>
      </c>
      <c r="AX150" s="10">
        <v>-21810.2</v>
      </c>
      <c r="AY150" s="10">
        <v>0</v>
      </c>
      <c r="AZ150" s="10">
        <v>0</v>
      </c>
      <c r="BA150" s="10">
        <v>0</v>
      </c>
      <c r="BB150" s="10">
        <v>0</v>
      </c>
      <c r="BC150" s="10">
        <v>0</v>
      </c>
      <c r="BD150" s="10">
        <v>0</v>
      </c>
      <c r="BE150" s="10">
        <v>0</v>
      </c>
      <c r="BF150" s="10">
        <v>0</v>
      </c>
    </row>
    <row r="151" spans="1:58" ht="14.15" customHeight="1">
      <c r="A151" s="404">
        <f t="shared" si="568"/>
        <v>145</v>
      </c>
      <c r="B151" s="83" t="s">
        <v>125</v>
      </c>
      <c r="C151" s="38">
        <f t="shared" si="581"/>
        <v>166993.51999999955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166993.51999999955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0">
        <v>0</v>
      </c>
      <c r="AC151" s="10">
        <v>0</v>
      </c>
      <c r="AD151" s="10">
        <v>0</v>
      </c>
      <c r="AE151" s="10">
        <v>0</v>
      </c>
      <c r="AF151" s="10">
        <v>0</v>
      </c>
      <c r="AG151" s="10">
        <v>0</v>
      </c>
      <c r="AH151" s="10">
        <v>0</v>
      </c>
      <c r="AI151" s="10">
        <v>0</v>
      </c>
      <c r="AJ151" s="10">
        <v>0</v>
      </c>
      <c r="AK151" s="10">
        <v>0</v>
      </c>
      <c r="AL151" s="10">
        <v>0</v>
      </c>
      <c r="AM151" s="10">
        <v>0</v>
      </c>
      <c r="AN151" s="10">
        <v>0</v>
      </c>
      <c r="AO151" s="10">
        <v>0</v>
      </c>
      <c r="AP151" s="10">
        <v>0</v>
      </c>
      <c r="AQ151" s="10">
        <v>0</v>
      </c>
      <c r="AR151" s="10">
        <v>0</v>
      </c>
      <c r="AS151" s="10">
        <v>0</v>
      </c>
      <c r="AT151" s="10">
        <v>0</v>
      </c>
      <c r="AU151" s="10">
        <v>0</v>
      </c>
      <c r="AV151" s="10">
        <v>0</v>
      </c>
      <c r="AW151" s="10">
        <v>0</v>
      </c>
      <c r="AX151" s="10">
        <v>0</v>
      </c>
      <c r="AY151" s="10">
        <v>0</v>
      </c>
      <c r="AZ151" s="10">
        <v>0</v>
      </c>
      <c r="BA151" s="10">
        <v>0</v>
      </c>
      <c r="BB151" s="10">
        <v>0</v>
      </c>
      <c r="BC151" s="10">
        <v>0</v>
      </c>
      <c r="BD151" s="10">
        <v>0</v>
      </c>
      <c r="BE151" s="10">
        <v>0</v>
      </c>
      <c r="BF151" s="10">
        <v>0</v>
      </c>
    </row>
    <row r="152" spans="1:58" ht="14.15" customHeight="1">
      <c r="A152" s="404">
        <f t="shared" si="568"/>
        <v>146</v>
      </c>
      <c r="B152" s="83" t="s">
        <v>126</v>
      </c>
      <c r="C152" s="38">
        <f t="shared" si="581"/>
        <v>4514.4000000000269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4514.4000000000233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10">
        <v>0</v>
      </c>
      <c r="AB152" s="10">
        <v>0</v>
      </c>
      <c r="AC152" s="10">
        <v>0</v>
      </c>
      <c r="AD152" s="10">
        <v>0</v>
      </c>
      <c r="AE152" s="10">
        <v>0</v>
      </c>
      <c r="AF152" s="10">
        <v>0</v>
      </c>
      <c r="AG152" s="10">
        <v>0</v>
      </c>
      <c r="AH152" s="10">
        <v>0</v>
      </c>
      <c r="AI152" s="10">
        <v>0</v>
      </c>
      <c r="AJ152" s="10">
        <v>0</v>
      </c>
      <c r="AK152" s="10">
        <v>0</v>
      </c>
      <c r="AL152" s="10">
        <v>0</v>
      </c>
      <c r="AM152" s="10">
        <v>0</v>
      </c>
      <c r="AN152" s="10">
        <v>0</v>
      </c>
      <c r="AO152" s="10">
        <v>0</v>
      </c>
      <c r="AP152" s="10">
        <v>0</v>
      </c>
      <c r="AQ152" s="10">
        <v>0</v>
      </c>
      <c r="AR152" s="10">
        <v>0</v>
      </c>
      <c r="AS152" s="10">
        <v>0</v>
      </c>
      <c r="AT152" s="10">
        <v>0</v>
      </c>
      <c r="AU152" s="10">
        <v>0</v>
      </c>
      <c r="AV152" s="10">
        <v>0</v>
      </c>
      <c r="AW152" s="10">
        <f>31115.66</f>
        <v>31115.66</v>
      </c>
      <c r="AX152" s="10">
        <v>-31115.66</v>
      </c>
      <c r="AY152" s="10">
        <v>0</v>
      </c>
      <c r="AZ152" s="10">
        <v>0</v>
      </c>
      <c r="BA152" s="10">
        <v>0</v>
      </c>
      <c r="BB152" s="10">
        <v>0</v>
      </c>
      <c r="BC152" s="10">
        <v>0</v>
      </c>
      <c r="BD152" s="10">
        <v>0</v>
      </c>
      <c r="BE152" s="10">
        <v>0</v>
      </c>
      <c r="BF152" s="10">
        <v>0</v>
      </c>
    </row>
    <row r="153" spans="1:58" ht="14.15" customHeight="1">
      <c r="A153" s="404">
        <f t="shared" si="568"/>
        <v>147</v>
      </c>
      <c r="B153" s="83" t="s">
        <v>127</v>
      </c>
      <c r="C153" s="38">
        <f t="shared" si="581"/>
        <v>44424.689999999944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44424.689999999944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0</v>
      </c>
      <c r="AD153" s="10">
        <v>0</v>
      </c>
      <c r="AE153" s="10">
        <v>0</v>
      </c>
      <c r="AF153" s="10">
        <v>0</v>
      </c>
      <c r="AG153" s="10">
        <v>0</v>
      </c>
      <c r="AH153" s="10">
        <v>0</v>
      </c>
      <c r="AI153" s="10">
        <v>0</v>
      </c>
      <c r="AJ153" s="10">
        <v>0</v>
      </c>
      <c r="AK153" s="10">
        <v>0</v>
      </c>
      <c r="AL153" s="10">
        <v>0</v>
      </c>
      <c r="AM153" s="10">
        <v>0</v>
      </c>
      <c r="AN153" s="10">
        <v>0</v>
      </c>
      <c r="AO153" s="10">
        <v>0</v>
      </c>
      <c r="AP153" s="10">
        <v>0</v>
      </c>
      <c r="AQ153" s="10">
        <v>0</v>
      </c>
      <c r="AR153" s="10">
        <v>0</v>
      </c>
      <c r="AS153" s="10">
        <v>0</v>
      </c>
      <c r="AT153" s="10">
        <v>0</v>
      </c>
      <c r="AU153" s="10">
        <v>0</v>
      </c>
      <c r="AV153" s="10">
        <v>0</v>
      </c>
      <c r="AW153" s="10">
        <v>0</v>
      </c>
      <c r="AX153" s="10">
        <v>0</v>
      </c>
      <c r="AY153" s="10">
        <v>0</v>
      </c>
      <c r="AZ153" s="10">
        <v>0</v>
      </c>
      <c r="BA153" s="10">
        <v>0</v>
      </c>
      <c r="BB153" s="10">
        <v>0</v>
      </c>
      <c r="BC153" s="10">
        <v>0</v>
      </c>
      <c r="BD153" s="10">
        <v>0</v>
      </c>
      <c r="BE153" s="10">
        <v>0</v>
      </c>
      <c r="BF153" s="10">
        <v>0</v>
      </c>
    </row>
    <row r="154" spans="1:58" ht="14.15" customHeight="1">
      <c r="A154" s="404">
        <f t="shared" si="568"/>
        <v>148</v>
      </c>
      <c r="B154" s="83" t="s">
        <v>128</v>
      </c>
      <c r="C154" s="38">
        <f t="shared" si="581"/>
        <v>2015523.75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2015523.75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>
        <v>0</v>
      </c>
      <c r="AM154" s="10">
        <v>0</v>
      </c>
      <c r="AN154" s="10">
        <v>0</v>
      </c>
      <c r="AO154" s="10">
        <v>0</v>
      </c>
      <c r="AP154" s="10">
        <v>0</v>
      </c>
      <c r="AQ154" s="10">
        <v>0</v>
      </c>
      <c r="AR154" s="10">
        <v>0</v>
      </c>
      <c r="AS154" s="10">
        <v>0</v>
      </c>
      <c r="AT154" s="10">
        <v>0</v>
      </c>
      <c r="AU154" s="10">
        <v>0</v>
      </c>
      <c r="AV154" s="10">
        <v>0</v>
      </c>
      <c r="AW154" s="10">
        <f>65113</f>
        <v>65113</v>
      </c>
      <c r="AX154" s="10">
        <v>-65113</v>
      </c>
      <c r="AY154" s="10">
        <v>0</v>
      </c>
      <c r="AZ154" s="10">
        <v>0</v>
      </c>
      <c r="BA154" s="10">
        <v>0</v>
      </c>
      <c r="BB154" s="10">
        <v>0</v>
      </c>
      <c r="BC154" s="10">
        <v>0</v>
      </c>
      <c r="BD154" s="10">
        <v>0</v>
      </c>
      <c r="BE154" s="10">
        <v>0</v>
      </c>
      <c r="BF154" s="10">
        <v>0</v>
      </c>
    </row>
    <row r="155" spans="1:58" ht="14.15" customHeight="1">
      <c r="A155" s="404">
        <f t="shared" si="568"/>
        <v>149</v>
      </c>
      <c r="B155" s="83" t="s">
        <v>129</v>
      </c>
      <c r="C155" s="38">
        <f t="shared" si="581"/>
        <v>43080.739999999758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43080.739999999758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0">
        <v>0</v>
      </c>
      <c r="AE155" s="10">
        <v>0</v>
      </c>
      <c r="AF155" s="10">
        <v>0</v>
      </c>
      <c r="AG155" s="10">
        <v>0</v>
      </c>
      <c r="AH155" s="10">
        <v>0</v>
      </c>
      <c r="AI155" s="10">
        <v>0</v>
      </c>
      <c r="AJ155" s="10">
        <v>0</v>
      </c>
      <c r="AK155" s="10">
        <v>0</v>
      </c>
      <c r="AL155" s="10">
        <v>0</v>
      </c>
      <c r="AM155" s="10">
        <v>0</v>
      </c>
      <c r="AN155" s="10">
        <v>0</v>
      </c>
      <c r="AO155" s="10">
        <v>0</v>
      </c>
      <c r="AP155" s="10">
        <v>0</v>
      </c>
      <c r="AQ155" s="10">
        <v>0</v>
      </c>
      <c r="AR155" s="10">
        <v>0</v>
      </c>
      <c r="AS155" s="10">
        <v>0</v>
      </c>
      <c r="AT155" s="10">
        <v>0</v>
      </c>
      <c r="AU155" s="10">
        <v>0</v>
      </c>
      <c r="AV155" s="10">
        <v>0</v>
      </c>
      <c r="AW155" s="10">
        <f>13849.56</f>
        <v>13849.56</v>
      </c>
      <c r="AX155" s="10">
        <v>-13849.56</v>
      </c>
      <c r="AY155" s="10">
        <v>0</v>
      </c>
      <c r="AZ155" s="10">
        <v>0</v>
      </c>
      <c r="BA155" s="10">
        <v>0</v>
      </c>
      <c r="BB155" s="10">
        <v>0</v>
      </c>
      <c r="BC155" s="10">
        <v>0</v>
      </c>
      <c r="BD155" s="10">
        <v>0</v>
      </c>
      <c r="BE155" s="10">
        <v>0</v>
      </c>
      <c r="BF155" s="10">
        <v>0</v>
      </c>
    </row>
    <row r="156" spans="1:58" ht="14.15" customHeight="1">
      <c r="A156" s="404">
        <f t="shared" si="568"/>
        <v>150</v>
      </c>
      <c r="B156" s="83" t="s">
        <v>130</v>
      </c>
      <c r="C156" s="38">
        <f t="shared" si="581"/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0">
        <v>0</v>
      </c>
      <c r="AC156" s="10">
        <v>0</v>
      </c>
      <c r="AD156" s="10">
        <v>0</v>
      </c>
      <c r="AE156" s="10">
        <v>0</v>
      </c>
      <c r="AF156" s="10">
        <v>0</v>
      </c>
      <c r="AG156" s="10">
        <v>0</v>
      </c>
      <c r="AH156" s="10">
        <v>0</v>
      </c>
      <c r="AI156" s="10">
        <v>0</v>
      </c>
      <c r="AJ156" s="10">
        <v>0</v>
      </c>
      <c r="AK156" s="10">
        <v>0</v>
      </c>
      <c r="AL156" s="10">
        <v>0</v>
      </c>
      <c r="AM156" s="10">
        <v>0</v>
      </c>
      <c r="AN156" s="10">
        <v>0</v>
      </c>
      <c r="AO156" s="10">
        <v>0</v>
      </c>
      <c r="AP156" s="10">
        <v>0</v>
      </c>
      <c r="AQ156" s="10">
        <v>0</v>
      </c>
      <c r="AR156" s="10">
        <v>0</v>
      </c>
      <c r="AS156" s="10">
        <v>0</v>
      </c>
      <c r="AT156" s="10">
        <v>0</v>
      </c>
      <c r="AU156" s="10">
        <v>0</v>
      </c>
      <c r="AV156" s="10">
        <v>0</v>
      </c>
      <c r="AW156" s="10">
        <v>0</v>
      </c>
      <c r="AX156" s="10">
        <v>0</v>
      </c>
      <c r="AY156" s="10">
        <v>0</v>
      </c>
      <c r="AZ156" s="10">
        <v>0</v>
      </c>
      <c r="BA156" s="10">
        <v>0</v>
      </c>
      <c r="BB156" s="10">
        <v>0</v>
      </c>
      <c r="BC156" s="10">
        <v>0</v>
      </c>
      <c r="BD156" s="10">
        <v>0</v>
      </c>
      <c r="BE156" s="10">
        <v>0</v>
      </c>
      <c r="BF156" s="10">
        <v>0</v>
      </c>
    </row>
    <row r="157" spans="1:58" ht="14.15" customHeight="1">
      <c r="A157" s="404">
        <f t="shared" si="568"/>
        <v>151</v>
      </c>
      <c r="B157" s="56" t="s">
        <v>131</v>
      </c>
      <c r="C157" s="38">
        <f t="shared" si="581"/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0</v>
      </c>
      <c r="AE157" s="10">
        <v>0</v>
      </c>
      <c r="AF157" s="10">
        <v>0</v>
      </c>
      <c r="AG157" s="10">
        <v>0</v>
      </c>
      <c r="AH157" s="10">
        <v>0</v>
      </c>
      <c r="AI157" s="10">
        <v>0</v>
      </c>
      <c r="AJ157" s="10">
        <v>0</v>
      </c>
      <c r="AK157" s="10">
        <v>0</v>
      </c>
      <c r="AL157" s="10">
        <v>0</v>
      </c>
      <c r="AM157" s="10">
        <v>0</v>
      </c>
      <c r="AN157" s="10">
        <v>0</v>
      </c>
      <c r="AO157" s="10">
        <v>0</v>
      </c>
      <c r="AP157" s="10">
        <v>0</v>
      </c>
      <c r="AQ157" s="10">
        <v>0</v>
      </c>
      <c r="AR157" s="10">
        <v>0</v>
      </c>
      <c r="AS157" s="10">
        <v>0</v>
      </c>
      <c r="AT157" s="10">
        <v>0</v>
      </c>
      <c r="AU157" s="10">
        <v>0</v>
      </c>
      <c r="AV157" s="10">
        <v>0</v>
      </c>
      <c r="AW157" s="10">
        <v>0</v>
      </c>
      <c r="AX157" s="10">
        <v>0</v>
      </c>
      <c r="AY157" s="10">
        <v>0</v>
      </c>
      <c r="AZ157" s="10">
        <v>0</v>
      </c>
      <c r="BA157" s="10">
        <v>0</v>
      </c>
      <c r="BB157" s="10">
        <v>0</v>
      </c>
      <c r="BC157" s="10">
        <v>0</v>
      </c>
      <c r="BD157" s="10">
        <v>0</v>
      </c>
      <c r="BE157" s="10">
        <v>0</v>
      </c>
      <c r="BF157" s="10">
        <v>0</v>
      </c>
    </row>
    <row r="158" spans="1:58" ht="14.15" customHeight="1">
      <c r="A158" s="404">
        <f t="shared" si="568"/>
        <v>152</v>
      </c>
      <c r="B158" s="85" t="s">
        <v>472</v>
      </c>
      <c r="C158" s="80">
        <f t="shared" ref="C158:V158" si="582">SUM(C146:C157)</f>
        <v>3432635.0700000017</v>
      </c>
      <c r="D158" s="80">
        <f t="shared" ref="D158:I158" si="583">SUM(D146:D157)</f>
        <v>0</v>
      </c>
      <c r="E158" s="80">
        <f t="shared" si="583"/>
        <v>0</v>
      </c>
      <c r="F158" s="80">
        <f t="shared" si="583"/>
        <v>0</v>
      </c>
      <c r="G158" s="80">
        <f t="shared" si="583"/>
        <v>0</v>
      </c>
      <c r="H158" s="80">
        <f t="shared" si="583"/>
        <v>0</v>
      </c>
      <c r="I158" s="80">
        <f t="shared" si="583"/>
        <v>0</v>
      </c>
      <c r="J158" s="80">
        <f t="shared" si="582"/>
        <v>0</v>
      </c>
      <c r="K158" s="80">
        <f t="shared" ref="K158:U158" si="584">SUM(K146:K157)</f>
        <v>0</v>
      </c>
      <c r="L158" s="80">
        <f t="shared" si="584"/>
        <v>0</v>
      </c>
      <c r="M158" s="80">
        <f t="shared" si="584"/>
        <v>0</v>
      </c>
      <c r="N158" s="80">
        <f t="shared" si="584"/>
        <v>0</v>
      </c>
      <c r="O158" s="80">
        <f t="shared" si="584"/>
        <v>0</v>
      </c>
      <c r="P158" s="80">
        <f t="shared" si="584"/>
        <v>0</v>
      </c>
      <c r="Q158" s="80">
        <f t="shared" si="584"/>
        <v>0</v>
      </c>
      <c r="R158" s="80">
        <f t="shared" si="584"/>
        <v>0</v>
      </c>
      <c r="S158" s="80">
        <f t="shared" si="584"/>
        <v>0</v>
      </c>
      <c r="T158" s="80">
        <f t="shared" si="584"/>
        <v>0</v>
      </c>
      <c r="U158" s="80">
        <f t="shared" si="584"/>
        <v>3432635.0700000012</v>
      </c>
      <c r="V158" s="80">
        <f t="shared" si="582"/>
        <v>0</v>
      </c>
      <c r="W158" s="80">
        <f>SUM(W146:W157)</f>
        <v>0</v>
      </c>
      <c r="X158" s="80">
        <f t="shared" ref="X158:AD158" si="585">SUM(X146:X157)</f>
        <v>0</v>
      </c>
      <c r="Y158" s="80">
        <f>SUM(Y146:Y157)</f>
        <v>0</v>
      </c>
      <c r="Z158" s="80">
        <f t="shared" si="585"/>
        <v>0</v>
      </c>
      <c r="AA158" s="80">
        <f t="shared" si="585"/>
        <v>0</v>
      </c>
      <c r="AB158" s="80">
        <f t="shared" si="585"/>
        <v>0</v>
      </c>
      <c r="AC158" s="80">
        <f t="shared" si="585"/>
        <v>0</v>
      </c>
      <c r="AD158" s="80">
        <f t="shared" si="585"/>
        <v>0</v>
      </c>
      <c r="AE158" s="80">
        <f>SUM(AE146:AE157)</f>
        <v>0</v>
      </c>
      <c r="AF158" s="80">
        <f>SUM(AF146:AF157)</f>
        <v>0</v>
      </c>
      <c r="AG158" s="80">
        <f>SUM(AG146:AG157)</f>
        <v>0</v>
      </c>
      <c r="AH158" s="80">
        <f t="shared" ref="AH158" si="586">SUM(AH146:AH157)</f>
        <v>0</v>
      </c>
      <c r="AI158" s="80">
        <f t="shared" ref="AI158:AL158" si="587">SUM(AI146:AI157)</f>
        <v>0</v>
      </c>
      <c r="AJ158" s="80">
        <f t="shared" si="587"/>
        <v>0</v>
      </c>
      <c r="AK158" s="80">
        <f t="shared" si="587"/>
        <v>0</v>
      </c>
      <c r="AL158" s="80">
        <f t="shared" si="587"/>
        <v>0</v>
      </c>
      <c r="AM158" s="80">
        <f>SUM(AM146:AM157)</f>
        <v>0</v>
      </c>
      <c r="AN158" s="80">
        <f>SUM(AN146:AN157)</f>
        <v>0</v>
      </c>
      <c r="AO158" s="80">
        <f>SUM(AO146:AO157)</f>
        <v>0</v>
      </c>
      <c r="AP158" s="80">
        <f>SUM(AP146:AP157)</f>
        <v>0</v>
      </c>
      <c r="AQ158" s="80">
        <f>SUM(AQ146:AQ157)</f>
        <v>0</v>
      </c>
      <c r="AR158" s="80">
        <f t="shared" ref="AR158" si="588">SUM(AR146:AR157)</f>
        <v>0</v>
      </c>
      <c r="AS158" s="80">
        <f>SUM(AS146:AS157)</f>
        <v>0</v>
      </c>
      <c r="AT158" s="80">
        <f t="shared" ref="AT158" si="589">SUM(AT146:AT157)</f>
        <v>0</v>
      </c>
      <c r="AU158" s="80">
        <f t="shared" ref="AU158" si="590">SUM(AU146:AU157)</f>
        <v>0</v>
      </c>
      <c r="AV158" s="80">
        <f t="shared" ref="AV158" si="591">SUM(AV146:AV157)</f>
        <v>0</v>
      </c>
      <c r="AW158" s="80">
        <f>SUM(AW146:AW157)</f>
        <v>131888.42000000001</v>
      </c>
      <c r="AX158" s="80">
        <f t="shared" ref="AX158" si="592">SUM(AX146:AX157)</f>
        <v>-131888.42000000001</v>
      </c>
      <c r="AY158" s="80">
        <f t="shared" ref="AY158:BF158" si="593">SUM(AY146:AY157)</f>
        <v>0</v>
      </c>
      <c r="AZ158" s="80">
        <f t="shared" si="593"/>
        <v>0</v>
      </c>
      <c r="BA158" s="80">
        <f t="shared" si="593"/>
        <v>0</v>
      </c>
      <c r="BB158" s="80">
        <f t="shared" si="593"/>
        <v>0</v>
      </c>
      <c r="BC158" s="80">
        <f t="shared" si="593"/>
        <v>0</v>
      </c>
      <c r="BD158" s="80">
        <f t="shared" si="593"/>
        <v>0</v>
      </c>
      <c r="BE158" s="80">
        <f t="shared" si="593"/>
        <v>0</v>
      </c>
      <c r="BF158" s="80">
        <f t="shared" si="593"/>
        <v>0</v>
      </c>
    </row>
    <row r="159" spans="1:58" ht="14.15" customHeight="1">
      <c r="A159" s="404">
        <f t="shared" si="568"/>
        <v>153</v>
      </c>
      <c r="B159" s="85"/>
      <c r="C159" s="85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</row>
    <row r="160" spans="1:58" s="18" customFormat="1" ht="14.15" customHeight="1">
      <c r="A160" s="404">
        <f t="shared" si="568"/>
        <v>154</v>
      </c>
      <c r="B160" s="85" t="s">
        <v>145</v>
      </c>
      <c r="C160" s="85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</row>
    <row r="161" spans="1:58" s="18" customFormat="1" ht="14.15" customHeight="1">
      <c r="A161" s="404">
        <f t="shared" si="568"/>
        <v>155</v>
      </c>
      <c r="B161" s="25" t="s">
        <v>146</v>
      </c>
      <c r="C161" s="38">
        <f>SUM(D161:BF161)</f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0">
        <v>0</v>
      </c>
      <c r="AE161" s="10">
        <v>0</v>
      </c>
      <c r="AF161" s="10">
        <v>0</v>
      </c>
      <c r="AG161" s="10">
        <v>0</v>
      </c>
      <c r="AH161" s="10">
        <v>0</v>
      </c>
      <c r="AI161" s="10">
        <v>0</v>
      </c>
      <c r="AJ161" s="10">
        <v>0</v>
      </c>
      <c r="AK161" s="10">
        <v>0</v>
      </c>
      <c r="AL161" s="10">
        <v>0</v>
      </c>
      <c r="AM161" s="10">
        <v>0</v>
      </c>
      <c r="AN161" s="10">
        <v>0</v>
      </c>
      <c r="AO161" s="10">
        <v>0</v>
      </c>
      <c r="AP161" s="10">
        <v>0</v>
      </c>
      <c r="AQ161" s="10">
        <v>0</v>
      </c>
      <c r="AR161" s="10">
        <v>0</v>
      </c>
      <c r="AS161" s="10">
        <v>0</v>
      </c>
      <c r="AT161" s="10">
        <v>0</v>
      </c>
      <c r="AU161" s="10">
        <v>0</v>
      </c>
      <c r="AV161" s="10">
        <v>0</v>
      </c>
      <c r="AW161" s="10">
        <v>0</v>
      </c>
      <c r="AX161" s="10">
        <v>0</v>
      </c>
      <c r="AY161" s="10">
        <v>0</v>
      </c>
      <c r="AZ161" s="10">
        <v>0</v>
      </c>
      <c r="BA161" s="10">
        <v>0</v>
      </c>
      <c r="BB161" s="10">
        <v>0</v>
      </c>
      <c r="BC161" s="10">
        <v>0</v>
      </c>
      <c r="BD161" s="10">
        <v>0</v>
      </c>
      <c r="BE161" s="10">
        <v>0</v>
      </c>
      <c r="BF161" s="10">
        <v>0</v>
      </c>
    </row>
    <row r="162" spans="1:58" s="18" customFormat="1" ht="14.15" customHeight="1">
      <c r="A162" s="404">
        <f t="shared" si="568"/>
        <v>156</v>
      </c>
      <c r="B162" s="25" t="s">
        <v>147</v>
      </c>
      <c r="C162" s="38">
        <f>SUM(D162:BF162)</f>
        <v>560833.06000000983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560833.06000000983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0">
        <v>0</v>
      </c>
      <c r="AN162" s="10">
        <v>0</v>
      </c>
      <c r="AO162" s="10">
        <v>0</v>
      </c>
      <c r="AP162" s="10">
        <v>0</v>
      </c>
      <c r="AQ162" s="10">
        <v>0</v>
      </c>
      <c r="AR162" s="10">
        <v>0</v>
      </c>
      <c r="AS162" s="10">
        <v>0</v>
      </c>
      <c r="AT162" s="10">
        <v>0</v>
      </c>
      <c r="AU162" s="10">
        <v>0</v>
      </c>
      <c r="AV162" s="10">
        <v>0</v>
      </c>
      <c r="AW162" s="10">
        <f>14966968.5+11466156.84</f>
        <v>26433125.34</v>
      </c>
      <c r="AX162" s="10">
        <f>-14966968.5-11466156.84</f>
        <v>-26433125.34</v>
      </c>
      <c r="AY162" s="10">
        <v>0</v>
      </c>
      <c r="AZ162" s="10">
        <v>0</v>
      </c>
      <c r="BA162" s="10">
        <v>0</v>
      </c>
      <c r="BB162" s="10">
        <v>0</v>
      </c>
      <c r="BC162" s="10">
        <v>0</v>
      </c>
      <c r="BD162" s="10">
        <v>0</v>
      </c>
      <c r="BE162" s="10">
        <v>0</v>
      </c>
      <c r="BF162" s="10">
        <v>0</v>
      </c>
    </row>
    <row r="163" spans="1:58" s="18" customFormat="1" ht="14.15" customHeight="1">
      <c r="A163" s="404">
        <f t="shared" si="568"/>
        <v>157</v>
      </c>
      <c r="B163" s="25" t="s">
        <v>135</v>
      </c>
      <c r="C163" s="38">
        <f>SUM(D163:BF163)</f>
        <v>2514934.5300000608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2514934.5300000608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0</v>
      </c>
      <c r="AE163" s="10">
        <v>0</v>
      </c>
      <c r="AF163" s="10">
        <v>0</v>
      </c>
      <c r="AG163" s="10">
        <v>0</v>
      </c>
      <c r="AH163" s="10">
        <v>0</v>
      </c>
      <c r="AI163" s="10">
        <v>0</v>
      </c>
      <c r="AJ163" s="10">
        <v>0</v>
      </c>
      <c r="AK163" s="10">
        <v>0</v>
      </c>
      <c r="AL163" s="10">
        <v>0</v>
      </c>
      <c r="AM163" s="10">
        <v>0</v>
      </c>
      <c r="AN163" s="10">
        <v>0</v>
      </c>
      <c r="AO163" s="10">
        <v>0</v>
      </c>
      <c r="AP163" s="10">
        <v>0</v>
      </c>
      <c r="AQ163" s="10">
        <v>0</v>
      </c>
      <c r="AR163" s="10">
        <v>0</v>
      </c>
      <c r="AS163" s="10">
        <v>0</v>
      </c>
      <c r="AT163" s="10">
        <v>0</v>
      </c>
      <c r="AU163" s="10">
        <v>0</v>
      </c>
      <c r="AV163" s="10">
        <v>0</v>
      </c>
      <c r="AW163" s="10">
        <v>0</v>
      </c>
      <c r="AX163" s="10">
        <v>0</v>
      </c>
      <c r="AY163" s="10">
        <v>0</v>
      </c>
      <c r="AZ163" s="10">
        <v>0</v>
      </c>
      <c r="BA163" s="10">
        <v>0</v>
      </c>
      <c r="BB163" s="10">
        <v>0</v>
      </c>
      <c r="BC163" s="10">
        <v>0</v>
      </c>
      <c r="BD163" s="10">
        <v>0</v>
      </c>
      <c r="BE163" s="10">
        <v>0</v>
      </c>
      <c r="BF163" s="10">
        <v>0</v>
      </c>
    </row>
    <row r="164" spans="1:58" s="18" customFormat="1" ht="14.15" customHeight="1">
      <c r="A164" s="404">
        <f t="shared" si="568"/>
        <v>158</v>
      </c>
      <c r="B164" s="25" t="s">
        <v>148</v>
      </c>
      <c r="C164" s="38">
        <f>SUM(D164:BF164)</f>
        <v>0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10">
        <v>0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0">
        <v>0</v>
      </c>
      <c r="AM164" s="10">
        <v>0</v>
      </c>
      <c r="AN164" s="10">
        <v>0</v>
      </c>
      <c r="AO164" s="10">
        <v>0</v>
      </c>
      <c r="AP164" s="10">
        <v>0</v>
      </c>
      <c r="AQ164" s="10">
        <v>0</v>
      </c>
      <c r="AR164" s="10">
        <v>0</v>
      </c>
      <c r="AS164" s="10">
        <v>0</v>
      </c>
      <c r="AT164" s="10">
        <v>0</v>
      </c>
      <c r="AU164" s="10">
        <v>0</v>
      </c>
      <c r="AV164" s="10">
        <v>0</v>
      </c>
      <c r="AW164" s="10">
        <v>0</v>
      </c>
      <c r="AX164" s="10">
        <v>0</v>
      </c>
      <c r="AY164" s="10">
        <v>0</v>
      </c>
      <c r="AZ164" s="10">
        <v>0</v>
      </c>
      <c r="BA164" s="10">
        <v>0</v>
      </c>
      <c r="BB164" s="10">
        <v>0</v>
      </c>
      <c r="BC164" s="10">
        <v>0</v>
      </c>
      <c r="BD164" s="10">
        <v>0</v>
      </c>
      <c r="BE164" s="10">
        <v>0</v>
      </c>
      <c r="BF164" s="10">
        <v>0</v>
      </c>
    </row>
    <row r="165" spans="1:58" ht="14.15" customHeight="1">
      <c r="A165" s="404">
        <f t="shared" si="568"/>
        <v>159</v>
      </c>
      <c r="B165" s="52" t="s">
        <v>149</v>
      </c>
      <c r="C165" s="38">
        <f>SUM(D165:BF165)</f>
        <v>43156.970000000205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43156.970000000205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0">
        <v>0</v>
      </c>
      <c r="AE165" s="10">
        <v>0</v>
      </c>
      <c r="AF165" s="10">
        <v>0</v>
      </c>
      <c r="AG165" s="10">
        <v>0</v>
      </c>
      <c r="AH165" s="10">
        <v>0</v>
      </c>
      <c r="AI165" s="10">
        <v>0</v>
      </c>
      <c r="AJ165" s="10">
        <v>0</v>
      </c>
      <c r="AK165" s="10">
        <v>0</v>
      </c>
      <c r="AL165" s="10">
        <v>0</v>
      </c>
      <c r="AM165" s="10">
        <v>0</v>
      </c>
      <c r="AN165" s="10">
        <v>0</v>
      </c>
      <c r="AO165" s="10">
        <v>0</v>
      </c>
      <c r="AP165" s="10">
        <v>0</v>
      </c>
      <c r="AQ165" s="10">
        <v>0</v>
      </c>
      <c r="AR165" s="10">
        <v>0</v>
      </c>
      <c r="AS165" s="10">
        <v>0</v>
      </c>
      <c r="AT165" s="10">
        <v>0</v>
      </c>
      <c r="AU165" s="10">
        <v>0</v>
      </c>
      <c r="AV165" s="10">
        <v>0</v>
      </c>
      <c r="AW165" s="10">
        <v>0</v>
      </c>
      <c r="AX165" s="10">
        <v>0</v>
      </c>
      <c r="AY165" s="10">
        <v>0</v>
      </c>
      <c r="AZ165" s="10">
        <v>0</v>
      </c>
      <c r="BA165" s="10">
        <v>0</v>
      </c>
      <c r="BB165" s="10">
        <v>0</v>
      </c>
      <c r="BC165" s="10">
        <v>0</v>
      </c>
      <c r="BD165" s="10">
        <v>0</v>
      </c>
      <c r="BE165" s="10">
        <v>0</v>
      </c>
      <c r="BF165" s="10">
        <v>0</v>
      </c>
    </row>
    <row r="166" spans="1:58" ht="14.15" customHeight="1">
      <c r="A166" s="404">
        <f t="shared" si="568"/>
        <v>160</v>
      </c>
      <c r="B166" s="85" t="s">
        <v>477</v>
      </c>
      <c r="C166" s="80">
        <f t="shared" ref="C166:V166" si="594">SUM(C161:C165)</f>
        <v>3118924.5600000708</v>
      </c>
      <c r="D166" s="80">
        <f t="shared" ref="D166:I166" si="595">SUM(D161:D165)</f>
        <v>0</v>
      </c>
      <c r="E166" s="80">
        <f t="shared" si="595"/>
        <v>0</v>
      </c>
      <c r="F166" s="80">
        <f t="shared" si="595"/>
        <v>0</v>
      </c>
      <c r="G166" s="80">
        <f t="shared" si="595"/>
        <v>0</v>
      </c>
      <c r="H166" s="80">
        <f t="shared" si="595"/>
        <v>0</v>
      </c>
      <c r="I166" s="80">
        <f t="shared" si="595"/>
        <v>0</v>
      </c>
      <c r="J166" s="80">
        <f t="shared" si="594"/>
        <v>0</v>
      </c>
      <c r="K166" s="80">
        <f t="shared" ref="K166:U166" si="596">SUM(K161:K165)</f>
        <v>0</v>
      </c>
      <c r="L166" s="80">
        <f t="shared" si="596"/>
        <v>0</v>
      </c>
      <c r="M166" s="80">
        <f t="shared" si="596"/>
        <v>0</v>
      </c>
      <c r="N166" s="80">
        <f t="shared" si="596"/>
        <v>0</v>
      </c>
      <c r="O166" s="80">
        <f t="shared" si="596"/>
        <v>0</v>
      </c>
      <c r="P166" s="80">
        <f t="shared" si="596"/>
        <v>0</v>
      </c>
      <c r="Q166" s="80">
        <f t="shared" si="596"/>
        <v>0</v>
      </c>
      <c r="R166" s="80">
        <f t="shared" si="596"/>
        <v>0</v>
      </c>
      <c r="S166" s="80">
        <f t="shared" si="596"/>
        <v>0</v>
      </c>
      <c r="T166" s="80">
        <f t="shared" si="596"/>
        <v>0</v>
      </c>
      <c r="U166" s="80">
        <f t="shared" si="596"/>
        <v>3118924.5600000708</v>
      </c>
      <c r="V166" s="80">
        <f t="shared" si="594"/>
        <v>0</v>
      </c>
      <c r="W166" s="80">
        <f>SUM(W161:W165)</f>
        <v>0</v>
      </c>
      <c r="X166" s="80">
        <f t="shared" ref="X166:AD166" si="597">SUM(X161:X165)</f>
        <v>0</v>
      </c>
      <c r="Y166" s="80">
        <f>SUM(Y161:Y165)</f>
        <v>0</v>
      </c>
      <c r="Z166" s="80">
        <f t="shared" si="597"/>
        <v>0</v>
      </c>
      <c r="AA166" s="80">
        <f t="shared" si="597"/>
        <v>0</v>
      </c>
      <c r="AB166" s="80">
        <f t="shared" si="597"/>
        <v>0</v>
      </c>
      <c r="AC166" s="80">
        <f t="shared" si="597"/>
        <v>0</v>
      </c>
      <c r="AD166" s="80">
        <f t="shared" si="597"/>
        <v>0</v>
      </c>
      <c r="AE166" s="80">
        <f>SUM(AE161:AE165)</f>
        <v>0</v>
      </c>
      <c r="AF166" s="80">
        <f>SUM(AF161:AF165)</f>
        <v>0</v>
      </c>
      <c r="AG166" s="80">
        <f>SUM(AG161:AG165)</f>
        <v>0</v>
      </c>
      <c r="AH166" s="80">
        <f t="shared" ref="AH166" si="598">SUM(AH161:AH165)</f>
        <v>0</v>
      </c>
      <c r="AI166" s="80">
        <f t="shared" ref="AI166:AL166" si="599">SUM(AI161:AI165)</f>
        <v>0</v>
      </c>
      <c r="AJ166" s="80">
        <f t="shared" si="599"/>
        <v>0</v>
      </c>
      <c r="AK166" s="80">
        <f t="shared" si="599"/>
        <v>0</v>
      </c>
      <c r="AL166" s="80">
        <f t="shared" si="599"/>
        <v>0</v>
      </c>
      <c r="AM166" s="80">
        <f>SUM(AM161:AM165)</f>
        <v>0</v>
      </c>
      <c r="AN166" s="80">
        <f>SUM(AN161:AN165)</f>
        <v>0</v>
      </c>
      <c r="AO166" s="80">
        <f>SUM(AO161:AO165)</f>
        <v>0</v>
      </c>
      <c r="AP166" s="80">
        <f>SUM(AP161:AP165)</f>
        <v>0</v>
      </c>
      <c r="AQ166" s="80">
        <f>SUM(AQ161:AQ165)</f>
        <v>0</v>
      </c>
      <c r="AR166" s="80">
        <f t="shared" ref="AR166" si="600">SUM(AR161:AR165)</f>
        <v>0</v>
      </c>
      <c r="AS166" s="80">
        <f>SUM(AS161:AS165)</f>
        <v>0</v>
      </c>
      <c r="AT166" s="80">
        <f t="shared" ref="AT166" si="601">SUM(AT161:AT165)</f>
        <v>0</v>
      </c>
      <c r="AU166" s="80">
        <f t="shared" ref="AU166" si="602">SUM(AU161:AU165)</f>
        <v>0</v>
      </c>
      <c r="AV166" s="80">
        <f t="shared" ref="AV166" si="603">SUM(AV161:AV165)</f>
        <v>0</v>
      </c>
      <c r="AW166" s="80">
        <f>SUM(AW161:AW165)</f>
        <v>26433125.34</v>
      </c>
      <c r="AX166" s="80">
        <f t="shared" ref="AX166" si="604">SUM(AX161:AX165)</f>
        <v>-26433125.34</v>
      </c>
      <c r="AY166" s="80">
        <f t="shared" ref="AY166:BF166" si="605">SUM(AY161:AY165)</f>
        <v>0</v>
      </c>
      <c r="AZ166" s="80">
        <f t="shared" si="605"/>
        <v>0</v>
      </c>
      <c r="BA166" s="80">
        <f t="shared" si="605"/>
        <v>0</v>
      </c>
      <c r="BB166" s="80">
        <f t="shared" si="605"/>
        <v>0</v>
      </c>
      <c r="BC166" s="80">
        <f t="shared" si="605"/>
        <v>0</v>
      </c>
      <c r="BD166" s="80">
        <f t="shared" si="605"/>
        <v>0</v>
      </c>
      <c r="BE166" s="80">
        <f t="shared" si="605"/>
        <v>0</v>
      </c>
      <c r="BF166" s="80">
        <f t="shared" si="605"/>
        <v>0</v>
      </c>
    </row>
    <row r="167" spans="1:58" s="18" customFormat="1" ht="14.15" customHeight="1">
      <c r="A167" s="404">
        <f t="shared" si="568"/>
        <v>161</v>
      </c>
      <c r="B167" s="25"/>
      <c r="C167" s="25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</row>
    <row r="168" spans="1:58" ht="14.15" customHeight="1">
      <c r="A168" s="404">
        <f t="shared" si="568"/>
        <v>162</v>
      </c>
      <c r="B168" s="25" t="s">
        <v>328</v>
      </c>
      <c r="C168" s="38">
        <f>SUM(D168:BF168)</f>
        <v>0</v>
      </c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>
        <v>0</v>
      </c>
      <c r="T168" s="16">
        <v>0</v>
      </c>
      <c r="U168" s="16">
        <v>0</v>
      </c>
      <c r="V168" s="16">
        <v>0</v>
      </c>
      <c r="W168" s="16">
        <v>0</v>
      </c>
      <c r="X168" s="16">
        <v>0</v>
      </c>
      <c r="Y168" s="16">
        <v>0</v>
      </c>
      <c r="Z168" s="16">
        <v>0</v>
      </c>
      <c r="AA168" s="16">
        <v>0</v>
      </c>
      <c r="AB168" s="16">
        <v>0</v>
      </c>
      <c r="AC168" s="16">
        <v>0</v>
      </c>
      <c r="AD168" s="16">
        <v>0</v>
      </c>
      <c r="AE168" s="16">
        <v>0</v>
      </c>
      <c r="AF168" s="16">
        <v>0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16">
        <v>0</v>
      </c>
      <c r="AM168" s="16">
        <v>0</v>
      </c>
      <c r="AN168" s="16">
        <v>0</v>
      </c>
      <c r="AO168" s="16">
        <v>0</v>
      </c>
      <c r="AP168" s="16">
        <v>0</v>
      </c>
      <c r="AQ168" s="16">
        <v>0</v>
      </c>
      <c r="AR168" s="16">
        <v>0</v>
      </c>
      <c r="AS168" s="16">
        <v>0</v>
      </c>
      <c r="AT168" s="16">
        <v>0</v>
      </c>
      <c r="AU168" s="16">
        <v>0</v>
      </c>
      <c r="AV168" s="16">
        <v>0</v>
      </c>
      <c r="AW168" s="16">
        <v>0</v>
      </c>
      <c r="AX168" s="16">
        <v>0</v>
      </c>
      <c r="AY168" s="16">
        <v>0</v>
      </c>
      <c r="AZ168" s="16">
        <v>0</v>
      </c>
      <c r="BA168" s="16">
        <v>0</v>
      </c>
      <c r="BB168" s="16">
        <v>0</v>
      </c>
      <c r="BC168" s="16">
        <v>0</v>
      </c>
      <c r="BD168" s="16">
        <v>0</v>
      </c>
      <c r="BE168" s="16">
        <v>0</v>
      </c>
      <c r="BF168" s="16">
        <v>0</v>
      </c>
    </row>
    <row r="169" spans="1:58" ht="14.15" customHeight="1">
      <c r="A169" s="404">
        <f t="shared" si="568"/>
        <v>163</v>
      </c>
      <c r="B169" s="52" t="s">
        <v>329</v>
      </c>
      <c r="C169" s="38">
        <f>SUM(D169:BF169)</f>
        <v>0</v>
      </c>
      <c r="D169" s="145">
        <v>0</v>
      </c>
      <c r="E169" s="145">
        <v>0</v>
      </c>
      <c r="F169" s="145">
        <v>0</v>
      </c>
      <c r="G169" s="145">
        <v>0</v>
      </c>
      <c r="H169" s="145">
        <v>0</v>
      </c>
      <c r="I169" s="145">
        <v>0</v>
      </c>
      <c r="J169" s="145">
        <v>0</v>
      </c>
      <c r="K169" s="145">
        <v>0</v>
      </c>
      <c r="L169" s="145">
        <v>0</v>
      </c>
      <c r="M169" s="145">
        <v>0</v>
      </c>
      <c r="N169" s="145">
        <v>0</v>
      </c>
      <c r="O169" s="145">
        <v>0</v>
      </c>
      <c r="P169" s="145">
        <v>0</v>
      </c>
      <c r="Q169" s="145">
        <v>0</v>
      </c>
      <c r="R169" s="145">
        <v>0</v>
      </c>
      <c r="S169" s="145">
        <v>0</v>
      </c>
      <c r="T169" s="145">
        <v>0</v>
      </c>
      <c r="U169" s="145">
        <v>0</v>
      </c>
      <c r="V169" s="145">
        <v>0</v>
      </c>
      <c r="W169" s="145">
        <v>0</v>
      </c>
      <c r="X169" s="145">
        <v>0</v>
      </c>
      <c r="Y169" s="145">
        <v>0</v>
      </c>
      <c r="Z169" s="145">
        <v>0</v>
      </c>
      <c r="AA169" s="145">
        <v>0</v>
      </c>
      <c r="AB169" s="145">
        <v>0</v>
      </c>
      <c r="AC169" s="145">
        <v>0</v>
      </c>
      <c r="AD169" s="145">
        <v>0</v>
      </c>
      <c r="AE169" s="145">
        <v>0</v>
      </c>
      <c r="AF169" s="145">
        <v>0</v>
      </c>
      <c r="AG169" s="145">
        <v>0</v>
      </c>
      <c r="AH169" s="145">
        <v>0</v>
      </c>
      <c r="AI169" s="145">
        <v>0</v>
      </c>
      <c r="AJ169" s="145">
        <v>0</v>
      </c>
      <c r="AK169" s="145">
        <v>0</v>
      </c>
      <c r="AL169" s="145">
        <v>0</v>
      </c>
      <c r="AM169" s="145">
        <v>0</v>
      </c>
      <c r="AN169" s="145">
        <v>0</v>
      </c>
      <c r="AO169" s="145">
        <v>0</v>
      </c>
      <c r="AP169" s="145">
        <v>0</v>
      </c>
      <c r="AQ169" s="145">
        <v>0</v>
      </c>
      <c r="AR169" s="145">
        <v>0</v>
      </c>
      <c r="AS169" s="145">
        <v>0</v>
      </c>
      <c r="AT169" s="145">
        <v>0</v>
      </c>
      <c r="AU169" s="145">
        <v>0</v>
      </c>
      <c r="AV169" s="145">
        <v>0</v>
      </c>
      <c r="AW169" s="145">
        <v>0</v>
      </c>
      <c r="AX169" s="145">
        <v>0</v>
      </c>
      <c r="AY169" s="145">
        <v>0</v>
      </c>
      <c r="AZ169" s="145">
        <v>0</v>
      </c>
      <c r="BA169" s="145">
        <v>0</v>
      </c>
      <c r="BB169" s="145">
        <v>0</v>
      </c>
      <c r="BC169" s="145">
        <v>0</v>
      </c>
      <c r="BD169" s="145">
        <v>0</v>
      </c>
      <c r="BE169" s="145">
        <v>0</v>
      </c>
      <c r="BF169" s="145">
        <v>0</v>
      </c>
    </row>
    <row r="170" spans="1:58" ht="14.15" customHeight="1">
      <c r="A170" s="404">
        <f t="shared" si="568"/>
        <v>164</v>
      </c>
      <c r="B170" s="85" t="s">
        <v>513</v>
      </c>
      <c r="C170" s="80">
        <f t="shared" ref="C170:V170" si="606">SUM(C168:C169)</f>
        <v>0</v>
      </c>
      <c r="D170" s="80">
        <f t="shared" ref="D170:I170" si="607">SUM(D168:D169)</f>
        <v>0</v>
      </c>
      <c r="E170" s="80">
        <f t="shared" si="607"/>
        <v>0</v>
      </c>
      <c r="F170" s="80">
        <f t="shared" si="607"/>
        <v>0</v>
      </c>
      <c r="G170" s="80">
        <f t="shared" si="607"/>
        <v>0</v>
      </c>
      <c r="H170" s="80">
        <f t="shared" si="607"/>
        <v>0</v>
      </c>
      <c r="I170" s="80">
        <f t="shared" si="607"/>
        <v>0</v>
      </c>
      <c r="J170" s="80">
        <f t="shared" si="606"/>
        <v>0</v>
      </c>
      <c r="K170" s="80">
        <f t="shared" ref="K170:U170" si="608">SUM(K168:K169)</f>
        <v>0</v>
      </c>
      <c r="L170" s="80">
        <f t="shared" si="608"/>
        <v>0</v>
      </c>
      <c r="M170" s="80">
        <f t="shared" si="608"/>
        <v>0</v>
      </c>
      <c r="N170" s="80">
        <f t="shared" si="608"/>
        <v>0</v>
      </c>
      <c r="O170" s="80">
        <f t="shared" si="608"/>
        <v>0</v>
      </c>
      <c r="P170" s="80">
        <f t="shared" si="608"/>
        <v>0</v>
      </c>
      <c r="Q170" s="80">
        <f t="shared" si="608"/>
        <v>0</v>
      </c>
      <c r="R170" s="80">
        <f t="shared" si="608"/>
        <v>0</v>
      </c>
      <c r="S170" s="80">
        <f t="shared" si="608"/>
        <v>0</v>
      </c>
      <c r="T170" s="80">
        <f t="shared" si="608"/>
        <v>0</v>
      </c>
      <c r="U170" s="80">
        <f t="shared" si="608"/>
        <v>0</v>
      </c>
      <c r="V170" s="80">
        <f t="shared" si="606"/>
        <v>0</v>
      </c>
      <c r="W170" s="80">
        <f>SUM(W168:W169)</f>
        <v>0</v>
      </c>
      <c r="X170" s="80">
        <f t="shared" ref="X170:AD170" si="609">SUM(X168:X169)</f>
        <v>0</v>
      </c>
      <c r="Y170" s="80">
        <f>SUM(Y168:Y169)</f>
        <v>0</v>
      </c>
      <c r="Z170" s="80">
        <f t="shared" si="609"/>
        <v>0</v>
      </c>
      <c r="AA170" s="80">
        <f t="shared" si="609"/>
        <v>0</v>
      </c>
      <c r="AB170" s="80">
        <f t="shared" si="609"/>
        <v>0</v>
      </c>
      <c r="AC170" s="80">
        <f t="shared" si="609"/>
        <v>0</v>
      </c>
      <c r="AD170" s="80">
        <f t="shared" si="609"/>
        <v>0</v>
      </c>
      <c r="AE170" s="80">
        <f>SUM(AE168:AE169)</f>
        <v>0</v>
      </c>
      <c r="AF170" s="80">
        <f>SUM(AF168:AF169)</f>
        <v>0</v>
      </c>
      <c r="AG170" s="80">
        <f>SUM(AG168:AG169)</f>
        <v>0</v>
      </c>
      <c r="AH170" s="80">
        <f t="shared" ref="AH170" si="610">SUM(AH168:AH169)</f>
        <v>0</v>
      </c>
      <c r="AI170" s="80">
        <f t="shared" ref="AI170:AL170" si="611">SUM(AI168:AI169)</f>
        <v>0</v>
      </c>
      <c r="AJ170" s="80">
        <f t="shared" si="611"/>
        <v>0</v>
      </c>
      <c r="AK170" s="80">
        <f t="shared" si="611"/>
        <v>0</v>
      </c>
      <c r="AL170" s="80">
        <f t="shared" si="611"/>
        <v>0</v>
      </c>
      <c r="AM170" s="80">
        <f>SUM(AM168:AM169)</f>
        <v>0</v>
      </c>
      <c r="AN170" s="80">
        <f>SUM(AN168:AN169)</f>
        <v>0</v>
      </c>
      <c r="AO170" s="80">
        <f>SUM(AO168:AO169)</f>
        <v>0</v>
      </c>
      <c r="AP170" s="80">
        <f>SUM(AP168:AP169)</f>
        <v>0</v>
      </c>
      <c r="AQ170" s="80">
        <f>SUM(AQ168:AQ169)</f>
        <v>0</v>
      </c>
      <c r="AR170" s="80">
        <f t="shared" ref="AR170" si="612">SUM(AR168:AR169)</f>
        <v>0</v>
      </c>
      <c r="AS170" s="80">
        <f>SUM(AS168:AS169)</f>
        <v>0</v>
      </c>
      <c r="AT170" s="80">
        <f t="shared" ref="AT170" si="613">SUM(AT168:AT169)</f>
        <v>0</v>
      </c>
      <c r="AU170" s="80">
        <f t="shared" ref="AU170" si="614">SUM(AU168:AU169)</f>
        <v>0</v>
      </c>
      <c r="AV170" s="80">
        <f t="shared" ref="AV170" si="615">SUM(AV168:AV169)</f>
        <v>0</v>
      </c>
      <c r="AW170" s="80">
        <f>SUM(AW168:AW169)</f>
        <v>0</v>
      </c>
      <c r="AX170" s="80">
        <f t="shared" ref="AX170" si="616">SUM(AX168:AX169)</f>
        <v>0</v>
      </c>
      <c r="AY170" s="80">
        <f t="shared" ref="AY170:BF170" si="617">SUM(AY168:AY169)</f>
        <v>0</v>
      </c>
      <c r="AZ170" s="80">
        <f t="shared" si="617"/>
        <v>0</v>
      </c>
      <c r="BA170" s="80">
        <f t="shared" si="617"/>
        <v>0</v>
      </c>
      <c r="BB170" s="80">
        <f t="shared" si="617"/>
        <v>0</v>
      </c>
      <c r="BC170" s="80">
        <f t="shared" si="617"/>
        <v>0</v>
      </c>
      <c r="BD170" s="80">
        <f t="shared" si="617"/>
        <v>0</v>
      </c>
      <c r="BE170" s="80">
        <f t="shared" si="617"/>
        <v>0</v>
      </c>
      <c r="BF170" s="80">
        <f t="shared" si="617"/>
        <v>0</v>
      </c>
    </row>
    <row r="171" spans="1:58" ht="14.15" customHeight="1">
      <c r="A171" s="404">
        <f t="shared" si="568"/>
        <v>165</v>
      </c>
      <c r="B171" s="60"/>
      <c r="C171" s="145"/>
      <c r="D171" s="145"/>
      <c r="E171" s="145"/>
      <c r="F171" s="145"/>
      <c r="G171" s="145"/>
      <c r="H171" s="145"/>
      <c r="I171" s="145"/>
      <c r="J171" s="145"/>
      <c r="K171" s="145"/>
      <c r="L171" s="145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  <c r="W171" s="145"/>
      <c r="X171" s="145"/>
      <c r="Y171" s="145"/>
      <c r="Z171" s="145"/>
      <c r="AA171" s="145"/>
      <c r="AB171" s="145"/>
      <c r="AC171" s="145"/>
      <c r="AD171" s="145"/>
      <c r="AE171" s="145"/>
      <c r="AF171" s="145"/>
      <c r="AG171" s="145"/>
      <c r="AH171" s="145"/>
      <c r="AI171" s="145"/>
      <c r="AJ171" s="145"/>
      <c r="AK171" s="145"/>
      <c r="AL171" s="145"/>
      <c r="AM171" s="145"/>
      <c r="AN171" s="145"/>
      <c r="AO171" s="145"/>
      <c r="AP171" s="145"/>
      <c r="AQ171" s="145"/>
      <c r="AR171" s="145"/>
      <c r="AS171" s="145"/>
      <c r="AT171" s="145"/>
      <c r="AU171" s="145"/>
      <c r="AV171" s="145"/>
      <c r="AW171" s="145"/>
      <c r="AX171" s="145"/>
      <c r="AY171" s="145"/>
      <c r="AZ171" s="145"/>
      <c r="BA171" s="145"/>
      <c r="BB171" s="145"/>
      <c r="BC171" s="145"/>
      <c r="BD171" s="145"/>
      <c r="BE171" s="145"/>
      <c r="BF171" s="145"/>
    </row>
    <row r="172" spans="1:58" ht="14.15" customHeight="1" thickBot="1">
      <c r="A172" s="404">
        <f t="shared" si="568"/>
        <v>166</v>
      </c>
      <c r="B172" s="54" t="s">
        <v>132</v>
      </c>
      <c r="C172" s="147">
        <f t="shared" ref="C172:I172" si="618">C158+C143+C125+C110+C62+C166+C170+C106</f>
        <v>-601498841.80999994</v>
      </c>
      <c r="D172" s="147">
        <f t="shared" si="618"/>
        <v>0</v>
      </c>
      <c r="E172" s="147">
        <f t="shared" si="618"/>
        <v>0</v>
      </c>
      <c r="F172" s="147">
        <f t="shared" si="618"/>
        <v>0</v>
      </c>
      <c r="G172" s="147">
        <f t="shared" si="618"/>
        <v>0</v>
      </c>
      <c r="H172" s="147">
        <f t="shared" si="618"/>
        <v>0</v>
      </c>
      <c r="I172" s="147">
        <f t="shared" si="618"/>
        <v>0</v>
      </c>
      <c r="J172" s="147">
        <f t="shared" ref="J172:AL172" si="619">J158+J143+J125+J110+J62+J166+J170+J106</f>
        <v>0</v>
      </c>
      <c r="K172" s="147">
        <f t="shared" ref="K172:U172" si="620">K158+K143+K125+K110+K62+K166+K170+K106</f>
        <v>0</v>
      </c>
      <c r="L172" s="147">
        <f t="shared" si="620"/>
        <v>0</v>
      </c>
      <c r="M172" s="147">
        <f t="shared" si="620"/>
        <v>0</v>
      </c>
      <c r="N172" s="147">
        <f t="shared" si="620"/>
        <v>0</v>
      </c>
      <c r="O172" s="147">
        <f t="shared" si="620"/>
        <v>0</v>
      </c>
      <c r="P172" s="147">
        <f t="shared" si="620"/>
        <v>0</v>
      </c>
      <c r="Q172" s="147">
        <f t="shared" si="620"/>
        <v>0</v>
      </c>
      <c r="R172" s="147">
        <f t="shared" si="620"/>
        <v>0</v>
      </c>
      <c r="S172" s="147">
        <f t="shared" si="620"/>
        <v>0</v>
      </c>
      <c r="T172" s="147">
        <f t="shared" si="620"/>
        <v>0</v>
      </c>
      <c r="U172" s="147">
        <f t="shared" si="620"/>
        <v>36802837.620000079</v>
      </c>
      <c r="V172" s="147">
        <f t="shared" si="619"/>
        <v>0</v>
      </c>
      <c r="W172" s="147">
        <f t="shared" ref="W172:AG172" si="621">W158+W143+W125+W110+W62+W166+W170+W106</f>
        <v>0</v>
      </c>
      <c r="X172" s="147">
        <f t="shared" si="621"/>
        <v>0</v>
      </c>
      <c r="Y172" s="147">
        <f t="shared" si="621"/>
        <v>0</v>
      </c>
      <c r="Z172" s="147">
        <f t="shared" si="621"/>
        <v>0</v>
      </c>
      <c r="AA172" s="147">
        <f t="shared" si="621"/>
        <v>0</v>
      </c>
      <c r="AB172" s="147">
        <f t="shared" si="621"/>
        <v>0</v>
      </c>
      <c r="AC172" s="147">
        <f t="shared" si="621"/>
        <v>0</v>
      </c>
      <c r="AD172" s="147">
        <f t="shared" si="621"/>
        <v>0</v>
      </c>
      <c r="AE172" s="147">
        <f t="shared" si="621"/>
        <v>0</v>
      </c>
      <c r="AF172" s="147">
        <f t="shared" si="621"/>
        <v>0</v>
      </c>
      <c r="AG172" s="147">
        <f t="shared" si="621"/>
        <v>0</v>
      </c>
      <c r="AH172" s="147">
        <f t="shared" si="619"/>
        <v>0</v>
      </c>
      <c r="AI172" s="147">
        <f t="shared" si="619"/>
        <v>0</v>
      </c>
      <c r="AJ172" s="147">
        <f t="shared" si="619"/>
        <v>0</v>
      </c>
      <c r="AK172" s="147">
        <f t="shared" si="619"/>
        <v>0</v>
      </c>
      <c r="AL172" s="147">
        <f t="shared" si="619"/>
        <v>0</v>
      </c>
      <c r="AM172" s="147">
        <f>AM158+AM143+AM125+AM110+AM62+AM166+AM170+AM106</f>
        <v>0</v>
      </c>
      <c r="AN172" s="147">
        <f>AN158+AN143+AN125+AN110+AN62+AN166+AN170+AN106</f>
        <v>0</v>
      </c>
      <c r="AO172" s="147">
        <f>AO158+AO143+AO125+AO110+AO62+AO166+AO170+AO106</f>
        <v>0</v>
      </c>
      <c r="AP172" s="147">
        <f>AP158+AP143+AP125+AP110+AP62+AP166+AP170+AP106</f>
        <v>0</v>
      </c>
      <c r="AQ172" s="147">
        <f>AQ158+AQ143+AQ125+AQ110+AQ62+AQ166+AQ170+AQ106</f>
        <v>0</v>
      </c>
      <c r="AR172" s="147">
        <f t="shared" ref="AR172" si="622">AR158+AR143+AR125+AR110+AR62+AR166+AR170+AR106</f>
        <v>0</v>
      </c>
      <c r="AS172" s="147">
        <f>AS158+AS143+AS125+AS110+AS62+AS166+AS170+AS106</f>
        <v>0</v>
      </c>
      <c r="AT172" s="147">
        <f t="shared" ref="AT172" si="623">AT158+AT143+AT125+AT110+AT62+AT166+AT170+AT106</f>
        <v>0</v>
      </c>
      <c r="AU172" s="147">
        <f t="shared" ref="AU172" si="624">AU158+AU143+AU125+AU110+AU62+AU166+AU170+AU106</f>
        <v>-327699887.42999995</v>
      </c>
      <c r="AV172" s="147">
        <f>AV158+AV143+AV125+AV110+AV62+AV166+AV170+AV106</f>
        <v>18000000</v>
      </c>
      <c r="AW172" s="147">
        <f>AW158+AW143+AW125+AW110+AW62+AW166+AW170+AW106</f>
        <v>60391028.620000005</v>
      </c>
      <c r="AX172" s="147">
        <f t="shared" ref="AX172" si="625">AX158+AX143+AX125+AX110+AX62+AX166+AX170+AX106</f>
        <v>-60391028.620000005</v>
      </c>
      <c r="AY172" s="147">
        <f t="shared" ref="AY172:BF172" si="626">AY158+AY143+AY125+AY110+AY62+AY166+AY170+AY106</f>
        <v>0</v>
      </c>
      <c r="AZ172" s="147">
        <f t="shared" si="626"/>
        <v>0</v>
      </c>
      <c r="BA172" s="147">
        <f t="shared" si="626"/>
        <v>0</v>
      </c>
      <c r="BB172" s="147">
        <f t="shared" si="626"/>
        <v>0</v>
      </c>
      <c r="BC172" s="147">
        <f t="shared" si="626"/>
        <v>0</v>
      </c>
      <c r="BD172" s="147">
        <f t="shared" si="626"/>
        <v>-324570749</v>
      </c>
      <c r="BE172" s="147">
        <f t="shared" si="626"/>
        <v>-4031043</v>
      </c>
      <c r="BF172" s="147">
        <f t="shared" si="626"/>
        <v>0</v>
      </c>
    </row>
    <row r="173" spans="1:58" ht="14.15" customHeight="1" thickTop="1">
      <c r="A173" s="404">
        <f t="shared" si="568"/>
        <v>167</v>
      </c>
      <c r="C173" s="22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</row>
    <row r="174" spans="1:58" ht="14.15" customHeight="1">
      <c r="A174" s="404">
        <f t="shared" si="568"/>
        <v>168</v>
      </c>
      <c r="B174" s="3" t="s">
        <v>133</v>
      </c>
      <c r="C174" s="3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</row>
    <row r="175" spans="1:58" ht="14.15" customHeight="1">
      <c r="A175" s="404">
        <f t="shared" si="568"/>
        <v>169</v>
      </c>
      <c r="B175" s="83" t="s">
        <v>134</v>
      </c>
      <c r="C175" s="38">
        <f>SUM(D175:BF175)</f>
        <v>-357059890.81999993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9597532.1800000668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0">
        <v>0</v>
      </c>
      <c r="AM175" s="10">
        <v>0</v>
      </c>
      <c r="AN175" s="10">
        <v>0</v>
      </c>
      <c r="AO175" s="10">
        <v>0</v>
      </c>
      <c r="AP175" s="10">
        <v>0</v>
      </c>
      <c r="AQ175" s="10">
        <v>0</v>
      </c>
      <c r="AR175" s="10">
        <v>0</v>
      </c>
      <c r="AS175" s="10">
        <v>0</v>
      </c>
      <c r="AT175" s="10">
        <v>0</v>
      </c>
      <c r="AU175" s="10">
        <v>-200045017</v>
      </c>
      <c r="AV175" s="10">
        <v>0</v>
      </c>
      <c r="AW175" s="10">
        <f>(134847.97+1690693.35+211728.18+31923.9+64204.24)</f>
        <v>2133397.64</v>
      </c>
      <c r="AX175" s="10">
        <f>-(134847.97+1690693.35+211728.18+31923.9+64204.24)</f>
        <v>-2133397.64</v>
      </c>
      <c r="AY175" s="10">
        <v>0</v>
      </c>
      <c r="AZ175" s="10">
        <v>0</v>
      </c>
      <c r="BA175" s="10">
        <v>0</v>
      </c>
      <c r="BB175" s="10">
        <v>0</v>
      </c>
      <c r="BC175" s="10">
        <v>0</v>
      </c>
      <c r="BD175" s="10">
        <v>-166612406</v>
      </c>
      <c r="BE175" s="10">
        <v>0</v>
      </c>
      <c r="BF175" s="10">
        <v>0</v>
      </c>
    </row>
    <row r="176" spans="1:58" ht="14.15" customHeight="1">
      <c r="A176" s="404">
        <f t="shared" si="568"/>
        <v>170</v>
      </c>
      <c r="B176" s="22" t="s">
        <v>143</v>
      </c>
      <c r="C176" s="38">
        <f>SUM(D176:BF176)</f>
        <v>4600601.5599999428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4600601.5599999428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  <c r="AF176" s="10">
        <v>0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0">
        <v>0</v>
      </c>
      <c r="AM176" s="10">
        <v>0</v>
      </c>
      <c r="AN176" s="10">
        <v>0</v>
      </c>
      <c r="AO176" s="10">
        <v>0</v>
      </c>
      <c r="AP176" s="10">
        <v>0</v>
      </c>
      <c r="AQ176" s="10">
        <v>0</v>
      </c>
      <c r="AR176" s="10">
        <v>0</v>
      </c>
      <c r="AS176" s="10">
        <v>0</v>
      </c>
      <c r="AT176" s="10">
        <v>0</v>
      </c>
      <c r="AU176" s="10">
        <v>0</v>
      </c>
      <c r="AV176" s="10">
        <v>0</v>
      </c>
      <c r="AW176" s="10">
        <v>0</v>
      </c>
      <c r="AX176" s="10">
        <v>0</v>
      </c>
      <c r="AY176" s="10">
        <v>0</v>
      </c>
      <c r="AZ176" s="10">
        <v>0</v>
      </c>
      <c r="BA176" s="10">
        <v>0</v>
      </c>
      <c r="BB176" s="10">
        <v>0</v>
      </c>
      <c r="BC176" s="10">
        <v>0</v>
      </c>
      <c r="BD176" s="10">
        <v>0</v>
      </c>
      <c r="BE176" s="10">
        <v>0</v>
      </c>
      <c r="BF176" s="10">
        <v>0</v>
      </c>
    </row>
    <row r="177" spans="1:58" ht="14.15" customHeight="1">
      <c r="A177" s="404">
        <f t="shared" si="568"/>
        <v>171</v>
      </c>
      <c r="B177" s="22" t="s">
        <v>136</v>
      </c>
      <c r="C177" s="38">
        <f>SUM(D177:BF177)</f>
        <v>385879.48000001907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385879.48000001907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0">
        <v>0</v>
      </c>
      <c r="AM177" s="10">
        <v>0</v>
      </c>
      <c r="AN177" s="10">
        <v>0</v>
      </c>
      <c r="AO177" s="10">
        <v>0</v>
      </c>
      <c r="AP177" s="10">
        <v>0</v>
      </c>
      <c r="AQ177" s="10">
        <v>0</v>
      </c>
      <c r="AR177" s="10">
        <v>0</v>
      </c>
      <c r="AS177" s="10">
        <v>0</v>
      </c>
      <c r="AT177" s="10">
        <v>0</v>
      </c>
      <c r="AU177" s="10">
        <v>0</v>
      </c>
      <c r="AV177" s="10">
        <v>0</v>
      </c>
      <c r="AW177" s="10">
        <v>0</v>
      </c>
      <c r="AX177" s="10">
        <v>0</v>
      </c>
      <c r="AY177" s="10">
        <v>0</v>
      </c>
      <c r="AZ177" s="10">
        <v>0</v>
      </c>
      <c r="BA177" s="10">
        <v>0</v>
      </c>
      <c r="BB177" s="10">
        <v>0</v>
      </c>
      <c r="BC177" s="10">
        <v>0</v>
      </c>
      <c r="BD177" s="10">
        <v>0</v>
      </c>
      <c r="BE177" s="10">
        <v>0</v>
      </c>
      <c r="BF177" s="10">
        <v>0</v>
      </c>
    </row>
    <row r="178" spans="1:58" ht="13.5" customHeight="1">
      <c r="A178" s="404">
        <f t="shared" si="568"/>
        <v>172</v>
      </c>
      <c r="B178" s="22" t="s">
        <v>137</v>
      </c>
      <c r="C178" s="38">
        <f>SUM(D178:BF178)</f>
        <v>1391644.8200000077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1391644.8200000077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0">
        <v>0</v>
      </c>
      <c r="AM178" s="10">
        <v>0</v>
      </c>
      <c r="AN178" s="10">
        <v>0</v>
      </c>
      <c r="AO178" s="10">
        <v>0</v>
      </c>
      <c r="AP178" s="10">
        <v>0</v>
      </c>
      <c r="AQ178" s="10">
        <v>0</v>
      </c>
      <c r="AR178" s="10">
        <v>0</v>
      </c>
      <c r="AS178" s="10">
        <v>0</v>
      </c>
      <c r="AT178" s="10">
        <v>0</v>
      </c>
      <c r="AU178" s="10">
        <v>0</v>
      </c>
      <c r="AV178" s="10">
        <v>0</v>
      </c>
      <c r="AW178" s="10">
        <f>(410.56+3513.44+1082.92+8765.09)</f>
        <v>13772.01</v>
      </c>
      <c r="AX178" s="10">
        <f>-(410.56+3513.44+1082.92+8765.09)</f>
        <v>-13772.01</v>
      </c>
      <c r="AY178" s="10">
        <v>0</v>
      </c>
      <c r="AZ178" s="10">
        <v>0</v>
      </c>
      <c r="BA178" s="10">
        <v>0</v>
      </c>
      <c r="BB178" s="10">
        <v>0</v>
      </c>
      <c r="BC178" s="10">
        <v>0</v>
      </c>
      <c r="BD178" s="10">
        <v>0</v>
      </c>
      <c r="BE178" s="10">
        <v>0</v>
      </c>
      <c r="BF178" s="10">
        <v>0</v>
      </c>
    </row>
    <row r="179" spans="1:58" ht="14.15" customHeight="1">
      <c r="A179" s="404">
        <f t="shared" si="568"/>
        <v>173</v>
      </c>
      <c r="B179" s="85" t="s">
        <v>1148</v>
      </c>
      <c r="C179" s="80">
        <f t="shared" ref="C179" si="627">SUM(C175:C178)</f>
        <v>-350681764.95999998</v>
      </c>
      <c r="D179" s="80">
        <f t="shared" ref="D179:W179" si="628">SUM(D175:D178)</f>
        <v>0</v>
      </c>
      <c r="E179" s="80">
        <f t="shared" si="628"/>
        <v>0</v>
      </c>
      <c r="F179" s="80">
        <f t="shared" si="628"/>
        <v>0</v>
      </c>
      <c r="G179" s="80">
        <f t="shared" si="628"/>
        <v>0</v>
      </c>
      <c r="H179" s="80">
        <f t="shared" si="628"/>
        <v>0</v>
      </c>
      <c r="I179" s="80">
        <f t="shared" si="628"/>
        <v>0</v>
      </c>
      <c r="J179" s="80">
        <f t="shared" si="628"/>
        <v>0</v>
      </c>
      <c r="K179" s="80">
        <f t="shared" si="628"/>
        <v>0</v>
      </c>
      <c r="L179" s="80">
        <f t="shared" si="628"/>
        <v>0</v>
      </c>
      <c r="M179" s="80">
        <f t="shared" si="628"/>
        <v>0</v>
      </c>
      <c r="N179" s="80">
        <f t="shared" si="628"/>
        <v>0</v>
      </c>
      <c r="O179" s="80">
        <f t="shared" si="628"/>
        <v>0</v>
      </c>
      <c r="P179" s="80">
        <f t="shared" si="628"/>
        <v>0</v>
      </c>
      <c r="Q179" s="80">
        <f t="shared" si="628"/>
        <v>0</v>
      </c>
      <c r="R179" s="80">
        <f t="shared" si="628"/>
        <v>0</v>
      </c>
      <c r="S179" s="80">
        <f t="shared" si="628"/>
        <v>0</v>
      </c>
      <c r="T179" s="80">
        <f t="shared" si="628"/>
        <v>0</v>
      </c>
      <c r="U179" s="80">
        <f t="shared" si="628"/>
        <v>15975658.040000036</v>
      </c>
      <c r="V179" s="80">
        <f t="shared" si="628"/>
        <v>0</v>
      </c>
      <c r="W179" s="80">
        <f t="shared" si="628"/>
        <v>0</v>
      </c>
      <c r="X179" s="80">
        <f t="shared" ref="X179:AD179" si="629">SUM(X175:X178)</f>
        <v>0</v>
      </c>
      <c r="Y179" s="80">
        <f>SUM(Y175:Y178)</f>
        <v>0</v>
      </c>
      <c r="Z179" s="80">
        <f t="shared" si="629"/>
        <v>0</v>
      </c>
      <c r="AA179" s="80">
        <f t="shared" si="629"/>
        <v>0</v>
      </c>
      <c r="AB179" s="80">
        <f t="shared" si="629"/>
        <v>0</v>
      </c>
      <c r="AC179" s="80">
        <f t="shared" si="629"/>
        <v>0</v>
      </c>
      <c r="AD179" s="80">
        <f t="shared" si="629"/>
        <v>0</v>
      </c>
      <c r="AE179" s="80">
        <f>SUM(AE175:AE178)</f>
        <v>0</v>
      </c>
      <c r="AF179" s="80">
        <f>SUM(AF175:AF178)</f>
        <v>0</v>
      </c>
      <c r="AG179" s="80">
        <f>SUM(AG175:AG178)</f>
        <v>0</v>
      </c>
      <c r="AH179" s="80">
        <f t="shared" ref="AH179:AL179" si="630">SUM(AH175:AH178)</f>
        <v>0</v>
      </c>
      <c r="AI179" s="80">
        <f t="shared" si="630"/>
        <v>0</v>
      </c>
      <c r="AJ179" s="80">
        <f t="shared" si="630"/>
        <v>0</v>
      </c>
      <c r="AK179" s="80">
        <f t="shared" si="630"/>
        <v>0</v>
      </c>
      <c r="AL179" s="80">
        <f t="shared" si="630"/>
        <v>0</v>
      </c>
      <c r="AM179" s="80">
        <f>SUM(AM175:AM178)</f>
        <v>0</v>
      </c>
      <c r="AN179" s="80">
        <f>SUM(AN175:AN178)</f>
        <v>0</v>
      </c>
      <c r="AO179" s="80">
        <f>SUM(AO175:AO178)</f>
        <v>0</v>
      </c>
      <c r="AP179" s="80">
        <f>SUM(AP175:AP178)</f>
        <v>0</v>
      </c>
      <c r="AQ179" s="80">
        <f>SUM(AQ175:AQ178)</f>
        <v>0</v>
      </c>
      <c r="AR179" s="80">
        <f t="shared" ref="AR179" si="631">SUM(AR175:AR178)</f>
        <v>0</v>
      </c>
      <c r="AS179" s="80">
        <f>SUM(AS175:AS178)</f>
        <v>0</v>
      </c>
      <c r="AT179" s="80">
        <f t="shared" ref="AT179" si="632">SUM(AT175:AT178)</f>
        <v>0</v>
      </c>
      <c r="AU179" s="80">
        <f t="shared" ref="AU179" si="633">SUM(AU175:AU178)</f>
        <v>-200045017</v>
      </c>
      <c r="AV179" s="80">
        <f t="shared" ref="AV179" si="634">SUM(AV175:AV178)</f>
        <v>0</v>
      </c>
      <c r="AW179" s="80">
        <f>SUM(AW175:AW178)</f>
        <v>2147169.65</v>
      </c>
      <c r="AX179" s="80">
        <f t="shared" ref="AX179" si="635">SUM(AX175:AX178)</f>
        <v>-2147169.65</v>
      </c>
      <c r="AY179" s="80">
        <f t="shared" ref="AY179:BF179" si="636">SUM(AY175:AY178)</f>
        <v>0</v>
      </c>
      <c r="AZ179" s="80">
        <f t="shared" si="636"/>
        <v>0</v>
      </c>
      <c r="BA179" s="80">
        <f t="shared" si="636"/>
        <v>0</v>
      </c>
      <c r="BB179" s="80">
        <f t="shared" si="636"/>
        <v>0</v>
      </c>
      <c r="BC179" s="80">
        <f t="shared" si="636"/>
        <v>0</v>
      </c>
      <c r="BD179" s="80">
        <f t="shared" si="636"/>
        <v>-166612406</v>
      </c>
      <c r="BE179" s="80">
        <f t="shared" si="636"/>
        <v>0</v>
      </c>
      <c r="BF179" s="80">
        <f t="shared" si="636"/>
        <v>0</v>
      </c>
    </row>
    <row r="180" spans="1:58" ht="14.15" customHeight="1">
      <c r="A180" s="404">
        <f t="shared" si="568"/>
        <v>174</v>
      </c>
      <c r="B180" s="25"/>
      <c r="C180" s="25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</row>
    <row r="181" spans="1:58" ht="14.15" customHeight="1">
      <c r="A181" s="404">
        <f t="shared" si="568"/>
        <v>175</v>
      </c>
      <c r="B181" s="85" t="s">
        <v>138</v>
      </c>
      <c r="C181" s="85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</row>
    <row r="182" spans="1:58" ht="14.15" customHeight="1">
      <c r="A182" s="404">
        <f t="shared" si="568"/>
        <v>176</v>
      </c>
      <c r="B182" s="22" t="s">
        <v>141</v>
      </c>
      <c r="C182" s="38">
        <f>SUM(D182:BF182)</f>
        <v>-3689090.96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794.04000000000815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0">
        <v>0</v>
      </c>
      <c r="AE182" s="10">
        <v>0</v>
      </c>
      <c r="AF182" s="10">
        <v>0</v>
      </c>
      <c r="AG182" s="10">
        <v>0</v>
      </c>
      <c r="AH182" s="10">
        <v>0</v>
      </c>
      <c r="AI182" s="10">
        <v>0</v>
      </c>
      <c r="AJ182" s="10">
        <v>0</v>
      </c>
      <c r="AK182" s="10">
        <v>0</v>
      </c>
      <c r="AL182" s="10">
        <v>0</v>
      </c>
      <c r="AM182" s="10">
        <v>0</v>
      </c>
      <c r="AN182" s="10">
        <v>0</v>
      </c>
      <c r="AO182" s="10">
        <v>0</v>
      </c>
      <c r="AP182" s="10">
        <v>0</v>
      </c>
      <c r="AQ182" s="10">
        <v>0</v>
      </c>
      <c r="AR182" s="10">
        <v>0</v>
      </c>
      <c r="AS182" s="10">
        <v>0</v>
      </c>
      <c r="AT182" s="10">
        <v>0</v>
      </c>
      <c r="AU182" s="10">
        <v>0</v>
      </c>
      <c r="AV182" s="10">
        <v>0</v>
      </c>
      <c r="AW182" s="10">
        <v>0</v>
      </c>
      <c r="AX182" s="10">
        <v>0</v>
      </c>
      <c r="AY182" s="10">
        <v>0</v>
      </c>
      <c r="AZ182" s="10">
        <v>0</v>
      </c>
      <c r="BA182" s="10">
        <v>0</v>
      </c>
      <c r="BB182" s="10">
        <v>0</v>
      </c>
      <c r="BC182" s="10">
        <v>0</v>
      </c>
      <c r="BD182" s="10">
        <v>0</v>
      </c>
      <c r="BE182" s="10">
        <v>-3689885</v>
      </c>
      <c r="BF182" s="10">
        <v>0</v>
      </c>
    </row>
    <row r="183" spans="1:58" ht="14.15" customHeight="1">
      <c r="A183" s="404">
        <f t="shared" si="568"/>
        <v>177</v>
      </c>
      <c r="B183" s="22" t="s">
        <v>134</v>
      </c>
      <c r="C183" s="38">
        <f>SUM(D183:BF183)</f>
        <v>0</v>
      </c>
      <c r="D183" s="43">
        <v>0</v>
      </c>
      <c r="E183" s="43">
        <v>0</v>
      </c>
      <c r="F183" s="43">
        <v>0</v>
      </c>
      <c r="G183" s="43">
        <v>0</v>
      </c>
      <c r="H183" s="43">
        <v>0</v>
      </c>
      <c r="I183" s="43">
        <v>0</v>
      </c>
      <c r="J183" s="43">
        <v>0</v>
      </c>
      <c r="K183" s="43">
        <v>0</v>
      </c>
      <c r="L183" s="43">
        <v>0</v>
      </c>
      <c r="M183" s="43">
        <v>0</v>
      </c>
      <c r="N183" s="43">
        <v>0</v>
      </c>
      <c r="O183" s="43">
        <v>0</v>
      </c>
      <c r="P183" s="43">
        <v>0</v>
      </c>
      <c r="Q183" s="43">
        <v>0</v>
      </c>
      <c r="R183" s="43">
        <v>0</v>
      </c>
      <c r="S183" s="43">
        <v>0</v>
      </c>
      <c r="T183" s="43">
        <v>0</v>
      </c>
      <c r="U183" s="43">
        <v>0</v>
      </c>
      <c r="V183" s="43">
        <v>0</v>
      </c>
      <c r="W183" s="43">
        <v>0</v>
      </c>
      <c r="X183" s="43">
        <v>0</v>
      </c>
      <c r="Y183" s="43">
        <v>0</v>
      </c>
      <c r="Z183" s="43">
        <v>0</v>
      </c>
      <c r="AA183" s="43">
        <v>0</v>
      </c>
      <c r="AB183" s="43">
        <v>0</v>
      </c>
      <c r="AC183" s="43">
        <v>0</v>
      </c>
      <c r="AD183" s="43">
        <v>0</v>
      </c>
      <c r="AE183" s="43">
        <v>0</v>
      </c>
      <c r="AF183" s="43">
        <v>0</v>
      </c>
      <c r="AG183" s="43">
        <v>0</v>
      </c>
      <c r="AH183" s="43">
        <v>0</v>
      </c>
      <c r="AI183" s="43">
        <v>0</v>
      </c>
      <c r="AJ183" s="43">
        <v>0</v>
      </c>
      <c r="AK183" s="43">
        <v>0</v>
      </c>
      <c r="AL183" s="43">
        <v>0</v>
      </c>
      <c r="AM183" s="43">
        <v>0</v>
      </c>
      <c r="AN183" s="43">
        <v>0</v>
      </c>
      <c r="AO183" s="43">
        <v>0</v>
      </c>
      <c r="AP183" s="43">
        <v>0</v>
      </c>
      <c r="AQ183" s="43">
        <v>0</v>
      </c>
      <c r="AR183" s="43">
        <v>0</v>
      </c>
      <c r="AS183" s="43">
        <v>0</v>
      </c>
      <c r="AT183" s="43">
        <v>0</v>
      </c>
      <c r="AU183" s="43">
        <v>0</v>
      </c>
      <c r="AV183" s="43">
        <v>0</v>
      </c>
      <c r="AW183" s="43">
        <v>0</v>
      </c>
      <c r="AX183" s="43">
        <v>0</v>
      </c>
      <c r="AY183" s="43">
        <v>0</v>
      </c>
      <c r="AZ183" s="43">
        <v>0</v>
      </c>
      <c r="BA183" s="43">
        <v>0</v>
      </c>
      <c r="BB183" s="43">
        <v>0</v>
      </c>
      <c r="BC183" s="43">
        <v>0</v>
      </c>
      <c r="BD183" s="43">
        <v>0</v>
      </c>
      <c r="BE183" s="43">
        <v>0</v>
      </c>
      <c r="BF183" s="43">
        <v>0</v>
      </c>
    </row>
    <row r="184" spans="1:58" ht="14.15" customHeight="1">
      <c r="A184" s="404">
        <f t="shared" si="568"/>
        <v>178</v>
      </c>
      <c r="B184" s="22" t="s">
        <v>135</v>
      </c>
      <c r="C184" s="38">
        <f>SUM(D184:BF184)</f>
        <v>0</v>
      </c>
      <c r="D184" s="43">
        <v>0</v>
      </c>
      <c r="E184" s="43">
        <v>0</v>
      </c>
      <c r="F184" s="43">
        <v>0</v>
      </c>
      <c r="G184" s="43">
        <v>0</v>
      </c>
      <c r="H184" s="43">
        <v>0</v>
      </c>
      <c r="I184" s="43">
        <v>0</v>
      </c>
      <c r="J184" s="43">
        <v>0</v>
      </c>
      <c r="K184" s="43">
        <v>0</v>
      </c>
      <c r="L184" s="43">
        <v>0</v>
      </c>
      <c r="M184" s="43">
        <v>0</v>
      </c>
      <c r="N184" s="43">
        <v>0</v>
      </c>
      <c r="O184" s="43">
        <v>0</v>
      </c>
      <c r="P184" s="43">
        <v>0</v>
      </c>
      <c r="Q184" s="43">
        <v>0</v>
      </c>
      <c r="R184" s="43">
        <v>0</v>
      </c>
      <c r="S184" s="43">
        <v>0</v>
      </c>
      <c r="T184" s="43">
        <v>0</v>
      </c>
      <c r="U184" s="43">
        <v>0</v>
      </c>
      <c r="V184" s="43">
        <v>0</v>
      </c>
      <c r="W184" s="43">
        <v>0</v>
      </c>
      <c r="X184" s="43">
        <v>0</v>
      </c>
      <c r="Y184" s="43">
        <v>0</v>
      </c>
      <c r="Z184" s="43">
        <v>0</v>
      </c>
      <c r="AA184" s="43">
        <v>0</v>
      </c>
      <c r="AB184" s="43">
        <v>0</v>
      </c>
      <c r="AC184" s="43">
        <v>0</v>
      </c>
      <c r="AD184" s="43">
        <v>0</v>
      </c>
      <c r="AE184" s="43">
        <v>0</v>
      </c>
      <c r="AF184" s="43">
        <v>0</v>
      </c>
      <c r="AG184" s="43">
        <v>0</v>
      </c>
      <c r="AH184" s="43">
        <v>0</v>
      </c>
      <c r="AI184" s="43">
        <v>0</v>
      </c>
      <c r="AJ184" s="43">
        <v>0</v>
      </c>
      <c r="AK184" s="43">
        <v>0</v>
      </c>
      <c r="AL184" s="43">
        <v>0</v>
      </c>
      <c r="AM184" s="43">
        <v>0</v>
      </c>
      <c r="AN184" s="43">
        <v>0</v>
      </c>
      <c r="AO184" s="43">
        <v>0</v>
      </c>
      <c r="AP184" s="43">
        <v>0</v>
      </c>
      <c r="AQ184" s="43">
        <v>0</v>
      </c>
      <c r="AR184" s="43">
        <v>0</v>
      </c>
      <c r="AS184" s="43">
        <v>0</v>
      </c>
      <c r="AT184" s="43">
        <v>0</v>
      </c>
      <c r="AU184" s="43">
        <v>0</v>
      </c>
      <c r="AV184" s="43">
        <v>0</v>
      </c>
      <c r="AW184" s="43">
        <v>0</v>
      </c>
      <c r="AX184" s="43">
        <v>0</v>
      </c>
      <c r="AY184" s="43">
        <v>0</v>
      </c>
      <c r="AZ184" s="43">
        <v>0</v>
      </c>
      <c r="BA184" s="43">
        <v>0</v>
      </c>
      <c r="BB184" s="43">
        <v>0</v>
      </c>
      <c r="BC184" s="43">
        <v>0</v>
      </c>
      <c r="BD184" s="43">
        <v>0</v>
      </c>
      <c r="BE184" s="43">
        <v>0</v>
      </c>
      <c r="BF184" s="43">
        <v>0</v>
      </c>
    </row>
    <row r="185" spans="1:58" ht="14.15" customHeight="1">
      <c r="A185" s="404">
        <f t="shared" si="568"/>
        <v>179</v>
      </c>
      <c r="B185" s="22" t="s">
        <v>136</v>
      </c>
      <c r="C185" s="38">
        <f>SUM(D185:BF185)</f>
        <v>0</v>
      </c>
      <c r="D185" s="43">
        <v>0</v>
      </c>
      <c r="E185" s="43">
        <v>0</v>
      </c>
      <c r="F185" s="43">
        <v>0</v>
      </c>
      <c r="G185" s="43">
        <v>0</v>
      </c>
      <c r="H185" s="43">
        <v>0</v>
      </c>
      <c r="I185" s="43">
        <v>0</v>
      </c>
      <c r="J185" s="43">
        <v>0</v>
      </c>
      <c r="K185" s="43">
        <v>0</v>
      </c>
      <c r="L185" s="43">
        <v>0</v>
      </c>
      <c r="M185" s="43">
        <v>0</v>
      </c>
      <c r="N185" s="43">
        <v>0</v>
      </c>
      <c r="O185" s="43">
        <v>0</v>
      </c>
      <c r="P185" s="43">
        <v>0</v>
      </c>
      <c r="Q185" s="43">
        <v>0</v>
      </c>
      <c r="R185" s="43">
        <v>0</v>
      </c>
      <c r="S185" s="43">
        <v>0</v>
      </c>
      <c r="T185" s="43">
        <v>0</v>
      </c>
      <c r="U185" s="43">
        <v>0</v>
      </c>
      <c r="V185" s="43">
        <v>0</v>
      </c>
      <c r="W185" s="43">
        <v>0</v>
      </c>
      <c r="X185" s="43">
        <v>0</v>
      </c>
      <c r="Y185" s="43">
        <v>0</v>
      </c>
      <c r="Z185" s="43">
        <v>0</v>
      </c>
      <c r="AA185" s="43">
        <v>0</v>
      </c>
      <c r="AB185" s="43">
        <v>0</v>
      </c>
      <c r="AC185" s="43">
        <v>0</v>
      </c>
      <c r="AD185" s="43">
        <v>0</v>
      </c>
      <c r="AE185" s="43">
        <v>0</v>
      </c>
      <c r="AF185" s="43">
        <v>0</v>
      </c>
      <c r="AG185" s="43">
        <v>0</v>
      </c>
      <c r="AH185" s="43">
        <v>0</v>
      </c>
      <c r="AI185" s="43">
        <v>0</v>
      </c>
      <c r="AJ185" s="43">
        <v>0</v>
      </c>
      <c r="AK185" s="43">
        <v>0</v>
      </c>
      <c r="AL185" s="43">
        <v>0</v>
      </c>
      <c r="AM185" s="43">
        <v>0</v>
      </c>
      <c r="AN185" s="43">
        <v>0</v>
      </c>
      <c r="AO185" s="43">
        <v>0</v>
      </c>
      <c r="AP185" s="43">
        <v>0</v>
      </c>
      <c r="AQ185" s="43">
        <v>0</v>
      </c>
      <c r="AR185" s="43">
        <v>0</v>
      </c>
      <c r="AS185" s="43">
        <v>0</v>
      </c>
      <c r="AT185" s="43">
        <v>0</v>
      </c>
      <c r="AU185" s="43">
        <v>0</v>
      </c>
      <c r="AV185" s="43">
        <v>0</v>
      </c>
      <c r="AW185" s="43">
        <v>0</v>
      </c>
      <c r="AX185" s="43">
        <v>0</v>
      </c>
      <c r="AY185" s="43">
        <v>0</v>
      </c>
      <c r="AZ185" s="43">
        <v>0</v>
      </c>
      <c r="BA185" s="43">
        <v>0</v>
      </c>
      <c r="BB185" s="43">
        <v>0</v>
      </c>
      <c r="BC185" s="43">
        <v>0</v>
      </c>
      <c r="BD185" s="43">
        <v>0</v>
      </c>
      <c r="BE185" s="43">
        <v>0</v>
      </c>
      <c r="BF185" s="43">
        <v>0</v>
      </c>
    </row>
    <row r="186" spans="1:58" s="18" customFormat="1" ht="14.15" customHeight="1">
      <c r="A186" s="404">
        <f t="shared" si="568"/>
        <v>180</v>
      </c>
      <c r="B186" s="56" t="s">
        <v>137</v>
      </c>
      <c r="C186" s="197">
        <f>SUM(D186:BF186)</f>
        <v>123</v>
      </c>
      <c r="D186" s="64">
        <v>0</v>
      </c>
      <c r="E186" s="64">
        <v>0</v>
      </c>
      <c r="F186" s="64">
        <v>0</v>
      </c>
      <c r="G186" s="64">
        <v>0</v>
      </c>
      <c r="H186" s="64">
        <v>0</v>
      </c>
      <c r="I186" s="64">
        <v>0</v>
      </c>
      <c r="J186" s="64">
        <v>0</v>
      </c>
      <c r="K186" s="64">
        <v>0</v>
      </c>
      <c r="L186" s="64">
        <v>0</v>
      </c>
      <c r="M186" s="64">
        <v>0</v>
      </c>
      <c r="N186" s="64">
        <v>0</v>
      </c>
      <c r="O186" s="64">
        <v>0</v>
      </c>
      <c r="P186" s="64">
        <v>0</v>
      </c>
      <c r="Q186" s="64">
        <v>0</v>
      </c>
      <c r="R186" s="64">
        <v>0</v>
      </c>
      <c r="S186" s="64">
        <v>0</v>
      </c>
      <c r="T186" s="64">
        <v>0</v>
      </c>
      <c r="U186" s="64">
        <v>123</v>
      </c>
      <c r="V186" s="64">
        <v>0</v>
      </c>
      <c r="W186" s="64">
        <v>0</v>
      </c>
      <c r="X186" s="64">
        <v>0</v>
      </c>
      <c r="Y186" s="64">
        <v>0</v>
      </c>
      <c r="Z186" s="64">
        <v>0</v>
      </c>
      <c r="AA186" s="64">
        <v>0</v>
      </c>
      <c r="AB186" s="64">
        <v>0</v>
      </c>
      <c r="AC186" s="64">
        <v>0</v>
      </c>
      <c r="AD186" s="64">
        <v>0</v>
      </c>
      <c r="AE186" s="64">
        <v>0</v>
      </c>
      <c r="AF186" s="64">
        <v>0</v>
      </c>
      <c r="AG186" s="64">
        <v>0</v>
      </c>
      <c r="AH186" s="64">
        <v>0</v>
      </c>
      <c r="AI186" s="64">
        <v>0</v>
      </c>
      <c r="AJ186" s="64">
        <v>0</v>
      </c>
      <c r="AK186" s="64">
        <v>0</v>
      </c>
      <c r="AL186" s="64">
        <v>0</v>
      </c>
      <c r="AM186" s="64">
        <v>0</v>
      </c>
      <c r="AN186" s="64">
        <v>0</v>
      </c>
      <c r="AO186" s="64">
        <v>0</v>
      </c>
      <c r="AP186" s="64">
        <v>0</v>
      </c>
      <c r="AQ186" s="64">
        <v>0</v>
      </c>
      <c r="AR186" s="64">
        <v>0</v>
      </c>
      <c r="AS186" s="64">
        <v>0</v>
      </c>
      <c r="AT186" s="64">
        <v>0</v>
      </c>
      <c r="AU186" s="64">
        <v>0</v>
      </c>
      <c r="AV186" s="64">
        <v>0</v>
      </c>
      <c r="AW186" s="64">
        <v>0</v>
      </c>
      <c r="AX186" s="64">
        <v>0</v>
      </c>
      <c r="AY186" s="64">
        <v>0</v>
      </c>
      <c r="AZ186" s="64">
        <v>0</v>
      </c>
      <c r="BA186" s="64">
        <v>0</v>
      </c>
      <c r="BB186" s="64">
        <v>0</v>
      </c>
      <c r="BC186" s="64">
        <v>0</v>
      </c>
      <c r="BD186" s="64">
        <v>0</v>
      </c>
      <c r="BE186" s="64">
        <v>0</v>
      </c>
      <c r="BF186" s="64">
        <v>0</v>
      </c>
    </row>
    <row r="187" spans="1:58" ht="14.15" customHeight="1">
      <c r="A187" s="404">
        <f t="shared" si="568"/>
        <v>181</v>
      </c>
      <c r="B187" s="85" t="s">
        <v>473</v>
      </c>
      <c r="C187" s="16">
        <f t="shared" ref="C187:V187" si="637">SUM(C182:C186)</f>
        <v>-3688967.96</v>
      </c>
      <c r="D187" s="16">
        <f t="shared" ref="D187:I187" si="638">SUM(D182:D186)</f>
        <v>0</v>
      </c>
      <c r="E187" s="16">
        <f t="shared" si="638"/>
        <v>0</v>
      </c>
      <c r="F187" s="16">
        <f t="shared" si="638"/>
        <v>0</v>
      </c>
      <c r="G187" s="16">
        <f t="shared" si="638"/>
        <v>0</v>
      </c>
      <c r="H187" s="16">
        <f t="shared" si="638"/>
        <v>0</v>
      </c>
      <c r="I187" s="16">
        <f t="shared" si="638"/>
        <v>0</v>
      </c>
      <c r="J187" s="16">
        <f t="shared" si="637"/>
        <v>0</v>
      </c>
      <c r="K187" s="16">
        <f t="shared" ref="K187:U187" si="639">SUM(K182:K186)</f>
        <v>0</v>
      </c>
      <c r="L187" s="16">
        <f t="shared" si="639"/>
        <v>0</v>
      </c>
      <c r="M187" s="16">
        <f t="shared" si="639"/>
        <v>0</v>
      </c>
      <c r="N187" s="16">
        <f t="shared" si="639"/>
        <v>0</v>
      </c>
      <c r="O187" s="16">
        <f t="shared" si="639"/>
        <v>0</v>
      </c>
      <c r="P187" s="16">
        <f t="shared" si="639"/>
        <v>0</v>
      </c>
      <c r="Q187" s="16">
        <f t="shared" si="639"/>
        <v>0</v>
      </c>
      <c r="R187" s="16">
        <f t="shared" si="639"/>
        <v>0</v>
      </c>
      <c r="S187" s="16">
        <f t="shared" si="639"/>
        <v>0</v>
      </c>
      <c r="T187" s="16">
        <f t="shared" si="639"/>
        <v>0</v>
      </c>
      <c r="U187" s="16">
        <f t="shared" si="639"/>
        <v>917.04000000000815</v>
      </c>
      <c r="V187" s="16">
        <f t="shared" si="637"/>
        <v>0</v>
      </c>
      <c r="W187" s="16">
        <f>SUM(W182:W186)</f>
        <v>0</v>
      </c>
      <c r="X187" s="16">
        <f t="shared" ref="X187:AD187" si="640">SUM(X182:X186)</f>
        <v>0</v>
      </c>
      <c r="Y187" s="16">
        <f>SUM(Y182:Y186)</f>
        <v>0</v>
      </c>
      <c r="Z187" s="16">
        <f t="shared" si="640"/>
        <v>0</v>
      </c>
      <c r="AA187" s="16">
        <f t="shared" si="640"/>
        <v>0</v>
      </c>
      <c r="AB187" s="16">
        <f t="shared" si="640"/>
        <v>0</v>
      </c>
      <c r="AC187" s="16">
        <f t="shared" si="640"/>
        <v>0</v>
      </c>
      <c r="AD187" s="16">
        <f t="shared" si="640"/>
        <v>0</v>
      </c>
      <c r="AE187" s="16">
        <f>SUM(AE182:AE186)</f>
        <v>0</v>
      </c>
      <c r="AF187" s="16">
        <f>SUM(AF182:AF186)</f>
        <v>0</v>
      </c>
      <c r="AG187" s="16">
        <f>SUM(AG182:AG186)</f>
        <v>0</v>
      </c>
      <c r="AH187" s="16">
        <f t="shared" ref="AH187" si="641">SUM(AH182:AH186)</f>
        <v>0</v>
      </c>
      <c r="AI187" s="16">
        <f t="shared" ref="AI187:AL187" si="642">SUM(AI182:AI186)</f>
        <v>0</v>
      </c>
      <c r="AJ187" s="16">
        <f t="shared" si="642"/>
        <v>0</v>
      </c>
      <c r="AK187" s="16">
        <f t="shared" si="642"/>
        <v>0</v>
      </c>
      <c r="AL187" s="16">
        <f t="shared" si="642"/>
        <v>0</v>
      </c>
      <c r="AM187" s="16">
        <f>SUM(AM182:AM186)</f>
        <v>0</v>
      </c>
      <c r="AN187" s="16">
        <f>SUM(AN182:AN186)</f>
        <v>0</v>
      </c>
      <c r="AO187" s="16">
        <f>SUM(AO182:AO186)</f>
        <v>0</v>
      </c>
      <c r="AP187" s="16">
        <f>SUM(AP182:AP186)</f>
        <v>0</v>
      </c>
      <c r="AQ187" s="16">
        <f>SUM(AQ182:AQ186)</f>
        <v>0</v>
      </c>
      <c r="AR187" s="16">
        <f t="shared" ref="AR187" si="643">SUM(AR182:AR186)</f>
        <v>0</v>
      </c>
      <c r="AS187" s="16">
        <f>SUM(AS182:AS186)</f>
        <v>0</v>
      </c>
      <c r="AT187" s="16">
        <f t="shared" ref="AT187" si="644">SUM(AT182:AT186)</f>
        <v>0</v>
      </c>
      <c r="AU187" s="16">
        <f t="shared" ref="AU187" si="645">SUM(AU182:AU186)</f>
        <v>0</v>
      </c>
      <c r="AV187" s="16">
        <f t="shared" ref="AV187" si="646">SUM(AV182:AV186)</f>
        <v>0</v>
      </c>
      <c r="AW187" s="16">
        <f>SUM(AW182:AW186)</f>
        <v>0</v>
      </c>
      <c r="AX187" s="16">
        <f t="shared" ref="AX187" si="647">SUM(AX182:AX186)</f>
        <v>0</v>
      </c>
      <c r="AY187" s="16">
        <f t="shared" ref="AY187:BF187" si="648">SUM(AY182:AY186)</f>
        <v>0</v>
      </c>
      <c r="AZ187" s="16">
        <f t="shared" si="648"/>
        <v>0</v>
      </c>
      <c r="BA187" s="16">
        <f t="shared" si="648"/>
        <v>0</v>
      </c>
      <c r="BB187" s="16">
        <f t="shared" si="648"/>
        <v>0</v>
      </c>
      <c r="BC187" s="16">
        <f t="shared" si="648"/>
        <v>0</v>
      </c>
      <c r="BD187" s="16">
        <f t="shared" si="648"/>
        <v>0</v>
      </c>
      <c r="BE187" s="16">
        <f t="shared" si="648"/>
        <v>-3689885</v>
      </c>
      <c r="BF187" s="16">
        <f t="shared" si="648"/>
        <v>0</v>
      </c>
    </row>
    <row r="188" spans="1:58" ht="14.15" customHeight="1">
      <c r="A188" s="404">
        <f t="shared" si="568"/>
        <v>182</v>
      </c>
      <c r="B188" s="25"/>
      <c r="C188" s="25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</row>
    <row r="189" spans="1:58" ht="14.15" customHeight="1">
      <c r="A189" s="404">
        <f t="shared" si="568"/>
        <v>183</v>
      </c>
      <c r="B189" s="52" t="s">
        <v>327</v>
      </c>
      <c r="C189" s="197">
        <f>SUM(D189:BF189)</f>
        <v>0</v>
      </c>
      <c r="D189" s="145">
        <v>0</v>
      </c>
      <c r="E189" s="145">
        <v>0</v>
      </c>
      <c r="F189" s="145">
        <v>0</v>
      </c>
      <c r="G189" s="145">
        <v>0</v>
      </c>
      <c r="H189" s="145">
        <v>0</v>
      </c>
      <c r="I189" s="145">
        <v>0</v>
      </c>
      <c r="J189" s="145">
        <v>0</v>
      </c>
      <c r="K189" s="145">
        <v>0</v>
      </c>
      <c r="L189" s="145">
        <v>0</v>
      </c>
      <c r="M189" s="145">
        <v>0</v>
      </c>
      <c r="N189" s="145">
        <v>0</v>
      </c>
      <c r="O189" s="145">
        <v>0</v>
      </c>
      <c r="P189" s="145">
        <v>0</v>
      </c>
      <c r="Q189" s="145">
        <v>0</v>
      </c>
      <c r="R189" s="145">
        <v>0</v>
      </c>
      <c r="S189" s="145">
        <v>0</v>
      </c>
      <c r="T189" s="145">
        <v>0</v>
      </c>
      <c r="U189" s="145">
        <v>0</v>
      </c>
      <c r="V189" s="145">
        <v>0</v>
      </c>
      <c r="W189" s="145">
        <v>0</v>
      </c>
      <c r="X189" s="145">
        <v>0</v>
      </c>
      <c r="Y189" s="145">
        <v>0</v>
      </c>
      <c r="Z189" s="145">
        <v>0</v>
      </c>
      <c r="AA189" s="145">
        <v>0</v>
      </c>
      <c r="AB189" s="145">
        <v>0</v>
      </c>
      <c r="AC189" s="145">
        <v>0</v>
      </c>
      <c r="AD189" s="145">
        <v>0</v>
      </c>
      <c r="AE189" s="145">
        <v>0</v>
      </c>
      <c r="AF189" s="145">
        <v>0</v>
      </c>
      <c r="AG189" s="145">
        <v>0</v>
      </c>
      <c r="AH189" s="145">
        <v>0</v>
      </c>
      <c r="AI189" s="145">
        <v>0</v>
      </c>
      <c r="AJ189" s="145">
        <v>0</v>
      </c>
      <c r="AK189" s="145">
        <v>0</v>
      </c>
      <c r="AL189" s="145">
        <v>0</v>
      </c>
      <c r="AM189" s="145">
        <v>0</v>
      </c>
      <c r="AN189" s="145">
        <v>0</v>
      </c>
      <c r="AO189" s="145">
        <v>0</v>
      </c>
      <c r="AP189" s="145">
        <v>0</v>
      </c>
      <c r="AQ189" s="145">
        <v>0</v>
      </c>
      <c r="AR189" s="145">
        <v>0</v>
      </c>
      <c r="AS189" s="145">
        <v>0</v>
      </c>
      <c r="AT189" s="145">
        <v>0</v>
      </c>
      <c r="AU189" s="145">
        <v>0</v>
      </c>
      <c r="AV189" s="145">
        <v>0</v>
      </c>
      <c r="AW189" s="145">
        <v>0</v>
      </c>
      <c r="AX189" s="145">
        <v>0</v>
      </c>
      <c r="AY189" s="145">
        <v>0</v>
      </c>
      <c r="AZ189" s="145">
        <v>0</v>
      </c>
      <c r="BA189" s="145">
        <v>0</v>
      </c>
      <c r="BB189" s="145">
        <v>0</v>
      </c>
      <c r="BC189" s="145">
        <v>0</v>
      </c>
      <c r="BD189" s="145">
        <v>0</v>
      </c>
      <c r="BE189" s="145">
        <v>0</v>
      </c>
      <c r="BF189" s="145">
        <v>0</v>
      </c>
    </row>
    <row r="190" spans="1:58" ht="14.15" customHeight="1">
      <c r="A190" s="404">
        <f t="shared" si="568"/>
        <v>184</v>
      </c>
      <c r="B190" s="85" t="s">
        <v>475</v>
      </c>
      <c r="C190" s="16">
        <f t="shared" ref="C190:V190" si="649">SUM(C189:C189)</f>
        <v>0</v>
      </c>
      <c r="D190" s="16">
        <f t="shared" ref="D190:I190" si="650">SUM(D189:D189)</f>
        <v>0</v>
      </c>
      <c r="E190" s="16">
        <f t="shared" si="650"/>
        <v>0</v>
      </c>
      <c r="F190" s="16">
        <f t="shared" si="650"/>
        <v>0</v>
      </c>
      <c r="G190" s="16">
        <f t="shared" si="650"/>
        <v>0</v>
      </c>
      <c r="H190" s="16">
        <f t="shared" si="650"/>
        <v>0</v>
      </c>
      <c r="I190" s="16">
        <f t="shared" si="650"/>
        <v>0</v>
      </c>
      <c r="J190" s="16">
        <f t="shared" si="649"/>
        <v>0</v>
      </c>
      <c r="K190" s="16">
        <f t="shared" ref="K190:U190" si="651">SUM(K189:K189)</f>
        <v>0</v>
      </c>
      <c r="L190" s="16">
        <f t="shared" si="651"/>
        <v>0</v>
      </c>
      <c r="M190" s="16">
        <f t="shared" si="651"/>
        <v>0</v>
      </c>
      <c r="N190" s="16">
        <f t="shared" si="651"/>
        <v>0</v>
      </c>
      <c r="O190" s="16">
        <f t="shared" si="651"/>
        <v>0</v>
      </c>
      <c r="P190" s="16">
        <f t="shared" si="651"/>
        <v>0</v>
      </c>
      <c r="Q190" s="16">
        <f t="shared" si="651"/>
        <v>0</v>
      </c>
      <c r="R190" s="16">
        <f t="shared" si="651"/>
        <v>0</v>
      </c>
      <c r="S190" s="16">
        <f t="shared" si="651"/>
        <v>0</v>
      </c>
      <c r="T190" s="16">
        <f t="shared" si="651"/>
        <v>0</v>
      </c>
      <c r="U190" s="16">
        <f t="shared" si="651"/>
        <v>0</v>
      </c>
      <c r="V190" s="16">
        <f t="shared" si="649"/>
        <v>0</v>
      </c>
      <c r="W190" s="16">
        <f>SUM(W189:W189)</f>
        <v>0</v>
      </c>
      <c r="X190" s="16">
        <f t="shared" ref="X190:AD190" si="652">SUM(X189:X189)</f>
        <v>0</v>
      </c>
      <c r="Y190" s="16">
        <f>SUM(Y189:Y189)</f>
        <v>0</v>
      </c>
      <c r="Z190" s="16">
        <f t="shared" si="652"/>
        <v>0</v>
      </c>
      <c r="AA190" s="16">
        <f t="shared" si="652"/>
        <v>0</v>
      </c>
      <c r="AB190" s="16">
        <f t="shared" si="652"/>
        <v>0</v>
      </c>
      <c r="AC190" s="16">
        <f t="shared" si="652"/>
        <v>0</v>
      </c>
      <c r="AD190" s="16">
        <f t="shared" si="652"/>
        <v>0</v>
      </c>
      <c r="AE190" s="16">
        <f>SUM(AE189:AE189)</f>
        <v>0</v>
      </c>
      <c r="AF190" s="16">
        <f>SUM(AF189:AF189)</f>
        <v>0</v>
      </c>
      <c r="AG190" s="16">
        <f>SUM(AG189:AG189)</f>
        <v>0</v>
      </c>
      <c r="AH190" s="16">
        <f t="shared" ref="AH190" si="653">SUM(AH189:AH189)</f>
        <v>0</v>
      </c>
      <c r="AI190" s="16">
        <f t="shared" ref="AI190:AL190" si="654">SUM(AI189:AI189)</f>
        <v>0</v>
      </c>
      <c r="AJ190" s="16">
        <f t="shared" si="654"/>
        <v>0</v>
      </c>
      <c r="AK190" s="16">
        <f t="shared" si="654"/>
        <v>0</v>
      </c>
      <c r="AL190" s="16">
        <f t="shared" si="654"/>
        <v>0</v>
      </c>
      <c r="AM190" s="16">
        <f>SUM(AM189:AM189)</f>
        <v>0</v>
      </c>
      <c r="AN190" s="16">
        <f>SUM(AN189:AN189)</f>
        <v>0</v>
      </c>
      <c r="AO190" s="16">
        <f>SUM(AO189:AO189)</f>
        <v>0</v>
      </c>
      <c r="AP190" s="16">
        <f>SUM(AP189:AP189)</f>
        <v>0</v>
      </c>
      <c r="AQ190" s="16">
        <f>SUM(AQ189:AQ189)</f>
        <v>0</v>
      </c>
      <c r="AR190" s="16">
        <f t="shared" ref="AR190" si="655">SUM(AR189:AR189)</f>
        <v>0</v>
      </c>
      <c r="AS190" s="16">
        <f>SUM(AS189:AS189)</f>
        <v>0</v>
      </c>
      <c r="AT190" s="16">
        <f t="shared" ref="AT190" si="656">SUM(AT189:AT189)</f>
        <v>0</v>
      </c>
      <c r="AU190" s="16">
        <f t="shared" ref="AU190" si="657">SUM(AU189:AU189)</f>
        <v>0</v>
      </c>
      <c r="AV190" s="16">
        <f t="shared" ref="AV190" si="658">SUM(AV189:AV189)</f>
        <v>0</v>
      </c>
      <c r="AW190" s="16">
        <f>SUM(AW189:AW189)</f>
        <v>0</v>
      </c>
      <c r="AX190" s="16">
        <f t="shared" ref="AX190" si="659">SUM(AX189:AX189)</f>
        <v>0</v>
      </c>
      <c r="AY190" s="16">
        <f t="shared" ref="AY190:BF190" si="660">SUM(AY189:AY189)</f>
        <v>0</v>
      </c>
      <c r="AZ190" s="16">
        <f t="shared" si="660"/>
        <v>0</v>
      </c>
      <c r="BA190" s="16">
        <f t="shared" si="660"/>
        <v>0</v>
      </c>
      <c r="BB190" s="16">
        <f t="shared" si="660"/>
        <v>0</v>
      </c>
      <c r="BC190" s="16">
        <f t="shared" si="660"/>
        <v>0</v>
      </c>
      <c r="BD190" s="16">
        <f t="shared" si="660"/>
        <v>0</v>
      </c>
      <c r="BE190" s="16">
        <f t="shared" si="660"/>
        <v>0</v>
      </c>
      <c r="BF190" s="16">
        <f t="shared" si="660"/>
        <v>0</v>
      </c>
    </row>
    <row r="191" spans="1:58" ht="14.15" customHeight="1">
      <c r="A191" s="404">
        <f t="shared" si="568"/>
        <v>185</v>
      </c>
      <c r="B191" s="52"/>
      <c r="C191" s="145"/>
      <c r="D191" s="145"/>
      <c r="E191" s="145"/>
      <c r="F191" s="145"/>
      <c r="G191" s="145"/>
      <c r="H191" s="145"/>
      <c r="I191" s="145"/>
      <c r="J191" s="145"/>
      <c r="K191" s="145"/>
      <c r="L191" s="145"/>
      <c r="M191" s="145"/>
      <c r="N191" s="145"/>
      <c r="O191" s="145"/>
      <c r="P191" s="145"/>
      <c r="Q191" s="145"/>
      <c r="R191" s="145"/>
      <c r="S191" s="145"/>
      <c r="T191" s="145"/>
      <c r="U191" s="145"/>
      <c r="V191" s="145"/>
      <c r="W191" s="145"/>
      <c r="X191" s="145"/>
      <c r="Y191" s="145"/>
      <c r="Z191" s="145"/>
      <c r="AA191" s="145"/>
      <c r="AB191" s="145"/>
      <c r="AC191" s="145"/>
      <c r="AD191" s="145"/>
      <c r="AE191" s="145"/>
      <c r="AF191" s="145"/>
      <c r="AG191" s="145"/>
      <c r="AH191" s="145"/>
      <c r="AI191" s="145"/>
      <c r="AJ191" s="145"/>
      <c r="AK191" s="145"/>
      <c r="AL191" s="145"/>
      <c r="AM191" s="145"/>
      <c r="AN191" s="145"/>
      <c r="AO191" s="145"/>
      <c r="AP191" s="145"/>
      <c r="AQ191" s="145"/>
      <c r="AR191" s="145"/>
      <c r="AS191" s="145"/>
      <c r="AT191" s="145"/>
      <c r="AU191" s="145"/>
      <c r="AV191" s="145"/>
      <c r="AW191" s="145"/>
      <c r="AX191" s="145"/>
      <c r="AY191" s="145"/>
      <c r="AZ191" s="145"/>
      <c r="BA191" s="145"/>
      <c r="BB191" s="145"/>
      <c r="BC191" s="145"/>
      <c r="BD191" s="145"/>
      <c r="BE191" s="145"/>
      <c r="BF191" s="145"/>
    </row>
    <row r="192" spans="1:58" ht="14.15" customHeight="1">
      <c r="A192" s="404">
        <f t="shared" si="568"/>
        <v>186</v>
      </c>
      <c r="B192" s="85" t="s">
        <v>505</v>
      </c>
      <c r="C192" s="16">
        <f t="shared" ref="C192:V192" si="661">C187+C179+C190</f>
        <v>-354370732.91999996</v>
      </c>
      <c r="D192" s="16">
        <f t="shared" ref="D192:I192" si="662">D187+D179+D190</f>
        <v>0</v>
      </c>
      <c r="E192" s="16">
        <f t="shared" si="662"/>
        <v>0</v>
      </c>
      <c r="F192" s="16">
        <f t="shared" si="662"/>
        <v>0</v>
      </c>
      <c r="G192" s="16">
        <f t="shared" si="662"/>
        <v>0</v>
      </c>
      <c r="H192" s="16">
        <f t="shared" si="662"/>
        <v>0</v>
      </c>
      <c r="I192" s="16">
        <f t="shared" si="662"/>
        <v>0</v>
      </c>
      <c r="J192" s="16">
        <f t="shared" si="661"/>
        <v>0</v>
      </c>
      <c r="K192" s="16">
        <f t="shared" ref="K192:U192" si="663">K187+K179+K190</f>
        <v>0</v>
      </c>
      <c r="L192" s="16">
        <f t="shared" si="663"/>
        <v>0</v>
      </c>
      <c r="M192" s="16">
        <f t="shared" si="663"/>
        <v>0</v>
      </c>
      <c r="N192" s="16">
        <f t="shared" si="663"/>
        <v>0</v>
      </c>
      <c r="O192" s="16">
        <f t="shared" si="663"/>
        <v>0</v>
      </c>
      <c r="P192" s="16">
        <f t="shared" si="663"/>
        <v>0</v>
      </c>
      <c r="Q192" s="16">
        <f t="shared" si="663"/>
        <v>0</v>
      </c>
      <c r="R192" s="16">
        <f t="shared" si="663"/>
        <v>0</v>
      </c>
      <c r="S192" s="16">
        <f t="shared" si="663"/>
        <v>0</v>
      </c>
      <c r="T192" s="16">
        <f t="shared" si="663"/>
        <v>0</v>
      </c>
      <c r="U192" s="16">
        <f t="shared" si="663"/>
        <v>15976575.080000035</v>
      </c>
      <c r="V192" s="16">
        <f t="shared" si="661"/>
        <v>0</v>
      </c>
      <c r="W192" s="16">
        <f>W187+W179+W190</f>
        <v>0</v>
      </c>
      <c r="X192" s="16">
        <f t="shared" ref="X192:AD192" si="664">X187+X179+X190</f>
        <v>0</v>
      </c>
      <c r="Y192" s="16">
        <f>Y187+Y179+Y190</f>
        <v>0</v>
      </c>
      <c r="Z192" s="16">
        <f t="shared" si="664"/>
        <v>0</v>
      </c>
      <c r="AA192" s="16">
        <f t="shared" si="664"/>
        <v>0</v>
      </c>
      <c r="AB192" s="16">
        <f t="shared" si="664"/>
        <v>0</v>
      </c>
      <c r="AC192" s="16">
        <f t="shared" si="664"/>
        <v>0</v>
      </c>
      <c r="AD192" s="16">
        <f t="shared" si="664"/>
        <v>0</v>
      </c>
      <c r="AE192" s="16">
        <f>AE187+AE179+AE190</f>
        <v>0</v>
      </c>
      <c r="AF192" s="16">
        <f>AF187+AF179+AF190</f>
        <v>0</v>
      </c>
      <c r="AG192" s="16">
        <f>AG187+AG179+AG190</f>
        <v>0</v>
      </c>
      <c r="AH192" s="16">
        <f t="shared" ref="AH192" si="665">AH187+AH179+AH190</f>
        <v>0</v>
      </c>
      <c r="AI192" s="16">
        <f t="shared" ref="AI192:AL192" si="666">AI187+AI179+AI190</f>
        <v>0</v>
      </c>
      <c r="AJ192" s="16">
        <f t="shared" si="666"/>
        <v>0</v>
      </c>
      <c r="AK192" s="16">
        <f t="shared" si="666"/>
        <v>0</v>
      </c>
      <c r="AL192" s="16">
        <f t="shared" si="666"/>
        <v>0</v>
      </c>
      <c r="AM192" s="16">
        <f>AM187+AM179+AM190</f>
        <v>0</v>
      </c>
      <c r="AN192" s="16">
        <f>AN187+AN179+AN190</f>
        <v>0</v>
      </c>
      <c r="AO192" s="16">
        <f>AO187+AO179+AO190</f>
        <v>0</v>
      </c>
      <c r="AP192" s="16">
        <f>AP187+AP179+AP190</f>
        <v>0</v>
      </c>
      <c r="AQ192" s="16">
        <f>AQ187+AQ179+AQ190</f>
        <v>0</v>
      </c>
      <c r="AR192" s="16">
        <f t="shared" ref="AR192" si="667">AR187+AR179+AR190</f>
        <v>0</v>
      </c>
      <c r="AS192" s="16">
        <f>AS187+AS179+AS190</f>
        <v>0</v>
      </c>
      <c r="AT192" s="16">
        <f t="shared" ref="AT192" si="668">AT187+AT179+AT190</f>
        <v>0</v>
      </c>
      <c r="AU192" s="16">
        <f t="shared" ref="AU192" si="669">AU187+AU179+AU190</f>
        <v>-200045017</v>
      </c>
      <c r="AV192" s="16">
        <f t="shared" ref="AV192" si="670">AV187+AV179+AV190</f>
        <v>0</v>
      </c>
      <c r="AW192" s="16">
        <f>AW187+AW179+AW190</f>
        <v>2147169.65</v>
      </c>
      <c r="AX192" s="16">
        <f t="shared" ref="AX192" si="671">AX187+AX179+AX190</f>
        <v>-2147169.65</v>
      </c>
      <c r="AY192" s="16">
        <f t="shared" ref="AY192:BF192" si="672">AY187+AY179+AY190</f>
        <v>0</v>
      </c>
      <c r="AZ192" s="16">
        <f t="shared" si="672"/>
        <v>0</v>
      </c>
      <c r="BA192" s="16">
        <f t="shared" si="672"/>
        <v>0</v>
      </c>
      <c r="BB192" s="16">
        <f t="shared" si="672"/>
        <v>0</v>
      </c>
      <c r="BC192" s="16">
        <f t="shared" si="672"/>
        <v>0</v>
      </c>
      <c r="BD192" s="16">
        <f t="shared" si="672"/>
        <v>-166612406</v>
      </c>
      <c r="BE192" s="16">
        <f t="shared" si="672"/>
        <v>-3689885</v>
      </c>
      <c r="BF192" s="16">
        <f t="shared" si="672"/>
        <v>0</v>
      </c>
    </row>
    <row r="193" spans="1:58" ht="14.15" customHeight="1">
      <c r="A193" s="404">
        <f t="shared" si="568"/>
        <v>187</v>
      </c>
      <c r="B193" s="52"/>
      <c r="C193" s="145"/>
      <c r="D193" s="145"/>
      <c r="E193" s="145"/>
      <c r="F193" s="145"/>
      <c r="G193" s="145"/>
      <c r="H193" s="145"/>
      <c r="I193" s="145"/>
      <c r="J193" s="145"/>
      <c r="K193" s="145"/>
      <c r="L193" s="145"/>
      <c r="M193" s="145"/>
      <c r="N193" s="145"/>
      <c r="O193" s="145"/>
      <c r="P193" s="145"/>
      <c r="Q193" s="145"/>
      <c r="R193" s="145"/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145"/>
      <c r="AE193" s="145"/>
      <c r="AF193" s="145"/>
      <c r="AG193" s="145"/>
      <c r="AH193" s="145"/>
      <c r="AI193" s="145"/>
      <c r="AJ193" s="145"/>
      <c r="AK193" s="145"/>
      <c r="AL193" s="145"/>
      <c r="AM193" s="145"/>
      <c r="AN193" s="145"/>
      <c r="AO193" s="145"/>
      <c r="AP193" s="145"/>
      <c r="AQ193" s="145"/>
      <c r="AR193" s="145"/>
      <c r="AS193" s="145"/>
      <c r="AT193" s="145"/>
      <c r="AU193" s="145"/>
      <c r="AV193" s="145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</row>
    <row r="194" spans="1:58" ht="14.15" customHeight="1" thickBot="1">
      <c r="A194" s="404">
        <f t="shared" si="568"/>
        <v>188</v>
      </c>
      <c r="B194" s="54" t="s">
        <v>139</v>
      </c>
      <c r="C194" s="198">
        <f t="shared" ref="C194:V194" si="673">+C172-C192</f>
        <v>-247128108.88999999</v>
      </c>
      <c r="D194" s="87">
        <f t="shared" ref="D194:I194" si="674">+D172-D192</f>
        <v>0</v>
      </c>
      <c r="E194" s="87">
        <f t="shared" si="674"/>
        <v>0</v>
      </c>
      <c r="F194" s="198">
        <f t="shared" si="674"/>
        <v>0</v>
      </c>
      <c r="G194" s="198">
        <f t="shared" si="674"/>
        <v>0</v>
      </c>
      <c r="H194" s="198">
        <f t="shared" si="674"/>
        <v>0</v>
      </c>
      <c r="I194" s="198">
        <f t="shared" si="674"/>
        <v>0</v>
      </c>
      <c r="J194" s="198">
        <f t="shared" si="673"/>
        <v>0</v>
      </c>
      <c r="K194" s="87">
        <f t="shared" ref="K194:U194" si="675">+K172-K192</f>
        <v>0</v>
      </c>
      <c r="L194" s="198">
        <f t="shared" si="675"/>
        <v>0</v>
      </c>
      <c r="M194" s="87">
        <f t="shared" si="675"/>
        <v>0</v>
      </c>
      <c r="N194" s="198">
        <f t="shared" si="675"/>
        <v>0</v>
      </c>
      <c r="O194" s="198">
        <f t="shared" si="675"/>
        <v>0</v>
      </c>
      <c r="P194" s="198">
        <f t="shared" si="675"/>
        <v>0</v>
      </c>
      <c r="Q194" s="87">
        <f t="shared" si="675"/>
        <v>0</v>
      </c>
      <c r="R194" s="87">
        <f t="shared" si="675"/>
        <v>0</v>
      </c>
      <c r="S194" s="87">
        <f t="shared" si="675"/>
        <v>0</v>
      </c>
      <c r="T194" s="198">
        <f t="shared" si="675"/>
        <v>0</v>
      </c>
      <c r="U194" s="198">
        <f t="shared" si="675"/>
        <v>20826262.540000044</v>
      </c>
      <c r="V194" s="87">
        <f t="shared" si="673"/>
        <v>0</v>
      </c>
      <c r="W194" s="198">
        <f>+W172-W192</f>
        <v>0</v>
      </c>
      <c r="X194" s="198">
        <f t="shared" ref="X194:AD194" si="676">+X172-X192</f>
        <v>0</v>
      </c>
      <c r="Y194" s="198">
        <f>+Y172-Y192</f>
        <v>0</v>
      </c>
      <c r="Z194" s="198">
        <f t="shared" si="676"/>
        <v>0</v>
      </c>
      <c r="AA194" s="198">
        <f t="shared" si="676"/>
        <v>0</v>
      </c>
      <c r="AB194" s="198">
        <f t="shared" si="676"/>
        <v>0</v>
      </c>
      <c r="AC194" s="198">
        <f t="shared" si="676"/>
        <v>0</v>
      </c>
      <c r="AD194" s="198">
        <f t="shared" si="676"/>
        <v>0</v>
      </c>
      <c r="AE194" s="198">
        <f>+AE172-AE192</f>
        <v>0</v>
      </c>
      <c r="AF194" s="198">
        <f>+AF172-AF192</f>
        <v>0</v>
      </c>
      <c r="AG194" s="87">
        <f>+AG172-AG192</f>
        <v>0</v>
      </c>
      <c r="AH194" s="198">
        <f t="shared" ref="AH194" si="677">+AH172-AH192</f>
        <v>0</v>
      </c>
      <c r="AI194" s="198">
        <f t="shared" ref="AI194:AL194" si="678">+AI172-AI192</f>
        <v>0</v>
      </c>
      <c r="AJ194" s="87">
        <f t="shared" si="678"/>
        <v>0</v>
      </c>
      <c r="AK194" s="87">
        <f t="shared" si="678"/>
        <v>0</v>
      </c>
      <c r="AL194" s="198">
        <f t="shared" si="678"/>
        <v>0</v>
      </c>
      <c r="AM194" s="198">
        <f>+AM172-AM192</f>
        <v>0</v>
      </c>
      <c r="AN194" s="198">
        <f>+AN172-AN192</f>
        <v>0</v>
      </c>
      <c r="AO194" s="198">
        <f>+AO172-AO192</f>
        <v>0</v>
      </c>
      <c r="AP194" s="198">
        <f>+AP172-AP192</f>
        <v>0</v>
      </c>
      <c r="AQ194" s="87">
        <f>+AQ172-AQ192</f>
        <v>0</v>
      </c>
      <c r="AR194" s="87">
        <f t="shared" ref="AR194" si="679">+AR172-AR192</f>
        <v>0</v>
      </c>
      <c r="AS194" s="87">
        <f>+AS172-AS192</f>
        <v>0</v>
      </c>
      <c r="AT194" s="198">
        <f t="shared" ref="AT194" si="680">+AT172-AT192</f>
        <v>0</v>
      </c>
      <c r="AU194" s="198">
        <f t="shared" ref="AU194" si="681">+AU172-AU192</f>
        <v>-127654870.42999995</v>
      </c>
      <c r="AV194" s="198">
        <f t="shared" ref="AV194" si="682">+AV172-AV192</f>
        <v>18000000</v>
      </c>
      <c r="AW194" s="198">
        <f>+AW172-AW192</f>
        <v>58243858.970000006</v>
      </c>
      <c r="AX194" s="198">
        <f t="shared" ref="AX194" si="683">+AX172-AX192</f>
        <v>-58243858.970000006</v>
      </c>
      <c r="AY194" s="198">
        <f t="shared" ref="AY194:BF194" si="684">+AY172-AY192</f>
        <v>0</v>
      </c>
      <c r="AZ194" s="198">
        <f t="shared" si="684"/>
        <v>0</v>
      </c>
      <c r="BA194" s="198">
        <f t="shared" si="684"/>
        <v>0</v>
      </c>
      <c r="BB194" s="198">
        <f t="shared" si="684"/>
        <v>0</v>
      </c>
      <c r="BC194" s="198">
        <f t="shared" si="684"/>
        <v>0</v>
      </c>
      <c r="BD194" s="198">
        <f t="shared" si="684"/>
        <v>-157958343</v>
      </c>
      <c r="BE194" s="198">
        <f t="shared" si="684"/>
        <v>-341158</v>
      </c>
      <c r="BF194" s="198">
        <f t="shared" si="684"/>
        <v>0</v>
      </c>
    </row>
    <row r="195" spans="1:58" ht="14.15" customHeight="1" thickTop="1">
      <c r="A195" s="404">
        <f t="shared" si="568"/>
        <v>189</v>
      </c>
      <c r="B195" s="25"/>
      <c r="C195" s="25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</row>
    <row r="196" spans="1:58" ht="14.15" customHeight="1">
      <c r="A196" s="404">
        <f t="shared" si="568"/>
        <v>190</v>
      </c>
      <c r="B196" s="13" t="s">
        <v>140</v>
      </c>
      <c r="C196" s="13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</row>
    <row r="197" spans="1:58" ht="14.15" customHeight="1">
      <c r="A197" s="404">
        <f t="shared" si="568"/>
        <v>191</v>
      </c>
      <c r="B197" s="22" t="s">
        <v>141</v>
      </c>
      <c r="C197" s="38">
        <f>SUM(D197:BF197)</f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0">
        <v>0</v>
      </c>
      <c r="AM197" s="10">
        <v>0</v>
      </c>
      <c r="AN197" s="10">
        <v>0</v>
      </c>
      <c r="AO197" s="10">
        <v>0</v>
      </c>
      <c r="AP197" s="10">
        <v>0</v>
      </c>
      <c r="AQ197" s="10">
        <v>0</v>
      </c>
      <c r="AR197" s="10">
        <v>0</v>
      </c>
      <c r="AS197" s="10">
        <v>0</v>
      </c>
      <c r="AT197" s="10">
        <v>0</v>
      </c>
      <c r="AU197" s="10">
        <v>0</v>
      </c>
      <c r="AV197" s="10">
        <v>0</v>
      </c>
      <c r="AW197" s="10">
        <v>0</v>
      </c>
      <c r="AX197" s="10">
        <v>0</v>
      </c>
      <c r="AY197" s="10">
        <v>0</v>
      </c>
      <c r="AZ197" s="10">
        <v>0</v>
      </c>
      <c r="BA197" s="10">
        <v>0</v>
      </c>
      <c r="BB197" s="10">
        <v>0</v>
      </c>
      <c r="BC197" s="10">
        <v>0</v>
      </c>
      <c r="BD197" s="10">
        <v>0</v>
      </c>
      <c r="BE197" s="10">
        <v>0</v>
      </c>
      <c r="BF197" s="10">
        <v>0</v>
      </c>
    </row>
    <row r="198" spans="1:58" ht="14.15" customHeight="1">
      <c r="A198" s="404">
        <f t="shared" si="568"/>
        <v>192</v>
      </c>
      <c r="B198" s="56" t="s">
        <v>55</v>
      </c>
      <c r="C198" s="38">
        <f>SUM(D198:BF198)</f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10">
        <v>0</v>
      </c>
      <c r="AB198" s="10">
        <v>0</v>
      </c>
      <c r="AC198" s="10">
        <v>0</v>
      </c>
      <c r="AD198" s="10">
        <v>0</v>
      </c>
      <c r="AE198" s="10">
        <v>0</v>
      </c>
      <c r="AF198" s="10">
        <v>0</v>
      </c>
      <c r="AG198" s="10">
        <v>0</v>
      </c>
      <c r="AH198" s="10">
        <v>0</v>
      </c>
      <c r="AI198" s="10">
        <v>0</v>
      </c>
      <c r="AJ198" s="10">
        <v>0</v>
      </c>
      <c r="AK198" s="10">
        <v>0</v>
      </c>
      <c r="AL198" s="10">
        <v>0</v>
      </c>
      <c r="AM198" s="10">
        <v>0</v>
      </c>
      <c r="AN198" s="10">
        <v>0</v>
      </c>
      <c r="AO198" s="10">
        <v>0</v>
      </c>
      <c r="AP198" s="10">
        <v>0</v>
      </c>
      <c r="AQ198" s="10">
        <v>0</v>
      </c>
      <c r="AR198" s="10">
        <v>0</v>
      </c>
      <c r="AS198" s="10">
        <v>0</v>
      </c>
      <c r="AT198" s="10">
        <v>0</v>
      </c>
      <c r="AU198" s="10">
        <v>0</v>
      </c>
      <c r="AV198" s="10">
        <v>0</v>
      </c>
      <c r="AW198" s="10">
        <v>0</v>
      </c>
      <c r="AX198" s="10">
        <v>0</v>
      </c>
      <c r="AY198" s="10">
        <v>0</v>
      </c>
      <c r="AZ198" s="10">
        <v>0</v>
      </c>
      <c r="BA198" s="10">
        <v>0</v>
      </c>
      <c r="BB198" s="10">
        <v>0</v>
      </c>
      <c r="BC198" s="10">
        <v>0</v>
      </c>
      <c r="BD198" s="10">
        <v>0</v>
      </c>
      <c r="BE198" s="10">
        <v>0</v>
      </c>
      <c r="BF198" s="10">
        <v>0</v>
      </c>
    </row>
    <row r="199" spans="1:58" ht="14.15" customHeight="1">
      <c r="A199" s="404">
        <f t="shared" si="568"/>
        <v>193</v>
      </c>
      <c r="B199" s="13" t="s">
        <v>508</v>
      </c>
      <c r="C199" s="47">
        <f t="shared" ref="C199:V199" si="685">SUM(C197:C198)</f>
        <v>0</v>
      </c>
      <c r="D199" s="47">
        <f t="shared" ref="D199:I199" si="686">SUM(D197:D198)</f>
        <v>0</v>
      </c>
      <c r="E199" s="47">
        <f t="shared" si="686"/>
        <v>0</v>
      </c>
      <c r="F199" s="47">
        <f t="shared" si="686"/>
        <v>0</v>
      </c>
      <c r="G199" s="47">
        <f t="shared" si="686"/>
        <v>0</v>
      </c>
      <c r="H199" s="47">
        <f t="shared" si="686"/>
        <v>0</v>
      </c>
      <c r="I199" s="47">
        <f t="shared" si="686"/>
        <v>0</v>
      </c>
      <c r="J199" s="47">
        <f t="shared" si="685"/>
        <v>0</v>
      </c>
      <c r="K199" s="47">
        <f t="shared" ref="K199:U199" si="687">SUM(K197:K198)</f>
        <v>0</v>
      </c>
      <c r="L199" s="47">
        <f t="shared" si="687"/>
        <v>0</v>
      </c>
      <c r="M199" s="47">
        <f t="shared" si="687"/>
        <v>0</v>
      </c>
      <c r="N199" s="47">
        <f t="shared" si="687"/>
        <v>0</v>
      </c>
      <c r="O199" s="47">
        <f t="shared" si="687"/>
        <v>0</v>
      </c>
      <c r="P199" s="47">
        <f t="shared" si="687"/>
        <v>0</v>
      </c>
      <c r="Q199" s="47">
        <f t="shared" si="687"/>
        <v>0</v>
      </c>
      <c r="R199" s="47">
        <f t="shared" si="687"/>
        <v>0</v>
      </c>
      <c r="S199" s="47">
        <f t="shared" si="687"/>
        <v>0</v>
      </c>
      <c r="T199" s="47">
        <f t="shared" si="687"/>
        <v>0</v>
      </c>
      <c r="U199" s="47">
        <f t="shared" si="687"/>
        <v>0</v>
      </c>
      <c r="V199" s="47">
        <f t="shared" si="685"/>
        <v>0</v>
      </c>
      <c r="W199" s="47">
        <f>SUM(W197:W198)</f>
        <v>0</v>
      </c>
      <c r="X199" s="47">
        <f t="shared" ref="X199:AD199" si="688">SUM(X197:X198)</f>
        <v>0</v>
      </c>
      <c r="Y199" s="47">
        <f>SUM(Y197:Y198)</f>
        <v>0</v>
      </c>
      <c r="Z199" s="47">
        <f t="shared" si="688"/>
        <v>0</v>
      </c>
      <c r="AA199" s="47">
        <f t="shared" si="688"/>
        <v>0</v>
      </c>
      <c r="AB199" s="47">
        <f t="shared" si="688"/>
        <v>0</v>
      </c>
      <c r="AC199" s="47">
        <f t="shared" si="688"/>
        <v>0</v>
      </c>
      <c r="AD199" s="47">
        <f t="shared" si="688"/>
        <v>0</v>
      </c>
      <c r="AE199" s="47">
        <f>SUM(AE197:AE198)</f>
        <v>0</v>
      </c>
      <c r="AF199" s="47">
        <f>SUM(AF197:AF198)</f>
        <v>0</v>
      </c>
      <c r="AG199" s="47">
        <f>SUM(AG197:AG198)</f>
        <v>0</v>
      </c>
      <c r="AH199" s="47">
        <f t="shared" ref="AH199" si="689">SUM(AH197:AH198)</f>
        <v>0</v>
      </c>
      <c r="AI199" s="47">
        <f t="shared" ref="AI199:AL199" si="690">SUM(AI197:AI198)</f>
        <v>0</v>
      </c>
      <c r="AJ199" s="47">
        <f t="shared" si="690"/>
        <v>0</v>
      </c>
      <c r="AK199" s="47">
        <f t="shared" si="690"/>
        <v>0</v>
      </c>
      <c r="AL199" s="47">
        <f t="shared" si="690"/>
        <v>0</v>
      </c>
      <c r="AM199" s="47">
        <f>SUM(AM197:AM198)</f>
        <v>0</v>
      </c>
      <c r="AN199" s="47">
        <f>SUM(AN197:AN198)</f>
        <v>0</v>
      </c>
      <c r="AO199" s="47">
        <f>SUM(AO197:AO198)</f>
        <v>0</v>
      </c>
      <c r="AP199" s="47">
        <f>SUM(AP197:AP198)</f>
        <v>0</v>
      </c>
      <c r="AQ199" s="47">
        <f>SUM(AQ197:AQ198)</f>
        <v>0</v>
      </c>
      <c r="AR199" s="47">
        <f t="shared" ref="AR199" si="691">SUM(AR197:AR198)</f>
        <v>0</v>
      </c>
      <c r="AS199" s="47">
        <f>SUM(AS197:AS198)</f>
        <v>0</v>
      </c>
      <c r="AT199" s="47">
        <f t="shared" ref="AT199" si="692">SUM(AT197:AT198)</f>
        <v>0</v>
      </c>
      <c r="AU199" s="47">
        <f t="shared" ref="AU199" si="693">SUM(AU197:AU198)</f>
        <v>0</v>
      </c>
      <c r="AV199" s="47">
        <f t="shared" ref="AV199" si="694">SUM(AV197:AV198)</f>
        <v>0</v>
      </c>
      <c r="AW199" s="47">
        <f>SUM(AW197:AW198)</f>
        <v>0</v>
      </c>
      <c r="AX199" s="47">
        <f t="shared" ref="AX199" si="695">SUM(AX197:AX198)</f>
        <v>0</v>
      </c>
      <c r="AY199" s="47">
        <f t="shared" ref="AY199:BF199" si="696">SUM(AY197:AY198)</f>
        <v>0</v>
      </c>
      <c r="AZ199" s="47">
        <f t="shared" si="696"/>
        <v>0</v>
      </c>
      <c r="BA199" s="47">
        <f t="shared" si="696"/>
        <v>0</v>
      </c>
      <c r="BB199" s="47">
        <f t="shared" si="696"/>
        <v>0</v>
      </c>
      <c r="BC199" s="47">
        <f t="shared" si="696"/>
        <v>0</v>
      </c>
      <c r="BD199" s="47">
        <f t="shared" si="696"/>
        <v>0</v>
      </c>
      <c r="BE199" s="47">
        <f t="shared" si="696"/>
        <v>0</v>
      </c>
      <c r="BF199" s="47">
        <f t="shared" si="696"/>
        <v>0</v>
      </c>
    </row>
    <row r="200" spans="1:58" ht="14.15" customHeight="1">
      <c r="A200" s="404">
        <f t="shared" si="568"/>
        <v>194</v>
      </c>
      <c r="B200" s="22"/>
      <c r="C200" s="22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</row>
    <row r="201" spans="1:58" ht="14.15" customHeight="1">
      <c r="A201" s="404">
        <f t="shared" si="568"/>
        <v>195</v>
      </c>
      <c r="B201" s="22" t="s">
        <v>134</v>
      </c>
      <c r="C201" s="38">
        <f>SUM(D201:BF201)</f>
        <v>107260.03000000026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107260.03000000026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0">
        <v>0</v>
      </c>
      <c r="AM201" s="10">
        <v>0</v>
      </c>
      <c r="AN201" s="10">
        <v>0</v>
      </c>
      <c r="AO201" s="10">
        <v>0</v>
      </c>
      <c r="AP201" s="10">
        <v>0</v>
      </c>
      <c r="AQ201" s="10">
        <v>0</v>
      </c>
      <c r="AR201" s="10">
        <v>0</v>
      </c>
      <c r="AS201" s="10">
        <v>0</v>
      </c>
      <c r="AT201" s="10">
        <v>0</v>
      </c>
      <c r="AU201" s="10">
        <v>0</v>
      </c>
      <c r="AV201" s="10">
        <v>0</v>
      </c>
      <c r="AW201" s="10">
        <v>0</v>
      </c>
      <c r="AX201" s="10">
        <v>0</v>
      </c>
      <c r="AY201" s="10">
        <v>0</v>
      </c>
      <c r="AZ201" s="10">
        <v>0</v>
      </c>
      <c r="BA201" s="10">
        <v>0</v>
      </c>
      <c r="BB201" s="10">
        <v>0</v>
      </c>
      <c r="BC201" s="10">
        <v>0</v>
      </c>
      <c r="BD201" s="10">
        <v>0</v>
      </c>
      <c r="BE201" s="10">
        <v>0</v>
      </c>
      <c r="BF201" s="10">
        <v>0</v>
      </c>
    </row>
    <row r="202" spans="1:58" ht="14.15" customHeight="1">
      <c r="A202" s="404">
        <f t="shared" si="568"/>
        <v>196</v>
      </c>
      <c r="B202" s="56" t="s">
        <v>142</v>
      </c>
      <c r="C202" s="38">
        <f>SUM(D202:BF202)</f>
        <v>3472.9500000000407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3472.9500000000407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0">
        <v>0</v>
      </c>
      <c r="AM202" s="10">
        <v>0</v>
      </c>
      <c r="AN202" s="10">
        <v>0</v>
      </c>
      <c r="AO202" s="10">
        <v>0</v>
      </c>
      <c r="AP202" s="10">
        <v>0</v>
      </c>
      <c r="AQ202" s="10">
        <v>0</v>
      </c>
      <c r="AR202" s="10">
        <v>0</v>
      </c>
      <c r="AS202" s="10">
        <v>0</v>
      </c>
      <c r="AT202" s="10">
        <v>0</v>
      </c>
      <c r="AU202" s="10">
        <v>0</v>
      </c>
      <c r="AV202" s="10">
        <v>0</v>
      </c>
      <c r="AW202" s="10">
        <v>0</v>
      </c>
      <c r="AX202" s="10">
        <v>0</v>
      </c>
      <c r="AY202" s="10">
        <v>0</v>
      </c>
      <c r="AZ202" s="10">
        <v>0</v>
      </c>
      <c r="BA202" s="10">
        <v>0</v>
      </c>
      <c r="BB202" s="10">
        <v>0</v>
      </c>
      <c r="BC202" s="10">
        <v>0</v>
      </c>
      <c r="BD202" s="10">
        <v>0</v>
      </c>
      <c r="BE202" s="10">
        <v>0</v>
      </c>
      <c r="BF202" s="10">
        <v>0</v>
      </c>
    </row>
    <row r="203" spans="1:58" ht="14.15" customHeight="1">
      <c r="A203" s="404">
        <f t="shared" si="568"/>
        <v>197</v>
      </c>
      <c r="B203" s="85" t="s">
        <v>474</v>
      </c>
      <c r="C203" s="47">
        <f t="shared" ref="C203:V203" si="697">SUM(C201:C202)</f>
        <v>110732.9800000003</v>
      </c>
      <c r="D203" s="47">
        <f t="shared" ref="D203:I203" si="698">SUM(D201:D202)</f>
        <v>0</v>
      </c>
      <c r="E203" s="47">
        <f t="shared" si="698"/>
        <v>0</v>
      </c>
      <c r="F203" s="47">
        <f t="shared" si="698"/>
        <v>0</v>
      </c>
      <c r="G203" s="47">
        <f t="shared" si="698"/>
        <v>0</v>
      </c>
      <c r="H203" s="47">
        <f t="shared" si="698"/>
        <v>0</v>
      </c>
      <c r="I203" s="47">
        <f t="shared" si="698"/>
        <v>0</v>
      </c>
      <c r="J203" s="47">
        <f t="shared" si="697"/>
        <v>0</v>
      </c>
      <c r="K203" s="47">
        <f t="shared" ref="K203:U203" si="699">SUM(K201:K202)</f>
        <v>0</v>
      </c>
      <c r="L203" s="47">
        <f t="shared" si="699"/>
        <v>0</v>
      </c>
      <c r="M203" s="47">
        <f t="shared" si="699"/>
        <v>0</v>
      </c>
      <c r="N203" s="47">
        <f t="shared" si="699"/>
        <v>0</v>
      </c>
      <c r="O203" s="47">
        <f t="shared" si="699"/>
        <v>0</v>
      </c>
      <c r="P203" s="47">
        <f t="shared" si="699"/>
        <v>0</v>
      </c>
      <c r="Q203" s="47">
        <f t="shared" si="699"/>
        <v>0</v>
      </c>
      <c r="R203" s="47">
        <f t="shared" si="699"/>
        <v>0</v>
      </c>
      <c r="S203" s="47">
        <f t="shared" si="699"/>
        <v>0</v>
      </c>
      <c r="T203" s="47">
        <f t="shared" si="699"/>
        <v>0</v>
      </c>
      <c r="U203" s="47">
        <f t="shared" si="699"/>
        <v>110732.9800000003</v>
      </c>
      <c r="V203" s="47">
        <f t="shared" si="697"/>
        <v>0</v>
      </c>
      <c r="W203" s="47">
        <f>SUM(W201:W202)</f>
        <v>0</v>
      </c>
      <c r="X203" s="47">
        <f t="shared" ref="X203:AD203" si="700">SUM(X201:X202)</f>
        <v>0</v>
      </c>
      <c r="Y203" s="47">
        <f>SUM(Y201:Y202)</f>
        <v>0</v>
      </c>
      <c r="Z203" s="47">
        <f t="shared" si="700"/>
        <v>0</v>
      </c>
      <c r="AA203" s="47">
        <f t="shared" si="700"/>
        <v>0</v>
      </c>
      <c r="AB203" s="47">
        <f t="shared" si="700"/>
        <v>0</v>
      </c>
      <c r="AC203" s="47">
        <f t="shared" si="700"/>
        <v>0</v>
      </c>
      <c r="AD203" s="47">
        <f t="shared" si="700"/>
        <v>0</v>
      </c>
      <c r="AE203" s="47">
        <f>SUM(AE201:AE202)</f>
        <v>0</v>
      </c>
      <c r="AF203" s="47">
        <f>SUM(AF201:AF202)</f>
        <v>0</v>
      </c>
      <c r="AG203" s="47">
        <f>SUM(AG201:AG202)</f>
        <v>0</v>
      </c>
      <c r="AH203" s="47">
        <f t="shared" ref="AH203" si="701">SUM(AH201:AH202)</f>
        <v>0</v>
      </c>
      <c r="AI203" s="47">
        <f t="shared" ref="AI203:AL203" si="702">SUM(AI201:AI202)</f>
        <v>0</v>
      </c>
      <c r="AJ203" s="47">
        <f t="shared" si="702"/>
        <v>0</v>
      </c>
      <c r="AK203" s="47">
        <f t="shared" si="702"/>
        <v>0</v>
      </c>
      <c r="AL203" s="47">
        <f t="shared" si="702"/>
        <v>0</v>
      </c>
      <c r="AM203" s="47">
        <f>SUM(AM201:AM202)</f>
        <v>0</v>
      </c>
      <c r="AN203" s="47">
        <f>SUM(AN201:AN202)</f>
        <v>0</v>
      </c>
      <c r="AO203" s="47">
        <f>SUM(AO201:AO202)</f>
        <v>0</v>
      </c>
      <c r="AP203" s="47">
        <f>SUM(AP201:AP202)</f>
        <v>0</v>
      </c>
      <c r="AQ203" s="47">
        <f>SUM(AQ201:AQ202)</f>
        <v>0</v>
      </c>
      <c r="AR203" s="47">
        <f t="shared" ref="AR203" si="703">SUM(AR201:AR202)</f>
        <v>0</v>
      </c>
      <c r="AS203" s="47">
        <f>SUM(AS201:AS202)</f>
        <v>0</v>
      </c>
      <c r="AT203" s="47">
        <f t="shared" ref="AT203" si="704">SUM(AT201:AT202)</f>
        <v>0</v>
      </c>
      <c r="AU203" s="47">
        <f t="shared" ref="AU203" si="705">SUM(AU201:AU202)</f>
        <v>0</v>
      </c>
      <c r="AV203" s="47">
        <f t="shared" ref="AV203" si="706">SUM(AV201:AV202)</f>
        <v>0</v>
      </c>
      <c r="AW203" s="47">
        <f>SUM(AW201:AW202)</f>
        <v>0</v>
      </c>
      <c r="AX203" s="47">
        <f t="shared" ref="AX203" si="707">SUM(AX201:AX202)</f>
        <v>0</v>
      </c>
      <c r="AY203" s="47">
        <f t="shared" ref="AY203:BF203" si="708">SUM(AY201:AY202)</f>
        <v>0</v>
      </c>
      <c r="AZ203" s="47">
        <f t="shared" si="708"/>
        <v>0</v>
      </c>
      <c r="BA203" s="47">
        <f t="shared" si="708"/>
        <v>0</v>
      </c>
      <c r="BB203" s="47">
        <f t="shared" si="708"/>
        <v>0</v>
      </c>
      <c r="BC203" s="47">
        <f t="shared" si="708"/>
        <v>0</v>
      </c>
      <c r="BD203" s="47">
        <f t="shared" si="708"/>
        <v>0</v>
      </c>
      <c r="BE203" s="47">
        <f t="shared" si="708"/>
        <v>0</v>
      </c>
      <c r="BF203" s="47">
        <f t="shared" si="708"/>
        <v>0</v>
      </c>
    </row>
    <row r="204" spans="1:58" ht="14.15" customHeight="1">
      <c r="A204" s="404">
        <f t="shared" si="568"/>
        <v>198</v>
      </c>
      <c r="B204" s="25"/>
      <c r="C204" s="38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</row>
    <row r="205" spans="1:58" ht="14.15" customHeight="1">
      <c r="A205" s="404">
        <f t="shared" si="568"/>
        <v>199</v>
      </c>
      <c r="B205" s="22" t="s">
        <v>143</v>
      </c>
      <c r="C205" s="38">
        <f>SUM(D205:BF205)</f>
        <v>1459294.1099999994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1459294.1099999994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0">
        <v>0</v>
      </c>
      <c r="AM205" s="10">
        <v>0</v>
      </c>
      <c r="AN205" s="10">
        <v>0</v>
      </c>
      <c r="AO205" s="10">
        <v>0</v>
      </c>
      <c r="AP205" s="10">
        <v>0</v>
      </c>
      <c r="AQ205" s="10">
        <v>0</v>
      </c>
      <c r="AR205" s="10">
        <v>0</v>
      </c>
      <c r="AS205" s="10">
        <v>0</v>
      </c>
      <c r="AT205" s="10">
        <v>0</v>
      </c>
      <c r="AU205" s="10">
        <v>0</v>
      </c>
      <c r="AV205" s="10">
        <v>0</v>
      </c>
      <c r="AW205" s="10">
        <v>0</v>
      </c>
      <c r="AX205" s="10">
        <v>0</v>
      </c>
      <c r="AY205" s="10">
        <v>0</v>
      </c>
      <c r="AZ205" s="10">
        <v>0</v>
      </c>
      <c r="BA205" s="10">
        <v>0</v>
      </c>
      <c r="BB205" s="10">
        <v>0</v>
      </c>
      <c r="BC205" s="10">
        <v>0</v>
      </c>
      <c r="BD205" s="10">
        <v>0</v>
      </c>
      <c r="BE205" s="10">
        <v>0</v>
      </c>
      <c r="BF205" s="10">
        <v>0</v>
      </c>
    </row>
    <row r="206" spans="1:58" ht="14.15" customHeight="1">
      <c r="A206" s="404">
        <f t="shared" ref="A206:A271" si="709">+A205+1</f>
        <v>200</v>
      </c>
      <c r="B206" s="52" t="s">
        <v>55</v>
      </c>
      <c r="C206" s="38">
        <f>SUM(D206:BF206)</f>
        <v>72944.110000000335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72944.110000000335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0">
        <v>0</v>
      </c>
      <c r="AM206" s="10">
        <v>0</v>
      </c>
      <c r="AN206" s="10">
        <v>0</v>
      </c>
      <c r="AO206" s="10">
        <v>0</v>
      </c>
      <c r="AP206" s="10">
        <v>0</v>
      </c>
      <c r="AQ206" s="10">
        <v>0</v>
      </c>
      <c r="AR206" s="10">
        <v>0</v>
      </c>
      <c r="AS206" s="10">
        <v>0</v>
      </c>
      <c r="AT206" s="10">
        <v>0</v>
      </c>
      <c r="AU206" s="10">
        <v>0</v>
      </c>
      <c r="AV206" s="10">
        <v>0</v>
      </c>
      <c r="AW206" s="10">
        <v>0</v>
      </c>
      <c r="AX206" s="10">
        <v>0</v>
      </c>
      <c r="AY206" s="10">
        <v>0</v>
      </c>
      <c r="AZ206" s="10">
        <v>0</v>
      </c>
      <c r="BA206" s="10">
        <v>0</v>
      </c>
      <c r="BB206" s="10">
        <v>0</v>
      </c>
      <c r="BC206" s="10">
        <v>0</v>
      </c>
      <c r="BD206" s="10">
        <v>0</v>
      </c>
      <c r="BE206" s="10">
        <v>0</v>
      </c>
      <c r="BF206" s="10">
        <v>0</v>
      </c>
    </row>
    <row r="207" spans="1:58" ht="14.15" customHeight="1">
      <c r="A207" s="404">
        <f t="shared" si="709"/>
        <v>201</v>
      </c>
      <c r="B207" s="13" t="s">
        <v>470</v>
      </c>
      <c r="C207" s="47">
        <f t="shared" ref="C207:V207" si="710">SUM(C205:C206)</f>
        <v>1532238.2199999997</v>
      </c>
      <c r="D207" s="47">
        <f t="shared" ref="D207:I207" si="711">SUM(D205:D206)</f>
        <v>0</v>
      </c>
      <c r="E207" s="47">
        <f t="shared" si="711"/>
        <v>0</v>
      </c>
      <c r="F207" s="47">
        <f t="shared" si="711"/>
        <v>0</v>
      </c>
      <c r="G207" s="47">
        <f t="shared" si="711"/>
        <v>0</v>
      </c>
      <c r="H207" s="47">
        <f t="shared" si="711"/>
        <v>0</v>
      </c>
      <c r="I207" s="47">
        <f t="shared" si="711"/>
        <v>0</v>
      </c>
      <c r="J207" s="47">
        <f t="shared" si="710"/>
        <v>0</v>
      </c>
      <c r="K207" s="47">
        <f t="shared" ref="K207:U207" si="712">SUM(K205:K206)</f>
        <v>0</v>
      </c>
      <c r="L207" s="47">
        <f t="shared" si="712"/>
        <v>0</v>
      </c>
      <c r="M207" s="47">
        <f t="shared" si="712"/>
        <v>0</v>
      </c>
      <c r="N207" s="47">
        <f t="shared" si="712"/>
        <v>0</v>
      </c>
      <c r="O207" s="47">
        <f t="shared" si="712"/>
        <v>0</v>
      </c>
      <c r="P207" s="47">
        <f t="shared" si="712"/>
        <v>0</v>
      </c>
      <c r="Q207" s="47">
        <f t="shared" si="712"/>
        <v>0</v>
      </c>
      <c r="R207" s="47">
        <f t="shared" si="712"/>
        <v>0</v>
      </c>
      <c r="S207" s="47">
        <f t="shared" si="712"/>
        <v>0</v>
      </c>
      <c r="T207" s="47">
        <f t="shared" si="712"/>
        <v>0</v>
      </c>
      <c r="U207" s="47">
        <f t="shared" si="712"/>
        <v>1532238.2199999997</v>
      </c>
      <c r="V207" s="47">
        <f t="shared" si="710"/>
        <v>0</v>
      </c>
      <c r="W207" s="47">
        <f>SUM(W205:W206)</f>
        <v>0</v>
      </c>
      <c r="X207" s="47">
        <f t="shared" ref="X207:AD207" si="713">SUM(X205:X206)</f>
        <v>0</v>
      </c>
      <c r="Y207" s="47">
        <f>SUM(Y205:Y206)</f>
        <v>0</v>
      </c>
      <c r="Z207" s="47">
        <f t="shared" si="713"/>
        <v>0</v>
      </c>
      <c r="AA207" s="47">
        <f t="shared" si="713"/>
        <v>0</v>
      </c>
      <c r="AB207" s="47">
        <f t="shared" si="713"/>
        <v>0</v>
      </c>
      <c r="AC207" s="47">
        <f t="shared" si="713"/>
        <v>0</v>
      </c>
      <c r="AD207" s="47">
        <f t="shared" si="713"/>
        <v>0</v>
      </c>
      <c r="AE207" s="47">
        <f>SUM(AE205:AE206)</f>
        <v>0</v>
      </c>
      <c r="AF207" s="47">
        <f>SUM(AF205:AF206)</f>
        <v>0</v>
      </c>
      <c r="AG207" s="47">
        <f>SUM(AG205:AG206)</f>
        <v>0</v>
      </c>
      <c r="AH207" s="47">
        <f t="shared" ref="AH207" si="714">SUM(AH205:AH206)</f>
        <v>0</v>
      </c>
      <c r="AI207" s="47">
        <f t="shared" ref="AI207:AL207" si="715">SUM(AI205:AI206)</f>
        <v>0</v>
      </c>
      <c r="AJ207" s="47">
        <f t="shared" si="715"/>
        <v>0</v>
      </c>
      <c r="AK207" s="47">
        <f t="shared" si="715"/>
        <v>0</v>
      </c>
      <c r="AL207" s="47">
        <f t="shared" si="715"/>
        <v>0</v>
      </c>
      <c r="AM207" s="47">
        <f>SUM(AM205:AM206)</f>
        <v>0</v>
      </c>
      <c r="AN207" s="47">
        <f>SUM(AN205:AN206)</f>
        <v>0</v>
      </c>
      <c r="AO207" s="47">
        <f>SUM(AO205:AO206)</f>
        <v>0</v>
      </c>
      <c r="AP207" s="47">
        <f>SUM(AP205:AP206)</f>
        <v>0</v>
      </c>
      <c r="AQ207" s="47">
        <f>SUM(AQ205:AQ206)</f>
        <v>0</v>
      </c>
      <c r="AR207" s="47">
        <f t="shared" ref="AR207" si="716">SUM(AR205:AR206)</f>
        <v>0</v>
      </c>
      <c r="AS207" s="47">
        <f>SUM(AS205:AS206)</f>
        <v>0</v>
      </c>
      <c r="AT207" s="47">
        <f t="shared" ref="AT207" si="717">SUM(AT205:AT206)</f>
        <v>0</v>
      </c>
      <c r="AU207" s="47">
        <f t="shared" ref="AU207" si="718">SUM(AU205:AU206)</f>
        <v>0</v>
      </c>
      <c r="AV207" s="47">
        <f t="shared" ref="AV207" si="719">SUM(AV205:AV206)</f>
        <v>0</v>
      </c>
      <c r="AW207" s="47">
        <f>SUM(AW205:AW206)</f>
        <v>0</v>
      </c>
      <c r="AX207" s="47">
        <f t="shared" ref="AX207" si="720">SUM(AX205:AX206)</f>
        <v>0</v>
      </c>
      <c r="AY207" s="47">
        <f t="shared" ref="AY207:BF207" si="721">SUM(AY205:AY206)</f>
        <v>0</v>
      </c>
      <c r="AZ207" s="47">
        <f t="shared" si="721"/>
        <v>0</v>
      </c>
      <c r="BA207" s="47">
        <f t="shared" si="721"/>
        <v>0</v>
      </c>
      <c r="BB207" s="47">
        <f t="shared" si="721"/>
        <v>0</v>
      </c>
      <c r="BC207" s="47">
        <f t="shared" si="721"/>
        <v>0</v>
      </c>
      <c r="BD207" s="47">
        <f t="shared" si="721"/>
        <v>0</v>
      </c>
      <c r="BE207" s="47">
        <f t="shared" si="721"/>
        <v>0</v>
      </c>
      <c r="BF207" s="47">
        <f t="shared" si="721"/>
        <v>0</v>
      </c>
    </row>
    <row r="208" spans="1:58" ht="14.15" customHeight="1">
      <c r="A208" s="404">
        <f t="shared" si="709"/>
        <v>202</v>
      </c>
      <c r="B208" s="22"/>
      <c r="C208" s="22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</row>
    <row r="209" spans="1:58" s="18" customFormat="1" ht="14.15" customHeight="1">
      <c r="A209" s="404">
        <f t="shared" si="709"/>
        <v>203</v>
      </c>
      <c r="B209" s="22" t="s">
        <v>136</v>
      </c>
      <c r="C209" s="38">
        <f>SUM(D209:BF209)</f>
        <v>52843.659999996424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52843.659999996424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0">
        <v>0</v>
      </c>
      <c r="AM209" s="10">
        <v>0</v>
      </c>
      <c r="AN209" s="10">
        <v>0</v>
      </c>
      <c r="AO209" s="10">
        <v>0</v>
      </c>
      <c r="AP209" s="10">
        <v>0</v>
      </c>
      <c r="AQ209" s="10">
        <v>0</v>
      </c>
      <c r="AR209" s="10">
        <v>0</v>
      </c>
      <c r="AS209" s="10">
        <v>0</v>
      </c>
      <c r="AT209" s="10">
        <v>0</v>
      </c>
      <c r="AU209" s="10">
        <v>0</v>
      </c>
      <c r="AV209" s="10">
        <v>0</v>
      </c>
      <c r="AW209" s="10">
        <v>0</v>
      </c>
      <c r="AX209" s="10">
        <v>0</v>
      </c>
      <c r="AY209" s="10">
        <v>0</v>
      </c>
      <c r="AZ209" s="10">
        <v>0</v>
      </c>
      <c r="BA209" s="10">
        <v>0</v>
      </c>
      <c r="BB209" s="10">
        <v>0</v>
      </c>
      <c r="BC209" s="10">
        <v>0</v>
      </c>
      <c r="BD209" s="10">
        <v>0</v>
      </c>
      <c r="BE209" s="10">
        <v>0</v>
      </c>
      <c r="BF209" s="10">
        <v>0</v>
      </c>
    </row>
    <row r="210" spans="1:58" s="18" customFormat="1" ht="14.15" customHeight="1">
      <c r="A210" s="404">
        <f t="shared" si="709"/>
        <v>204</v>
      </c>
      <c r="B210" s="56" t="s">
        <v>55</v>
      </c>
      <c r="C210" s="38">
        <f>SUM(D210:BF210)</f>
        <v>2098.089999999851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2098.089999999851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0">
        <v>0</v>
      </c>
      <c r="AM210" s="10">
        <v>0</v>
      </c>
      <c r="AN210" s="10">
        <v>0</v>
      </c>
      <c r="AO210" s="10">
        <v>0</v>
      </c>
      <c r="AP210" s="10">
        <v>0</v>
      </c>
      <c r="AQ210" s="10">
        <v>0</v>
      </c>
      <c r="AR210" s="10">
        <v>0</v>
      </c>
      <c r="AS210" s="10">
        <v>0</v>
      </c>
      <c r="AT210" s="10">
        <v>0</v>
      </c>
      <c r="AU210" s="10">
        <v>0</v>
      </c>
      <c r="AV210" s="10">
        <v>0</v>
      </c>
      <c r="AW210" s="10">
        <v>0</v>
      </c>
      <c r="AX210" s="10">
        <v>0</v>
      </c>
      <c r="AY210" s="10">
        <v>0</v>
      </c>
      <c r="AZ210" s="10">
        <v>0</v>
      </c>
      <c r="BA210" s="10">
        <v>0</v>
      </c>
      <c r="BB210" s="10">
        <v>0</v>
      </c>
      <c r="BC210" s="10">
        <v>0</v>
      </c>
      <c r="BD210" s="10">
        <v>0</v>
      </c>
      <c r="BE210" s="10">
        <v>0</v>
      </c>
      <c r="BF210" s="10">
        <v>0</v>
      </c>
    </row>
    <row r="211" spans="1:58" s="18" customFormat="1" ht="14.15" customHeight="1">
      <c r="A211" s="404">
        <f t="shared" si="709"/>
        <v>205</v>
      </c>
      <c r="B211" s="13" t="s">
        <v>471</v>
      </c>
      <c r="C211" s="47">
        <f t="shared" ref="C211:V211" si="722">SUM(C209:C210)</f>
        <v>54941.749999996275</v>
      </c>
      <c r="D211" s="47">
        <f t="shared" ref="D211:I211" si="723">SUM(D209:D210)</f>
        <v>0</v>
      </c>
      <c r="E211" s="47">
        <f t="shared" si="723"/>
        <v>0</v>
      </c>
      <c r="F211" s="47">
        <f t="shared" si="723"/>
        <v>0</v>
      </c>
      <c r="G211" s="47">
        <f t="shared" si="723"/>
        <v>0</v>
      </c>
      <c r="H211" s="47">
        <f t="shared" si="723"/>
        <v>0</v>
      </c>
      <c r="I211" s="47">
        <f t="shared" si="723"/>
        <v>0</v>
      </c>
      <c r="J211" s="47">
        <f t="shared" si="722"/>
        <v>0</v>
      </c>
      <c r="K211" s="47">
        <f t="shared" ref="K211:U211" si="724">SUM(K209:K210)</f>
        <v>0</v>
      </c>
      <c r="L211" s="47">
        <f t="shared" si="724"/>
        <v>0</v>
      </c>
      <c r="M211" s="47">
        <f t="shared" si="724"/>
        <v>0</v>
      </c>
      <c r="N211" s="47">
        <f t="shared" si="724"/>
        <v>0</v>
      </c>
      <c r="O211" s="47">
        <f t="shared" si="724"/>
        <v>0</v>
      </c>
      <c r="P211" s="47">
        <f t="shared" si="724"/>
        <v>0</v>
      </c>
      <c r="Q211" s="47">
        <f t="shared" si="724"/>
        <v>0</v>
      </c>
      <c r="R211" s="47">
        <f t="shared" si="724"/>
        <v>0</v>
      </c>
      <c r="S211" s="47">
        <f t="shared" si="724"/>
        <v>0</v>
      </c>
      <c r="T211" s="47">
        <f t="shared" si="724"/>
        <v>0</v>
      </c>
      <c r="U211" s="47">
        <f t="shared" si="724"/>
        <v>54941.749999996275</v>
      </c>
      <c r="V211" s="47">
        <f t="shared" si="722"/>
        <v>0</v>
      </c>
      <c r="W211" s="47">
        <f>SUM(W209:W210)</f>
        <v>0</v>
      </c>
      <c r="X211" s="47">
        <f t="shared" ref="X211:AD211" si="725">SUM(X209:X210)</f>
        <v>0</v>
      </c>
      <c r="Y211" s="47">
        <f>SUM(Y209:Y210)</f>
        <v>0</v>
      </c>
      <c r="Z211" s="47">
        <f t="shared" si="725"/>
        <v>0</v>
      </c>
      <c r="AA211" s="47">
        <f t="shared" si="725"/>
        <v>0</v>
      </c>
      <c r="AB211" s="47">
        <f t="shared" si="725"/>
        <v>0</v>
      </c>
      <c r="AC211" s="47">
        <f t="shared" si="725"/>
        <v>0</v>
      </c>
      <c r="AD211" s="47">
        <f t="shared" si="725"/>
        <v>0</v>
      </c>
      <c r="AE211" s="47">
        <f>SUM(AE209:AE210)</f>
        <v>0</v>
      </c>
      <c r="AF211" s="47">
        <f>SUM(AF209:AF210)</f>
        <v>0</v>
      </c>
      <c r="AG211" s="47">
        <f>SUM(AG209:AG210)</f>
        <v>0</v>
      </c>
      <c r="AH211" s="47">
        <f t="shared" ref="AH211" si="726">SUM(AH209:AH210)</f>
        <v>0</v>
      </c>
      <c r="AI211" s="47">
        <f t="shared" ref="AI211:AL211" si="727">SUM(AI209:AI210)</f>
        <v>0</v>
      </c>
      <c r="AJ211" s="47">
        <f t="shared" si="727"/>
        <v>0</v>
      </c>
      <c r="AK211" s="47">
        <f t="shared" si="727"/>
        <v>0</v>
      </c>
      <c r="AL211" s="47">
        <f t="shared" si="727"/>
        <v>0</v>
      </c>
      <c r="AM211" s="47">
        <f>SUM(AM209:AM210)</f>
        <v>0</v>
      </c>
      <c r="AN211" s="47">
        <f>SUM(AN209:AN210)</f>
        <v>0</v>
      </c>
      <c r="AO211" s="47">
        <f>SUM(AO209:AO210)</f>
        <v>0</v>
      </c>
      <c r="AP211" s="47">
        <f>SUM(AP209:AP210)</f>
        <v>0</v>
      </c>
      <c r="AQ211" s="47">
        <f>SUM(AQ209:AQ210)</f>
        <v>0</v>
      </c>
      <c r="AR211" s="47">
        <f t="shared" ref="AR211" si="728">SUM(AR209:AR210)</f>
        <v>0</v>
      </c>
      <c r="AS211" s="47">
        <f>SUM(AS209:AS210)</f>
        <v>0</v>
      </c>
      <c r="AT211" s="47">
        <f t="shared" ref="AT211" si="729">SUM(AT209:AT210)</f>
        <v>0</v>
      </c>
      <c r="AU211" s="47">
        <f t="shared" ref="AU211" si="730">SUM(AU209:AU210)</f>
        <v>0</v>
      </c>
      <c r="AV211" s="47">
        <f t="shared" ref="AV211" si="731">SUM(AV209:AV210)</f>
        <v>0</v>
      </c>
      <c r="AW211" s="47">
        <f>SUM(AW209:AW210)</f>
        <v>0</v>
      </c>
      <c r="AX211" s="47">
        <f t="shared" ref="AX211" si="732">SUM(AX209:AX210)</f>
        <v>0</v>
      </c>
      <c r="AY211" s="47">
        <f t="shared" ref="AY211:BF211" si="733">SUM(AY209:AY210)</f>
        <v>0</v>
      </c>
      <c r="AZ211" s="47">
        <f t="shared" si="733"/>
        <v>0</v>
      </c>
      <c r="BA211" s="47">
        <f t="shared" si="733"/>
        <v>0</v>
      </c>
      <c r="BB211" s="47">
        <f t="shared" si="733"/>
        <v>0</v>
      </c>
      <c r="BC211" s="47">
        <f t="shared" si="733"/>
        <v>0</v>
      </c>
      <c r="BD211" s="47">
        <f t="shared" si="733"/>
        <v>0</v>
      </c>
      <c r="BE211" s="47">
        <f t="shared" si="733"/>
        <v>0</v>
      </c>
      <c r="BF211" s="47">
        <f t="shared" si="733"/>
        <v>0</v>
      </c>
    </row>
    <row r="212" spans="1:58" s="18" customFormat="1" ht="14.15" customHeight="1">
      <c r="A212" s="404">
        <f t="shared" si="709"/>
        <v>206</v>
      </c>
      <c r="B212" s="22"/>
      <c r="C212" s="22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</row>
    <row r="213" spans="1:58" s="18" customFormat="1" ht="14.15" customHeight="1">
      <c r="A213" s="404">
        <f t="shared" si="709"/>
        <v>207</v>
      </c>
      <c r="B213" s="22" t="s">
        <v>137</v>
      </c>
      <c r="C213" s="38">
        <f>SUM(D213:BF213)</f>
        <v>30079.85999999987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30079.85999999987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10">
        <v>0</v>
      </c>
      <c r="AB213" s="10">
        <v>0</v>
      </c>
      <c r="AC213" s="10">
        <v>0</v>
      </c>
      <c r="AD213" s="10">
        <v>0</v>
      </c>
      <c r="AE213" s="10">
        <v>0</v>
      </c>
      <c r="AF213" s="10">
        <v>0</v>
      </c>
      <c r="AG213" s="10">
        <v>0</v>
      </c>
      <c r="AH213" s="10">
        <v>0</v>
      </c>
      <c r="AI213" s="10">
        <v>0</v>
      </c>
      <c r="AJ213" s="10">
        <v>0</v>
      </c>
      <c r="AK213" s="10">
        <v>0</v>
      </c>
      <c r="AL213" s="10">
        <v>0</v>
      </c>
      <c r="AM213" s="10">
        <v>0</v>
      </c>
      <c r="AN213" s="10">
        <v>0</v>
      </c>
      <c r="AO213" s="10">
        <v>0</v>
      </c>
      <c r="AP213" s="10">
        <v>0</v>
      </c>
      <c r="AQ213" s="10">
        <v>0</v>
      </c>
      <c r="AR213" s="10">
        <v>0</v>
      </c>
      <c r="AS213" s="10">
        <v>0</v>
      </c>
      <c r="AT213" s="10">
        <v>0</v>
      </c>
      <c r="AU213" s="10">
        <v>0</v>
      </c>
      <c r="AV213" s="10">
        <v>0</v>
      </c>
      <c r="AW213" s="10">
        <v>0</v>
      </c>
      <c r="AX213" s="10">
        <v>0</v>
      </c>
      <c r="AY213" s="10">
        <v>0</v>
      </c>
      <c r="AZ213" s="10">
        <v>0</v>
      </c>
      <c r="BA213" s="10">
        <v>0</v>
      </c>
      <c r="BB213" s="10">
        <v>0</v>
      </c>
      <c r="BC213" s="10">
        <v>0</v>
      </c>
      <c r="BD213" s="10">
        <v>0</v>
      </c>
      <c r="BE213" s="10">
        <v>0</v>
      </c>
      <c r="BF213" s="10">
        <v>0</v>
      </c>
    </row>
    <row r="214" spans="1:58" s="18" customFormat="1" ht="14.15" customHeight="1">
      <c r="A214" s="404">
        <f t="shared" si="709"/>
        <v>208</v>
      </c>
      <c r="B214" s="56" t="s">
        <v>55</v>
      </c>
      <c r="C214" s="38">
        <f>SUM(D214:BF214)</f>
        <v>492.88000000000466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492.88000000000466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10">
        <v>0</v>
      </c>
      <c r="AB214" s="10">
        <v>0</v>
      </c>
      <c r="AC214" s="10">
        <v>0</v>
      </c>
      <c r="AD214" s="10">
        <v>0</v>
      </c>
      <c r="AE214" s="10">
        <v>0</v>
      </c>
      <c r="AF214" s="10">
        <v>0</v>
      </c>
      <c r="AG214" s="10">
        <v>0</v>
      </c>
      <c r="AH214" s="10">
        <v>0</v>
      </c>
      <c r="AI214" s="10">
        <v>0</v>
      </c>
      <c r="AJ214" s="10">
        <v>0</v>
      </c>
      <c r="AK214" s="10">
        <v>0</v>
      </c>
      <c r="AL214" s="10">
        <v>0</v>
      </c>
      <c r="AM214" s="10">
        <v>0</v>
      </c>
      <c r="AN214" s="10">
        <v>0</v>
      </c>
      <c r="AO214" s="10">
        <v>0</v>
      </c>
      <c r="AP214" s="10">
        <v>0</v>
      </c>
      <c r="AQ214" s="10">
        <v>0</v>
      </c>
      <c r="AR214" s="10">
        <v>0</v>
      </c>
      <c r="AS214" s="10">
        <v>0</v>
      </c>
      <c r="AT214" s="10">
        <v>0</v>
      </c>
      <c r="AU214" s="10">
        <v>0</v>
      </c>
      <c r="AV214" s="10">
        <v>0</v>
      </c>
      <c r="AW214" s="10">
        <v>0</v>
      </c>
      <c r="AX214" s="10">
        <v>0</v>
      </c>
      <c r="AY214" s="10">
        <v>0</v>
      </c>
      <c r="AZ214" s="10">
        <v>0</v>
      </c>
      <c r="BA214" s="10">
        <v>0</v>
      </c>
      <c r="BB214" s="10">
        <v>0</v>
      </c>
      <c r="BC214" s="10">
        <v>0</v>
      </c>
      <c r="BD214" s="10">
        <v>0</v>
      </c>
      <c r="BE214" s="10">
        <v>0</v>
      </c>
      <c r="BF214" s="10">
        <v>0</v>
      </c>
    </row>
    <row r="215" spans="1:58" s="18" customFormat="1" ht="14.15" customHeight="1">
      <c r="A215" s="404">
        <f t="shared" si="709"/>
        <v>209</v>
      </c>
      <c r="B215" s="13" t="s">
        <v>472</v>
      </c>
      <c r="C215" s="47">
        <f t="shared" ref="C215:V215" si="734">SUM(C213:C214)</f>
        <v>30572.739999999874</v>
      </c>
      <c r="D215" s="47">
        <f t="shared" ref="D215:I215" si="735">SUM(D213:D214)</f>
        <v>0</v>
      </c>
      <c r="E215" s="47">
        <f t="shared" si="735"/>
        <v>0</v>
      </c>
      <c r="F215" s="47">
        <f t="shared" si="735"/>
        <v>0</v>
      </c>
      <c r="G215" s="47">
        <f t="shared" si="735"/>
        <v>0</v>
      </c>
      <c r="H215" s="47">
        <f t="shared" si="735"/>
        <v>0</v>
      </c>
      <c r="I215" s="47">
        <f t="shared" si="735"/>
        <v>0</v>
      </c>
      <c r="J215" s="47">
        <f t="shared" si="734"/>
        <v>0</v>
      </c>
      <c r="K215" s="47">
        <f t="shared" ref="K215:U215" si="736">SUM(K213:K214)</f>
        <v>0</v>
      </c>
      <c r="L215" s="47">
        <f t="shared" si="736"/>
        <v>0</v>
      </c>
      <c r="M215" s="47">
        <f t="shared" si="736"/>
        <v>0</v>
      </c>
      <c r="N215" s="47">
        <f t="shared" si="736"/>
        <v>0</v>
      </c>
      <c r="O215" s="47">
        <f t="shared" si="736"/>
        <v>0</v>
      </c>
      <c r="P215" s="47">
        <f t="shared" si="736"/>
        <v>0</v>
      </c>
      <c r="Q215" s="47">
        <f t="shared" si="736"/>
        <v>0</v>
      </c>
      <c r="R215" s="47">
        <f t="shared" si="736"/>
        <v>0</v>
      </c>
      <c r="S215" s="47">
        <f t="shared" si="736"/>
        <v>0</v>
      </c>
      <c r="T215" s="47">
        <f t="shared" si="736"/>
        <v>0</v>
      </c>
      <c r="U215" s="47">
        <f t="shared" si="736"/>
        <v>30572.739999999874</v>
      </c>
      <c r="V215" s="47">
        <f t="shared" si="734"/>
        <v>0</v>
      </c>
      <c r="W215" s="47">
        <f>SUM(W213:W214)</f>
        <v>0</v>
      </c>
      <c r="X215" s="47">
        <f t="shared" ref="X215:AD215" si="737">SUM(X213:X214)</f>
        <v>0</v>
      </c>
      <c r="Y215" s="47">
        <f>SUM(Y213:Y214)</f>
        <v>0</v>
      </c>
      <c r="Z215" s="47">
        <f t="shared" si="737"/>
        <v>0</v>
      </c>
      <c r="AA215" s="47">
        <f t="shared" si="737"/>
        <v>0</v>
      </c>
      <c r="AB215" s="47">
        <f t="shared" si="737"/>
        <v>0</v>
      </c>
      <c r="AC215" s="47">
        <f t="shared" si="737"/>
        <v>0</v>
      </c>
      <c r="AD215" s="47">
        <f t="shared" si="737"/>
        <v>0</v>
      </c>
      <c r="AE215" s="47">
        <f>SUM(AE213:AE214)</f>
        <v>0</v>
      </c>
      <c r="AF215" s="47">
        <f>SUM(AF213:AF214)</f>
        <v>0</v>
      </c>
      <c r="AG215" s="47">
        <f>SUM(AG213:AG214)</f>
        <v>0</v>
      </c>
      <c r="AH215" s="47">
        <f t="shared" ref="AH215" si="738">SUM(AH213:AH214)</f>
        <v>0</v>
      </c>
      <c r="AI215" s="47">
        <f t="shared" ref="AI215:AL215" si="739">SUM(AI213:AI214)</f>
        <v>0</v>
      </c>
      <c r="AJ215" s="47">
        <f t="shared" si="739"/>
        <v>0</v>
      </c>
      <c r="AK215" s="47">
        <f t="shared" si="739"/>
        <v>0</v>
      </c>
      <c r="AL215" s="47">
        <f t="shared" si="739"/>
        <v>0</v>
      </c>
      <c r="AM215" s="47">
        <f>SUM(AM213:AM214)</f>
        <v>0</v>
      </c>
      <c r="AN215" s="47">
        <f>SUM(AN213:AN214)</f>
        <v>0</v>
      </c>
      <c r="AO215" s="47">
        <f>SUM(AO213:AO214)</f>
        <v>0</v>
      </c>
      <c r="AP215" s="47">
        <f>SUM(AP213:AP214)</f>
        <v>0</v>
      </c>
      <c r="AQ215" s="47">
        <f>SUM(AQ213:AQ214)</f>
        <v>0</v>
      </c>
      <c r="AR215" s="47">
        <f t="shared" ref="AR215" si="740">SUM(AR213:AR214)</f>
        <v>0</v>
      </c>
      <c r="AS215" s="47">
        <f>SUM(AS213:AS214)</f>
        <v>0</v>
      </c>
      <c r="AT215" s="47">
        <f t="shared" ref="AT215" si="741">SUM(AT213:AT214)</f>
        <v>0</v>
      </c>
      <c r="AU215" s="47">
        <f t="shared" ref="AU215" si="742">SUM(AU213:AU214)</f>
        <v>0</v>
      </c>
      <c r="AV215" s="47">
        <f t="shared" ref="AV215" si="743">SUM(AV213:AV214)</f>
        <v>0</v>
      </c>
      <c r="AW215" s="47">
        <f>SUM(AW213:AW214)</f>
        <v>0</v>
      </c>
      <c r="AX215" s="47">
        <f t="shared" ref="AX215" si="744">SUM(AX213:AX214)</f>
        <v>0</v>
      </c>
      <c r="AY215" s="47">
        <f t="shared" ref="AY215:BF215" si="745">SUM(AY213:AY214)</f>
        <v>0</v>
      </c>
      <c r="AZ215" s="47">
        <f t="shared" si="745"/>
        <v>0</v>
      </c>
      <c r="BA215" s="47">
        <f t="shared" si="745"/>
        <v>0</v>
      </c>
      <c r="BB215" s="47">
        <f t="shared" si="745"/>
        <v>0</v>
      </c>
      <c r="BC215" s="47">
        <f t="shared" si="745"/>
        <v>0</v>
      </c>
      <c r="BD215" s="47">
        <f t="shared" si="745"/>
        <v>0</v>
      </c>
      <c r="BE215" s="47">
        <f t="shared" si="745"/>
        <v>0</v>
      </c>
      <c r="BF215" s="47">
        <f t="shared" si="745"/>
        <v>0</v>
      </c>
    </row>
    <row r="216" spans="1:58" s="18" customFormat="1" ht="14.15" customHeight="1">
      <c r="A216" s="404">
        <f t="shared" si="709"/>
        <v>210</v>
      </c>
      <c r="B216" s="56"/>
      <c r="C216" s="56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</row>
    <row r="217" spans="1:58" s="18" customFormat="1" ht="14.15" customHeight="1">
      <c r="A217" s="404">
        <f t="shared" si="709"/>
        <v>211</v>
      </c>
      <c r="B217" s="85" t="s">
        <v>144</v>
      </c>
      <c r="C217" s="16">
        <f t="shared" ref="C217:V217" si="746">C203+C207+C211+C215+C199</f>
        <v>1728485.6899999962</v>
      </c>
      <c r="D217" s="16">
        <f t="shared" ref="D217:I217" si="747">D203+D207+D211+D215+D199</f>
        <v>0</v>
      </c>
      <c r="E217" s="16">
        <f t="shared" si="747"/>
        <v>0</v>
      </c>
      <c r="F217" s="16">
        <f t="shared" si="747"/>
        <v>0</v>
      </c>
      <c r="G217" s="16">
        <f t="shared" si="747"/>
        <v>0</v>
      </c>
      <c r="H217" s="16">
        <f t="shared" si="747"/>
        <v>0</v>
      </c>
      <c r="I217" s="16">
        <f t="shared" si="747"/>
        <v>0</v>
      </c>
      <c r="J217" s="16">
        <f t="shared" si="746"/>
        <v>0</v>
      </c>
      <c r="K217" s="16">
        <f t="shared" ref="K217:U217" si="748">K203+K207+K211+K215+K199</f>
        <v>0</v>
      </c>
      <c r="L217" s="16">
        <f t="shared" si="748"/>
        <v>0</v>
      </c>
      <c r="M217" s="16">
        <f t="shared" si="748"/>
        <v>0</v>
      </c>
      <c r="N217" s="16">
        <f t="shared" si="748"/>
        <v>0</v>
      </c>
      <c r="O217" s="16">
        <f t="shared" si="748"/>
        <v>0</v>
      </c>
      <c r="P217" s="16">
        <f t="shared" si="748"/>
        <v>0</v>
      </c>
      <c r="Q217" s="16">
        <f t="shared" si="748"/>
        <v>0</v>
      </c>
      <c r="R217" s="16">
        <f t="shared" si="748"/>
        <v>0</v>
      </c>
      <c r="S217" s="16">
        <f t="shared" si="748"/>
        <v>0</v>
      </c>
      <c r="T217" s="16">
        <f t="shared" si="748"/>
        <v>0</v>
      </c>
      <c r="U217" s="16">
        <f t="shared" si="748"/>
        <v>1728485.6899999962</v>
      </c>
      <c r="V217" s="16">
        <f t="shared" si="746"/>
        <v>0</v>
      </c>
      <c r="W217" s="16">
        <f>W203+W207+W211+W215+W199</f>
        <v>0</v>
      </c>
      <c r="X217" s="16">
        <f t="shared" ref="X217:AD217" si="749">X203+X207+X211+X215+X199</f>
        <v>0</v>
      </c>
      <c r="Y217" s="16">
        <f>Y203+Y207+Y211+Y215+Y199</f>
        <v>0</v>
      </c>
      <c r="Z217" s="16">
        <f t="shared" si="749"/>
        <v>0</v>
      </c>
      <c r="AA217" s="16">
        <f t="shared" si="749"/>
        <v>0</v>
      </c>
      <c r="AB217" s="16">
        <f t="shared" si="749"/>
        <v>0</v>
      </c>
      <c r="AC217" s="16">
        <f t="shared" si="749"/>
        <v>0</v>
      </c>
      <c r="AD217" s="16">
        <f t="shared" si="749"/>
        <v>0</v>
      </c>
      <c r="AE217" s="16">
        <f>AE203+AE207+AE211+AE215+AE199</f>
        <v>0</v>
      </c>
      <c r="AF217" s="16">
        <f>AF203+AF207+AF211+AF215+AF199</f>
        <v>0</v>
      </c>
      <c r="AG217" s="16">
        <f>AG203+AG207+AG211+AG215+AG199</f>
        <v>0</v>
      </c>
      <c r="AH217" s="16">
        <f t="shared" ref="AH217" si="750">AH203+AH207+AH211+AH215+AH199</f>
        <v>0</v>
      </c>
      <c r="AI217" s="16">
        <f t="shared" ref="AI217:AL217" si="751">AI203+AI207+AI211+AI215+AI199</f>
        <v>0</v>
      </c>
      <c r="AJ217" s="16">
        <f t="shared" si="751"/>
        <v>0</v>
      </c>
      <c r="AK217" s="16">
        <f t="shared" si="751"/>
        <v>0</v>
      </c>
      <c r="AL217" s="16">
        <f t="shared" si="751"/>
        <v>0</v>
      </c>
      <c r="AM217" s="16">
        <f>AM203+AM207+AM211+AM215+AM199</f>
        <v>0</v>
      </c>
      <c r="AN217" s="16">
        <f>AN203+AN207+AN211+AN215+AN199</f>
        <v>0</v>
      </c>
      <c r="AO217" s="16">
        <f>AO203+AO207+AO211+AO215+AO199</f>
        <v>0</v>
      </c>
      <c r="AP217" s="16">
        <f>AP203+AP207+AP211+AP215+AP199</f>
        <v>0</v>
      </c>
      <c r="AQ217" s="16">
        <f>AQ203+AQ207+AQ211+AQ215+AQ199</f>
        <v>0</v>
      </c>
      <c r="AR217" s="16">
        <f t="shared" ref="AR217" si="752">AR203+AR207+AR211+AR215+AR199</f>
        <v>0</v>
      </c>
      <c r="AS217" s="16">
        <f>AS203+AS207+AS211+AS215+AS199</f>
        <v>0</v>
      </c>
      <c r="AT217" s="16">
        <f t="shared" ref="AT217" si="753">AT203+AT207+AT211+AT215+AT199</f>
        <v>0</v>
      </c>
      <c r="AU217" s="16">
        <f t="shared" ref="AU217" si="754">AU203+AU207+AU211+AU215+AU199</f>
        <v>0</v>
      </c>
      <c r="AV217" s="16">
        <f t="shared" ref="AV217" si="755">AV203+AV207+AV211+AV215+AV199</f>
        <v>0</v>
      </c>
      <c r="AW217" s="16">
        <f>AW203+AW207+AW211+AW215+AW199</f>
        <v>0</v>
      </c>
      <c r="AX217" s="16">
        <f t="shared" ref="AX217" si="756">AX203+AX207+AX211+AX215+AX199</f>
        <v>0</v>
      </c>
      <c r="AY217" s="16">
        <f t="shared" ref="AY217:BF217" si="757">AY203+AY207+AY211+AY215+AY199</f>
        <v>0</v>
      </c>
      <c r="AZ217" s="16">
        <f t="shared" si="757"/>
        <v>0</v>
      </c>
      <c r="BA217" s="16">
        <f t="shared" si="757"/>
        <v>0</v>
      </c>
      <c r="BB217" s="16">
        <f t="shared" si="757"/>
        <v>0</v>
      </c>
      <c r="BC217" s="16">
        <f t="shared" si="757"/>
        <v>0</v>
      </c>
      <c r="BD217" s="16">
        <f t="shared" si="757"/>
        <v>0</v>
      </c>
      <c r="BE217" s="16">
        <f t="shared" si="757"/>
        <v>0</v>
      </c>
      <c r="BF217" s="16">
        <f t="shared" si="757"/>
        <v>0</v>
      </c>
    </row>
    <row r="218" spans="1:58" ht="14.15" customHeight="1">
      <c r="A218" s="404">
        <f t="shared" si="709"/>
        <v>212</v>
      </c>
      <c r="B218" s="25"/>
      <c r="C218" s="25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</row>
    <row r="219" spans="1:58" ht="14.15" customHeight="1">
      <c r="A219" s="404">
        <f t="shared" si="709"/>
        <v>213</v>
      </c>
      <c r="B219" s="13" t="s">
        <v>150</v>
      </c>
      <c r="C219" s="1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</row>
    <row r="220" spans="1:58" ht="14.15" customHeight="1">
      <c r="A220" s="404">
        <f t="shared" si="709"/>
        <v>214</v>
      </c>
      <c r="B220" s="22" t="s">
        <v>134</v>
      </c>
      <c r="C220" s="38">
        <f>SUM(D220:BF220)</f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0</v>
      </c>
      <c r="AE220" s="10">
        <v>0</v>
      </c>
      <c r="AF220" s="10">
        <v>0</v>
      </c>
      <c r="AG220" s="10">
        <v>0</v>
      </c>
      <c r="AH220" s="10">
        <v>0</v>
      </c>
      <c r="AI220" s="10">
        <v>0</v>
      </c>
      <c r="AJ220" s="10">
        <v>0</v>
      </c>
      <c r="AK220" s="10">
        <v>0</v>
      </c>
      <c r="AL220" s="10">
        <v>0</v>
      </c>
      <c r="AM220" s="10">
        <v>0</v>
      </c>
      <c r="AN220" s="10">
        <v>0</v>
      </c>
      <c r="AO220" s="10">
        <v>0</v>
      </c>
      <c r="AP220" s="10">
        <v>0</v>
      </c>
      <c r="AQ220" s="10">
        <v>0</v>
      </c>
      <c r="AR220" s="10">
        <v>0</v>
      </c>
      <c r="AS220" s="10">
        <v>0</v>
      </c>
      <c r="AT220" s="10">
        <v>0</v>
      </c>
      <c r="AU220" s="10">
        <v>0</v>
      </c>
      <c r="AV220" s="10">
        <v>0</v>
      </c>
      <c r="AW220" s="10">
        <v>0</v>
      </c>
      <c r="AX220" s="10">
        <v>0</v>
      </c>
      <c r="AY220" s="10">
        <v>0</v>
      </c>
      <c r="AZ220" s="10">
        <v>0</v>
      </c>
      <c r="BA220" s="10">
        <v>0</v>
      </c>
      <c r="BB220" s="10">
        <v>0</v>
      </c>
      <c r="BC220" s="10">
        <v>0</v>
      </c>
      <c r="BD220" s="10">
        <v>0</v>
      </c>
      <c r="BE220" s="10">
        <v>0</v>
      </c>
      <c r="BF220" s="10">
        <v>0</v>
      </c>
    </row>
    <row r="221" spans="1:58" ht="14.15" customHeight="1">
      <c r="A221" s="404">
        <f t="shared" si="709"/>
        <v>215</v>
      </c>
      <c r="B221" s="22" t="s">
        <v>143</v>
      </c>
      <c r="C221" s="38">
        <f>SUM(D221:BF221)</f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0">
        <v>0</v>
      </c>
      <c r="AL221" s="10">
        <v>0</v>
      </c>
      <c r="AM221" s="10">
        <v>0</v>
      </c>
      <c r="AN221" s="10">
        <v>0</v>
      </c>
      <c r="AO221" s="10">
        <v>0</v>
      </c>
      <c r="AP221" s="10">
        <v>0</v>
      </c>
      <c r="AQ221" s="10">
        <v>0</v>
      </c>
      <c r="AR221" s="10">
        <v>0</v>
      </c>
      <c r="AS221" s="10">
        <v>0</v>
      </c>
      <c r="AT221" s="10">
        <v>0</v>
      </c>
      <c r="AU221" s="10">
        <v>0</v>
      </c>
      <c r="AV221" s="10">
        <v>0</v>
      </c>
      <c r="AW221" s="10">
        <v>0</v>
      </c>
      <c r="AX221" s="10">
        <v>0</v>
      </c>
      <c r="AY221" s="10">
        <v>0</v>
      </c>
      <c r="AZ221" s="10">
        <v>0</v>
      </c>
      <c r="BA221" s="10">
        <v>0</v>
      </c>
      <c r="BB221" s="10">
        <v>0</v>
      </c>
      <c r="BC221" s="10">
        <v>0</v>
      </c>
      <c r="BD221" s="10">
        <v>0</v>
      </c>
      <c r="BE221" s="10">
        <v>0</v>
      </c>
      <c r="BF221" s="10">
        <v>0</v>
      </c>
    </row>
    <row r="222" spans="1:58" ht="14.15" customHeight="1">
      <c r="A222" s="404">
        <f t="shared" si="709"/>
        <v>216</v>
      </c>
      <c r="B222" s="22" t="s">
        <v>136</v>
      </c>
      <c r="C222" s="38">
        <f>SUM(D222:BF222)</f>
        <v>801.20999999996275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801.20999999996275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10">
        <v>0</v>
      </c>
      <c r="AE222" s="10">
        <v>0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0">
        <v>0</v>
      </c>
      <c r="AM222" s="10">
        <v>0</v>
      </c>
      <c r="AN222" s="10">
        <v>0</v>
      </c>
      <c r="AO222" s="10">
        <v>0</v>
      </c>
      <c r="AP222" s="10">
        <v>0</v>
      </c>
      <c r="AQ222" s="10">
        <v>0</v>
      </c>
      <c r="AR222" s="10">
        <v>0</v>
      </c>
      <c r="AS222" s="10">
        <v>0</v>
      </c>
      <c r="AT222" s="10">
        <v>0</v>
      </c>
      <c r="AU222" s="10">
        <v>0</v>
      </c>
      <c r="AV222" s="10">
        <v>0</v>
      </c>
      <c r="AW222" s="10">
        <v>0</v>
      </c>
      <c r="AX222" s="10">
        <v>0</v>
      </c>
      <c r="AY222" s="10">
        <v>0</v>
      </c>
      <c r="AZ222" s="10">
        <v>0</v>
      </c>
      <c r="BA222" s="10">
        <v>0</v>
      </c>
      <c r="BB222" s="10">
        <v>0</v>
      </c>
      <c r="BC222" s="10">
        <v>0</v>
      </c>
      <c r="BD222" s="10">
        <v>0</v>
      </c>
      <c r="BE222" s="10">
        <v>0</v>
      </c>
      <c r="BF222" s="10">
        <v>0</v>
      </c>
    </row>
    <row r="223" spans="1:58" ht="14.15" customHeight="1">
      <c r="A223" s="404">
        <f t="shared" si="709"/>
        <v>217</v>
      </c>
      <c r="B223" s="56" t="s">
        <v>137</v>
      </c>
      <c r="C223" s="38">
        <f>SUM(D223:BF223)</f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0</v>
      </c>
      <c r="AC223" s="10">
        <v>0</v>
      </c>
      <c r="AD223" s="10">
        <v>0</v>
      </c>
      <c r="AE223" s="10">
        <v>0</v>
      </c>
      <c r="AF223" s="10">
        <v>0</v>
      </c>
      <c r="AG223" s="10">
        <v>0</v>
      </c>
      <c r="AH223" s="10">
        <v>0</v>
      </c>
      <c r="AI223" s="10">
        <v>0</v>
      </c>
      <c r="AJ223" s="10">
        <v>0</v>
      </c>
      <c r="AK223" s="10">
        <v>0</v>
      </c>
      <c r="AL223" s="10">
        <v>0</v>
      </c>
      <c r="AM223" s="10">
        <v>0</v>
      </c>
      <c r="AN223" s="10">
        <v>0</v>
      </c>
      <c r="AO223" s="10">
        <v>0</v>
      </c>
      <c r="AP223" s="10">
        <v>0</v>
      </c>
      <c r="AQ223" s="10">
        <v>0</v>
      </c>
      <c r="AR223" s="10">
        <v>0</v>
      </c>
      <c r="AS223" s="10">
        <v>0</v>
      </c>
      <c r="AT223" s="10">
        <v>0</v>
      </c>
      <c r="AU223" s="10">
        <v>0</v>
      </c>
      <c r="AV223" s="10">
        <v>0</v>
      </c>
      <c r="AW223" s="10">
        <v>0</v>
      </c>
      <c r="AX223" s="10">
        <v>0</v>
      </c>
      <c r="AY223" s="10">
        <v>0</v>
      </c>
      <c r="AZ223" s="10">
        <v>0</v>
      </c>
      <c r="BA223" s="10">
        <v>0</v>
      </c>
      <c r="BB223" s="10">
        <v>0</v>
      </c>
      <c r="BC223" s="10">
        <v>0</v>
      </c>
      <c r="BD223" s="10">
        <v>0</v>
      </c>
      <c r="BE223" s="10">
        <v>0</v>
      </c>
      <c r="BF223" s="10">
        <v>0</v>
      </c>
    </row>
    <row r="224" spans="1:58" ht="14.15" customHeight="1">
      <c r="A224" s="404">
        <f t="shared" si="709"/>
        <v>218</v>
      </c>
      <c r="B224" s="85" t="s">
        <v>476</v>
      </c>
      <c r="C224" s="80">
        <f t="shared" ref="C224:V224" si="758">SUM(C220:C223)</f>
        <v>801.20999999996275</v>
      </c>
      <c r="D224" s="80">
        <f t="shared" ref="D224:I224" si="759">SUM(D220:D223)</f>
        <v>0</v>
      </c>
      <c r="E224" s="80">
        <f t="shared" si="759"/>
        <v>0</v>
      </c>
      <c r="F224" s="80">
        <f t="shared" si="759"/>
        <v>0</v>
      </c>
      <c r="G224" s="80">
        <f t="shared" si="759"/>
        <v>0</v>
      </c>
      <c r="H224" s="80">
        <f t="shared" si="759"/>
        <v>0</v>
      </c>
      <c r="I224" s="80">
        <f t="shared" si="759"/>
        <v>0</v>
      </c>
      <c r="J224" s="80">
        <f t="shared" si="758"/>
        <v>0</v>
      </c>
      <c r="K224" s="80">
        <f t="shared" ref="K224:U224" si="760">SUM(K220:K223)</f>
        <v>0</v>
      </c>
      <c r="L224" s="80">
        <f t="shared" si="760"/>
        <v>0</v>
      </c>
      <c r="M224" s="80">
        <f t="shared" si="760"/>
        <v>0</v>
      </c>
      <c r="N224" s="80">
        <f t="shared" si="760"/>
        <v>0</v>
      </c>
      <c r="O224" s="80">
        <f t="shared" si="760"/>
        <v>0</v>
      </c>
      <c r="P224" s="80">
        <f t="shared" si="760"/>
        <v>0</v>
      </c>
      <c r="Q224" s="80">
        <f t="shared" si="760"/>
        <v>0</v>
      </c>
      <c r="R224" s="80">
        <f t="shared" si="760"/>
        <v>0</v>
      </c>
      <c r="S224" s="80">
        <f t="shared" si="760"/>
        <v>0</v>
      </c>
      <c r="T224" s="80">
        <f t="shared" si="760"/>
        <v>0</v>
      </c>
      <c r="U224" s="80">
        <f t="shared" si="760"/>
        <v>801.20999999996275</v>
      </c>
      <c r="V224" s="80">
        <f t="shared" si="758"/>
        <v>0</v>
      </c>
      <c r="W224" s="80">
        <f>SUM(W220:W223)</f>
        <v>0</v>
      </c>
      <c r="X224" s="80">
        <f t="shared" ref="X224:AD224" si="761">SUM(X220:X223)</f>
        <v>0</v>
      </c>
      <c r="Y224" s="80">
        <f>SUM(Y220:Y223)</f>
        <v>0</v>
      </c>
      <c r="Z224" s="80">
        <f t="shared" si="761"/>
        <v>0</v>
      </c>
      <c r="AA224" s="80">
        <f t="shared" si="761"/>
        <v>0</v>
      </c>
      <c r="AB224" s="80">
        <f t="shared" si="761"/>
        <v>0</v>
      </c>
      <c r="AC224" s="80">
        <f t="shared" si="761"/>
        <v>0</v>
      </c>
      <c r="AD224" s="80">
        <f t="shared" si="761"/>
        <v>0</v>
      </c>
      <c r="AE224" s="80">
        <f>SUM(AE220:AE223)</f>
        <v>0</v>
      </c>
      <c r="AF224" s="80">
        <f>SUM(AF220:AF223)</f>
        <v>0</v>
      </c>
      <c r="AG224" s="80">
        <f>SUM(AG220:AG223)</f>
        <v>0</v>
      </c>
      <c r="AH224" s="80">
        <f t="shared" ref="AH224" si="762">SUM(AH220:AH223)</f>
        <v>0</v>
      </c>
      <c r="AI224" s="80">
        <f t="shared" ref="AI224:AL224" si="763">SUM(AI220:AI223)</f>
        <v>0</v>
      </c>
      <c r="AJ224" s="80">
        <f t="shared" si="763"/>
        <v>0</v>
      </c>
      <c r="AK224" s="80">
        <f t="shared" si="763"/>
        <v>0</v>
      </c>
      <c r="AL224" s="80">
        <f t="shared" si="763"/>
        <v>0</v>
      </c>
      <c r="AM224" s="80">
        <f>SUM(AM220:AM223)</f>
        <v>0</v>
      </c>
      <c r="AN224" s="80">
        <f>SUM(AN220:AN223)</f>
        <v>0</v>
      </c>
      <c r="AO224" s="80">
        <f>SUM(AO220:AO223)</f>
        <v>0</v>
      </c>
      <c r="AP224" s="80">
        <f>SUM(AP220:AP223)</f>
        <v>0</v>
      </c>
      <c r="AQ224" s="80">
        <f>SUM(AQ220:AQ223)</f>
        <v>0</v>
      </c>
      <c r="AR224" s="80">
        <f t="shared" ref="AR224" si="764">SUM(AR220:AR223)</f>
        <v>0</v>
      </c>
      <c r="AS224" s="80">
        <f>SUM(AS220:AS223)</f>
        <v>0</v>
      </c>
      <c r="AT224" s="80">
        <f t="shared" ref="AT224" si="765">SUM(AT220:AT223)</f>
        <v>0</v>
      </c>
      <c r="AU224" s="80">
        <f t="shared" ref="AU224" si="766">SUM(AU220:AU223)</f>
        <v>0</v>
      </c>
      <c r="AV224" s="80">
        <f t="shared" ref="AV224" si="767">SUM(AV220:AV223)</f>
        <v>0</v>
      </c>
      <c r="AW224" s="80">
        <f>SUM(AW220:AW223)</f>
        <v>0</v>
      </c>
      <c r="AX224" s="80">
        <f t="shared" ref="AX224" si="768">SUM(AX220:AX223)</f>
        <v>0</v>
      </c>
      <c r="AY224" s="80">
        <f t="shared" ref="AY224:BF224" si="769">SUM(AY220:AY223)</f>
        <v>0</v>
      </c>
      <c r="AZ224" s="80">
        <f t="shared" si="769"/>
        <v>0</v>
      </c>
      <c r="BA224" s="80">
        <f t="shared" si="769"/>
        <v>0</v>
      </c>
      <c r="BB224" s="80">
        <f t="shared" si="769"/>
        <v>0</v>
      </c>
      <c r="BC224" s="80">
        <f t="shared" si="769"/>
        <v>0</v>
      </c>
      <c r="BD224" s="80">
        <f t="shared" si="769"/>
        <v>0</v>
      </c>
      <c r="BE224" s="80">
        <f t="shared" si="769"/>
        <v>0</v>
      </c>
      <c r="BF224" s="80">
        <f t="shared" si="769"/>
        <v>0</v>
      </c>
    </row>
    <row r="225" spans="1:58" ht="14.15" customHeight="1">
      <c r="A225" s="404">
        <f t="shared" si="709"/>
        <v>219</v>
      </c>
      <c r="B225" s="25"/>
      <c r="C225" s="25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</row>
    <row r="226" spans="1:58" s="18" customFormat="1" ht="14.15" customHeight="1">
      <c r="A226" s="404">
        <f t="shared" si="709"/>
        <v>220</v>
      </c>
      <c r="B226" s="13" t="s">
        <v>370</v>
      </c>
      <c r="C226" s="1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</row>
    <row r="227" spans="1:58" ht="14.15" customHeight="1">
      <c r="A227" s="404">
        <f t="shared" si="709"/>
        <v>221</v>
      </c>
      <c r="B227" s="22" t="s">
        <v>151</v>
      </c>
      <c r="C227" s="38">
        <f>SUM(D227:BF227)</f>
        <v>953958.03999999166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953958.03999999166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  <c r="AD227" s="10">
        <v>0</v>
      </c>
      <c r="AE227" s="10">
        <v>0</v>
      </c>
      <c r="AF227" s="10">
        <v>0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0">
        <v>0</v>
      </c>
      <c r="AM227" s="10">
        <v>0</v>
      </c>
      <c r="AN227" s="10">
        <v>0</v>
      </c>
      <c r="AO227" s="10">
        <v>0</v>
      </c>
      <c r="AP227" s="10">
        <v>0</v>
      </c>
      <c r="AQ227" s="10">
        <v>0</v>
      </c>
      <c r="AR227" s="10">
        <v>0</v>
      </c>
      <c r="AS227" s="10">
        <v>0</v>
      </c>
      <c r="AT227" s="10">
        <v>0</v>
      </c>
      <c r="AU227" s="10">
        <v>0</v>
      </c>
      <c r="AV227" s="10">
        <v>0</v>
      </c>
      <c r="AW227" s="10">
        <v>0</v>
      </c>
      <c r="AX227" s="10">
        <v>0</v>
      </c>
      <c r="AY227" s="10">
        <v>0</v>
      </c>
      <c r="AZ227" s="10">
        <v>0</v>
      </c>
      <c r="BA227" s="10">
        <v>0</v>
      </c>
      <c r="BB227" s="10">
        <v>0</v>
      </c>
      <c r="BC227" s="10">
        <v>0</v>
      </c>
      <c r="BD227" s="10">
        <v>0</v>
      </c>
      <c r="BE227" s="10">
        <v>0</v>
      </c>
      <c r="BF227" s="10">
        <v>0</v>
      </c>
    </row>
    <row r="228" spans="1:58" ht="14.15" customHeight="1">
      <c r="A228" s="404">
        <f t="shared" si="709"/>
        <v>222</v>
      </c>
      <c r="B228" s="22" t="s">
        <v>153</v>
      </c>
      <c r="C228" s="38">
        <f>SUM(D228:BF228)</f>
        <v>183694.38200000115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183694.38200000115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  <c r="AD228" s="10">
        <v>0</v>
      </c>
      <c r="AE228" s="10">
        <v>0</v>
      </c>
      <c r="AF228" s="10">
        <v>0</v>
      </c>
      <c r="AG228" s="10">
        <v>0</v>
      </c>
      <c r="AH228" s="10">
        <v>0</v>
      </c>
      <c r="AI228" s="10">
        <v>0</v>
      </c>
      <c r="AJ228" s="10">
        <v>0</v>
      </c>
      <c r="AK228" s="10">
        <v>0</v>
      </c>
      <c r="AL228" s="10">
        <v>0</v>
      </c>
      <c r="AM228" s="10">
        <v>0</v>
      </c>
      <c r="AN228" s="10">
        <v>0</v>
      </c>
      <c r="AO228" s="10">
        <v>0</v>
      </c>
      <c r="AP228" s="10">
        <v>0</v>
      </c>
      <c r="AQ228" s="10">
        <v>0</v>
      </c>
      <c r="AR228" s="10">
        <v>0</v>
      </c>
      <c r="AS228" s="10">
        <v>0</v>
      </c>
      <c r="AT228" s="10">
        <v>0</v>
      </c>
      <c r="AU228" s="10">
        <v>0</v>
      </c>
      <c r="AV228" s="10">
        <v>0</v>
      </c>
      <c r="AW228" s="10">
        <v>0</v>
      </c>
      <c r="AX228" s="10">
        <v>0</v>
      </c>
      <c r="AY228" s="10">
        <v>0</v>
      </c>
      <c r="AZ228" s="10">
        <v>0</v>
      </c>
      <c r="BA228" s="10">
        <v>0</v>
      </c>
      <c r="BB228" s="10">
        <v>0</v>
      </c>
      <c r="BC228" s="10">
        <v>0</v>
      </c>
      <c r="BD228" s="10">
        <v>0</v>
      </c>
      <c r="BE228" s="10">
        <v>0</v>
      </c>
      <c r="BF228" s="10">
        <v>0</v>
      </c>
    </row>
    <row r="229" spans="1:58" ht="14.15" customHeight="1">
      <c r="A229" s="404">
        <f t="shared" si="709"/>
        <v>223</v>
      </c>
      <c r="B229" s="22" t="s">
        <v>153</v>
      </c>
      <c r="C229" s="38">
        <f>SUM(D229:BF229)</f>
        <v>-999098.21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25961.790000000037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  <c r="AD229" s="10">
        <v>0</v>
      </c>
      <c r="AE229" s="10">
        <v>0</v>
      </c>
      <c r="AF229" s="10">
        <v>0</v>
      </c>
      <c r="AG229" s="10">
        <v>0</v>
      </c>
      <c r="AH229" s="10">
        <v>0</v>
      </c>
      <c r="AI229" s="10">
        <v>0</v>
      </c>
      <c r="AJ229" s="10">
        <v>0</v>
      </c>
      <c r="AK229" s="10">
        <v>0</v>
      </c>
      <c r="AL229" s="10">
        <v>0</v>
      </c>
      <c r="AM229" s="10">
        <v>0</v>
      </c>
      <c r="AN229" s="10">
        <v>0</v>
      </c>
      <c r="AO229" s="10">
        <v>0</v>
      </c>
      <c r="AP229" s="10">
        <v>0</v>
      </c>
      <c r="AQ229" s="10">
        <v>0</v>
      </c>
      <c r="AR229" s="10">
        <v>0</v>
      </c>
      <c r="AS229" s="10">
        <v>0</v>
      </c>
      <c r="AT229" s="10">
        <v>0</v>
      </c>
      <c r="AU229" s="10">
        <v>0</v>
      </c>
      <c r="AV229" s="10">
        <v>0</v>
      </c>
      <c r="AW229" s="10">
        <v>0</v>
      </c>
      <c r="AX229" s="10">
        <v>0</v>
      </c>
      <c r="AY229" s="10">
        <v>0</v>
      </c>
      <c r="AZ229" s="10">
        <v>0</v>
      </c>
      <c r="BA229" s="10">
        <v>0</v>
      </c>
      <c r="BB229" s="10">
        <v>0</v>
      </c>
      <c r="BC229" s="10">
        <v>0</v>
      </c>
      <c r="BD229" s="10">
        <v>-1025060</v>
      </c>
      <c r="BE229" s="10">
        <v>0</v>
      </c>
      <c r="BF229" s="10">
        <v>0</v>
      </c>
    </row>
    <row r="230" spans="1:58" ht="14.15" customHeight="1">
      <c r="A230" s="404">
        <f t="shared" si="709"/>
        <v>224</v>
      </c>
      <c r="B230" s="22" t="s">
        <v>154</v>
      </c>
      <c r="C230" s="38">
        <f>SUM(D230:BF230)</f>
        <v>40191.357000000309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40191.357000000309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0">
        <v>0</v>
      </c>
      <c r="AM230" s="10">
        <v>0</v>
      </c>
      <c r="AN230" s="10">
        <v>0</v>
      </c>
      <c r="AO230" s="10">
        <v>0</v>
      </c>
      <c r="AP230" s="10">
        <v>0</v>
      </c>
      <c r="AQ230" s="10">
        <v>0</v>
      </c>
      <c r="AR230" s="10">
        <v>0</v>
      </c>
      <c r="AS230" s="10">
        <v>0</v>
      </c>
      <c r="AT230" s="10">
        <v>0</v>
      </c>
      <c r="AU230" s="10">
        <v>0</v>
      </c>
      <c r="AV230" s="10">
        <v>0</v>
      </c>
      <c r="AW230" s="10">
        <v>0</v>
      </c>
      <c r="AX230" s="10">
        <v>0</v>
      </c>
      <c r="AY230" s="10">
        <v>0</v>
      </c>
      <c r="AZ230" s="10">
        <v>0</v>
      </c>
      <c r="BA230" s="10">
        <v>0</v>
      </c>
      <c r="BB230" s="10">
        <v>0</v>
      </c>
      <c r="BC230" s="10">
        <v>0</v>
      </c>
      <c r="BD230" s="10">
        <v>0</v>
      </c>
      <c r="BE230" s="10">
        <v>0</v>
      </c>
      <c r="BF230" s="10">
        <v>0</v>
      </c>
    </row>
    <row r="231" spans="1:58" ht="14.15" customHeight="1">
      <c r="A231" s="404">
        <f t="shared" si="709"/>
        <v>225</v>
      </c>
      <c r="B231" s="56" t="s">
        <v>155</v>
      </c>
      <c r="C231" s="197">
        <f>SUM(D231:BF231)</f>
        <v>6061.8729999996722</v>
      </c>
      <c r="D231" s="64">
        <v>0</v>
      </c>
      <c r="E231" s="64">
        <v>0</v>
      </c>
      <c r="F231" s="64">
        <v>0</v>
      </c>
      <c r="G231" s="64">
        <v>0</v>
      </c>
      <c r="H231" s="64">
        <v>0</v>
      </c>
      <c r="I231" s="64">
        <v>0</v>
      </c>
      <c r="J231" s="64">
        <v>0</v>
      </c>
      <c r="K231" s="64">
        <v>0</v>
      </c>
      <c r="L231" s="64">
        <v>0</v>
      </c>
      <c r="M231" s="64">
        <v>0</v>
      </c>
      <c r="N231" s="64">
        <v>0</v>
      </c>
      <c r="O231" s="64">
        <v>0</v>
      </c>
      <c r="P231" s="64">
        <v>0</v>
      </c>
      <c r="Q231" s="64">
        <v>0</v>
      </c>
      <c r="R231" s="64">
        <v>0</v>
      </c>
      <c r="S231" s="64">
        <v>0</v>
      </c>
      <c r="T231" s="64">
        <v>0</v>
      </c>
      <c r="U231" s="64">
        <v>6061.8729999996722</v>
      </c>
      <c r="V231" s="64">
        <v>0</v>
      </c>
      <c r="W231" s="64">
        <v>0</v>
      </c>
      <c r="X231" s="64">
        <v>0</v>
      </c>
      <c r="Y231" s="64">
        <v>0</v>
      </c>
      <c r="Z231" s="64">
        <v>0</v>
      </c>
      <c r="AA231" s="64">
        <v>0</v>
      </c>
      <c r="AB231" s="64">
        <v>0</v>
      </c>
      <c r="AC231" s="64">
        <v>0</v>
      </c>
      <c r="AD231" s="64">
        <v>0</v>
      </c>
      <c r="AE231" s="64">
        <v>0</v>
      </c>
      <c r="AF231" s="64">
        <v>0</v>
      </c>
      <c r="AG231" s="64">
        <v>0</v>
      </c>
      <c r="AH231" s="64">
        <v>0</v>
      </c>
      <c r="AI231" s="64">
        <v>0</v>
      </c>
      <c r="AJ231" s="64">
        <v>0</v>
      </c>
      <c r="AK231" s="64">
        <v>0</v>
      </c>
      <c r="AL231" s="64">
        <v>0</v>
      </c>
      <c r="AM231" s="64">
        <v>0</v>
      </c>
      <c r="AN231" s="64">
        <v>0</v>
      </c>
      <c r="AO231" s="64">
        <v>0</v>
      </c>
      <c r="AP231" s="64">
        <v>0</v>
      </c>
      <c r="AQ231" s="64">
        <v>0</v>
      </c>
      <c r="AR231" s="64">
        <v>0</v>
      </c>
      <c r="AS231" s="64">
        <v>0</v>
      </c>
      <c r="AT231" s="64">
        <v>0</v>
      </c>
      <c r="AU231" s="64">
        <v>0</v>
      </c>
      <c r="AV231" s="64">
        <v>0</v>
      </c>
      <c r="AW231" s="64">
        <v>0</v>
      </c>
      <c r="AX231" s="64">
        <v>0</v>
      </c>
      <c r="AY231" s="64">
        <v>0</v>
      </c>
      <c r="AZ231" s="64">
        <v>0</v>
      </c>
      <c r="BA231" s="64">
        <v>0</v>
      </c>
      <c r="BB231" s="64">
        <v>0</v>
      </c>
      <c r="BC231" s="64">
        <v>0</v>
      </c>
      <c r="BD231" s="64">
        <v>0</v>
      </c>
      <c r="BE231" s="64">
        <v>0</v>
      </c>
      <c r="BF231" s="64">
        <v>0</v>
      </c>
    </row>
    <row r="232" spans="1:58" ht="14.15" customHeight="1">
      <c r="A232" s="404">
        <f t="shared" si="709"/>
        <v>226</v>
      </c>
      <c r="B232" s="13" t="s">
        <v>506</v>
      </c>
      <c r="C232" s="10">
        <f t="shared" ref="C232" si="770">SUM(C227:C231)</f>
        <v>184807.44199999282</v>
      </c>
      <c r="D232" s="10">
        <f t="shared" ref="D232:W232" si="771">SUM(D227:D231)</f>
        <v>0</v>
      </c>
      <c r="E232" s="10">
        <f t="shared" si="771"/>
        <v>0</v>
      </c>
      <c r="F232" s="10">
        <f t="shared" si="771"/>
        <v>0</v>
      </c>
      <c r="G232" s="10">
        <f t="shared" si="771"/>
        <v>0</v>
      </c>
      <c r="H232" s="10">
        <f t="shared" si="771"/>
        <v>0</v>
      </c>
      <c r="I232" s="10">
        <f t="shared" si="771"/>
        <v>0</v>
      </c>
      <c r="J232" s="10">
        <f t="shared" si="771"/>
        <v>0</v>
      </c>
      <c r="K232" s="10">
        <f t="shared" si="771"/>
        <v>0</v>
      </c>
      <c r="L232" s="10">
        <f t="shared" si="771"/>
        <v>0</v>
      </c>
      <c r="M232" s="10">
        <f t="shared" si="771"/>
        <v>0</v>
      </c>
      <c r="N232" s="10">
        <f t="shared" si="771"/>
        <v>0</v>
      </c>
      <c r="O232" s="10">
        <f t="shared" si="771"/>
        <v>0</v>
      </c>
      <c r="P232" s="10">
        <f t="shared" si="771"/>
        <v>0</v>
      </c>
      <c r="Q232" s="10">
        <f t="shared" si="771"/>
        <v>0</v>
      </c>
      <c r="R232" s="10">
        <f t="shared" si="771"/>
        <v>0</v>
      </c>
      <c r="S232" s="10">
        <f t="shared" si="771"/>
        <v>0</v>
      </c>
      <c r="T232" s="10">
        <f t="shared" si="771"/>
        <v>0</v>
      </c>
      <c r="U232" s="10">
        <f t="shared" si="771"/>
        <v>1209867.4419999928</v>
      </c>
      <c r="V232" s="10">
        <f t="shared" si="771"/>
        <v>0</v>
      </c>
      <c r="W232" s="10">
        <f t="shared" si="771"/>
        <v>0</v>
      </c>
      <c r="X232" s="10">
        <f t="shared" ref="X232:AD232" si="772">SUM(X227:X231)</f>
        <v>0</v>
      </c>
      <c r="Y232" s="10">
        <f>SUM(Y227:Y231)</f>
        <v>0</v>
      </c>
      <c r="Z232" s="10">
        <f t="shared" si="772"/>
        <v>0</v>
      </c>
      <c r="AA232" s="10">
        <f t="shared" si="772"/>
        <v>0</v>
      </c>
      <c r="AB232" s="10">
        <f t="shared" si="772"/>
        <v>0</v>
      </c>
      <c r="AC232" s="10">
        <f t="shared" si="772"/>
        <v>0</v>
      </c>
      <c r="AD232" s="10">
        <f t="shared" si="772"/>
        <v>0</v>
      </c>
      <c r="AE232" s="10">
        <f>SUM(AE227:AE231)</f>
        <v>0</v>
      </c>
      <c r="AF232" s="10">
        <f>SUM(AF227:AF231)</f>
        <v>0</v>
      </c>
      <c r="AG232" s="10">
        <f>SUM(AG227:AG231)</f>
        <v>0</v>
      </c>
      <c r="AH232" s="10">
        <f t="shared" ref="AH232" si="773">SUM(AH227:AH231)</f>
        <v>0</v>
      </c>
      <c r="AI232" s="10">
        <f t="shared" ref="AI232:AL232" si="774">SUM(AI227:AI231)</f>
        <v>0</v>
      </c>
      <c r="AJ232" s="10">
        <f t="shared" si="774"/>
        <v>0</v>
      </c>
      <c r="AK232" s="10">
        <f t="shared" si="774"/>
        <v>0</v>
      </c>
      <c r="AL232" s="10">
        <f t="shared" si="774"/>
        <v>0</v>
      </c>
      <c r="AM232" s="10">
        <f>SUM(AM227:AM231)</f>
        <v>0</v>
      </c>
      <c r="AN232" s="10">
        <f>SUM(AN227:AN231)</f>
        <v>0</v>
      </c>
      <c r="AO232" s="10">
        <f>SUM(AO227:AO231)</f>
        <v>0</v>
      </c>
      <c r="AP232" s="10">
        <f>SUM(AP227:AP231)</f>
        <v>0</v>
      </c>
      <c r="AQ232" s="10">
        <f>SUM(AQ227:AQ231)</f>
        <v>0</v>
      </c>
      <c r="AR232" s="10">
        <f t="shared" ref="AR232" si="775">SUM(AR227:AR231)</f>
        <v>0</v>
      </c>
      <c r="AS232" s="10">
        <f>SUM(AS227:AS231)</f>
        <v>0</v>
      </c>
      <c r="AT232" s="10">
        <f t="shared" ref="AT232" si="776">SUM(AT227:AT231)</f>
        <v>0</v>
      </c>
      <c r="AU232" s="10">
        <f t="shared" ref="AU232" si="777">SUM(AU227:AU231)</f>
        <v>0</v>
      </c>
      <c r="AV232" s="10">
        <f t="shared" ref="AV232" si="778">SUM(AV227:AV231)</f>
        <v>0</v>
      </c>
      <c r="AW232" s="10">
        <f>SUM(AW227:AW231)</f>
        <v>0</v>
      </c>
      <c r="AX232" s="10">
        <f t="shared" ref="AX232" si="779">SUM(AX227:AX231)</f>
        <v>0</v>
      </c>
      <c r="AY232" s="10">
        <f t="shared" ref="AY232:BF232" si="780">SUM(AY227:AY231)</f>
        <v>0</v>
      </c>
      <c r="AZ232" s="10">
        <f t="shared" si="780"/>
        <v>0</v>
      </c>
      <c r="BA232" s="10">
        <f t="shared" si="780"/>
        <v>0</v>
      </c>
      <c r="BB232" s="10">
        <f t="shared" si="780"/>
        <v>0</v>
      </c>
      <c r="BC232" s="10">
        <f t="shared" si="780"/>
        <v>0</v>
      </c>
      <c r="BD232" s="10">
        <f t="shared" si="780"/>
        <v>-1025060</v>
      </c>
      <c r="BE232" s="10">
        <f t="shared" si="780"/>
        <v>0</v>
      </c>
      <c r="BF232" s="10">
        <f t="shared" si="780"/>
        <v>0</v>
      </c>
    </row>
    <row r="233" spans="1:58" ht="14.15" customHeight="1">
      <c r="A233" s="404">
        <f t="shared" si="709"/>
        <v>227</v>
      </c>
      <c r="B233" s="22"/>
      <c r="C233" s="38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</row>
    <row r="234" spans="1:58" ht="14.15" customHeight="1">
      <c r="A234" s="404">
        <f t="shared" si="709"/>
        <v>228</v>
      </c>
      <c r="B234" s="13" t="s">
        <v>369</v>
      </c>
      <c r="C234" s="38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</row>
    <row r="235" spans="1:58" ht="14.15" customHeight="1">
      <c r="A235" s="404">
        <f t="shared" si="709"/>
        <v>229</v>
      </c>
      <c r="B235" s="22" t="s">
        <v>156</v>
      </c>
      <c r="C235" s="38">
        <f>SUM(D235:BF235)</f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0">
        <v>0</v>
      </c>
      <c r="AM235" s="10">
        <v>0</v>
      </c>
      <c r="AN235" s="10">
        <v>0</v>
      </c>
      <c r="AO235" s="10">
        <v>0</v>
      </c>
      <c r="AP235" s="10">
        <v>0</v>
      </c>
      <c r="AQ235" s="10">
        <v>0</v>
      </c>
      <c r="AR235" s="10">
        <v>0</v>
      </c>
      <c r="AS235" s="10">
        <v>0</v>
      </c>
      <c r="AT235" s="10">
        <v>0</v>
      </c>
      <c r="AU235" s="10">
        <v>0</v>
      </c>
      <c r="AV235" s="10">
        <v>0</v>
      </c>
      <c r="AW235" s="10">
        <v>0</v>
      </c>
      <c r="AX235" s="10">
        <v>0</v>
      </c>
      <c r="AY235" s="10">
        <v>0</v>
      </c>
      <c r="AZ235" s="10">
        <v>0</v>
      </c>
      <c r="BA235" s="10">
        <v>0</v>
      </c>
      <c r="BB235" s="10">
        <v>0</v>
      </c>
      <c r="BC235" s="10">
        <v>0</v>
      </c>
      <c r="BD235" s="10">
        <v>0</v>
      </c>
      <c r="BE235" s="10">
        <v>0</v>
      </c>
      <c r="BF235" s="10">
        <v>0</v>
      </c>
    </row>
    <row r="236" spans="1:58" ht="14.15" customHeight="1">
      <c r="A236" s="404">
        <f t="shared" si="709"/>
        <v>230</v>
      </c>
      <c r="B236" s="56" t="s">
        <v>157</v>
      </c>
      <c r="C236" s="38">
        <f>SUM(D236:BF236)</f>
        <v>28641.75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28641.75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0">
        <v>0</v>
      </c>
      <c r="AM236" s="10">
        <v>0</v>
      </c>
      <c r="AN236" s="10">
        <v>0</v>
      </c>
      <c r="AO236" s="10">
        <v>0</v>
      </c>
      <c r="AP236" s="10">
        <v>0</v>
      </c>
      <c r="AQ236" s="10">
        <v>0</v>
      </c>
      <c r="AR236" s="10">
        <v>0</v>
      </c>
      <c r="AS236" s="10">
        <v>0</v>
      </c>
      <c r="AT236" s="10">
        <v>0</v>
      </c>
      <c r="AU236" s="10">
        <v>0</v>
      </c>
      <c r="AV236" s="10">
        <v>0</v>
      </c>
      <c r="AW236" s="10">
        <v>0</v>
      </c>
      <c r="AX236" s="10">
        <v>0</v>
      </c>
      <c r="AY236" s="10">
        <v>0</v>
      </c>
      <c r="AZ236" s="10">
        <v>0</v>
      </c>
      <c r="BA236" s="10">
        <v>0</v>
      </c>
      <c r="BB236" s="10">
        <v>0</v>
      </c>
      <c r="BC236" s="10">
        <v>0</v>
      </c>
      <c r="BD236" s="10">
        <v>0</v>
      </c>
      <c r="BE236" s="10">
        <v>0</v>
      </c>
      <c r="BF236" s="10">
        <v>0</v>
      </c>
    </row>
    <row r="237" spans="1:58" ht="14.15" customHeight="1">
      <c r="A237" s="404">
        <f t="shared" si="709"/>
        <v>231</v>
      </c>
      <c r="B237" s="85" t="s">
        <v>507</v>
      </c>
      <c r="C237" s="80">
        <f t="shared" ref="C237:V237" si="781">SUM(C235:C236)</f>
        <v>28641.75</v>
      </c>
      <c r="D237" s="80">
        <f t="shared" ref="D237:I237" si="782">SUM(D235:D236)</f>
        <v>0</v>
      </c>
      <c r="E237" s="80">
        <f t="shared" si="782"/>
        <v>0</v>
      </c>
      <c r="F237" s="80">
        <f t="shared" si="782"/>
        <v>0</v>
      </c>
      <c r="G237" s="80">
        <f t="shared" si="782"/>
        <v>0</v>
      </c>
      <c r="H237" s="80">
        <f t="shared" si="782"/>
        <v>0</v>
      </c>
      <c r="I237" s="80">
        <f t="shared" si="782"/>
        <v>0</v>
      </c>
      <c r="J237" s="80">
        <f t="shared" si="781"/>
        <v>0</v>
      </c>
      <c r="K237" s="80">
        <f t="shared" ref="K237:U237" si="783">SUM(K235:K236)</f>
        <v>0</v>
      </c>
      <c r="L237" s="80">
        <f t="shared" si="783"/>
        <v>0</v>
      </c>
      <c r="M237" s="80">
        <f t="shared" si="783"/>
        <v>0</v>
      </c>
      <c r="N237" s="80">
        <f t="shared" si="783"/>
        <v>0</v>
      </c>
      <c r="O237" s="80">
        <f t="shared" si="783"/>
        <v>0</v>
      </c>
      <c r="P237" s="80">
        <f t="shared" si="783"/>
        <v>0</v>
      </c>
      <c r="Q237" s="80">
        <f t="shared" si="783"/>
        <v>0</v>
      </c>
      <c r="R237" s="80">
        <f t="shared" si="783"/>
        <v>0</v>
      </c>
      <c r="S237" s="80">
        <f t="shared" si="783"/>
        <v>0</v>
      </c>
      <c r="T237" s="80">
        <f t="shared" si="783"/>
        <v>0</v>
      </c>
      <c r="U237" s="80">
        <f t="shared" si="783"/>
        <v>28641.75</v>
      </c>
      <c r="V237" s="80">
        <f t="shared" si="781"/>
        <v>0</v>
      </c>
      <c r="W237" s="80">
        <f>SUM(W235:W236)</f>
        <v>0</v>
      </c>
      <c r="X237" s="80">
        <f t="shared" ref="X237:AD237" si="784">SUM(X235:X236)</f>
        <v>0</v>
      </c>
      <c r="Y237" s="80">
        <f>SUM(Y235:Y236)</f>
        <v>0</v>
      </c>
      <c r="Z237" s="80">
        <f t="shared" si="784"/>
        <v>0</v>
      </c>
      <c r="AA237" s="80">
        <f t="shared" si="784"/>
        <v>0</v>
      </c>
      <c r="AB237" s="80">
        <f t="shared" si="784"/>
        <v>0</v>
      </c>
      <c r="AC237" s="80">
        <f t="shared" si="784"/>
        <v>0</v>
      </c>
      <c r="AD237" s="80">
        <f t="shared" si="784"/>
        <v>0</v>
      </c>
      <c r="AE237" s="80">
        <f>SUM(AE235:AE236)</f>
        <v>0</v>
      </c>
      <c r="AF237" s="80">
        <f>SUM(AF235:AF236)</f>
        <v>0</v>
      </c>
      <c r="AG237" s="80">
        <f>SUM(AG235:AG236)</f>
        <v>0</v>
      </c>
      <c r="AH237" s="80">
        <f t="shared" ref="AH237" si="785">SUM(AH235:AH236)</f>
        <v>0</v>
      </c>
      <c r="AI237" s="80">
        <f t="shared" ref="AI237:AL237" si="786">SUM(AI235:AI236)</f>
        <v>0</v>
      </c>
      <c r="AJ237" s="80">
        <f t="shared" si="786"/>
        <v>0</v>
      </c>
      <c r="AK237" s="80">
        <f t="shared" si="786"/>
        <v>0</v>
      </c>
      <c r="AL237" s="80">
        <f t="shared" si="786"/>
        <v>0</v>
      </c>
      <c r="AM237" s="80">
        <f>SUM(AM235:AM236)</f>
        <v>0</v>
      </c>
      <c r="AN237" s="80">
        <f>SUM(AN235:AN236)</f>
        <v>0</v>
      </c>
      <c r="AO237" s="80">
        <f>SUM(AO235:AO236)</f>
        <v>0</v>
      </c>
      <c r="AP237" s="80">
        <f>SUM(AP235:AP236)</f>
        <v>0</v>
      </c>
      <c r="AQ237" s="80">
        <f>SUM(AQ235:AQ236)</f>
        <v>0</v>
      </c>
      <c r="AR237" s="80">
        <f t="shared" ref="AR237" si="787">SUM(AR235:AR236)</f>
        <v>0</v>
      </c>
      <c r="AS237" s="80">
        <f>SUM(AS235:AS236)</f>
        <v>0</v>
      </c>
      <c r="AT237" s="80">
        <f t="shared" ref="AT237" si="788">SUM(AT235:AT236)</f>
        <v>0</v>
      </c>
      <c r="AU237" s="80">
        <f t="shared" ref="AU237" si="789">SUM(AU235:AU236)</f>
        <v>0</v>
      </c>
      <c r="AV237" s="80">
        <f t="shared" ref="AV237" si="790">SUM(AV235:AV236)</f>
        <v>0</v>
      </c>
      <c r="AW237" s="80">
        <f>SUM(AW235:AW236)</f>
        <v>0</v>
      </c>
      <c r="AX237" s="80">
        <f t="shared" ref="AX237" si="791">SUM(AX235:AX236)</f>
        <v>0</v>
      </c>
      <c r="AY237" s="80">
        <f t="shared" ref="AY237:BF237" si="792">SUM(AY235:AY236)</f>
        <v>0</v>
      </c>
      <c r="AZ237" s="80">
        <f t="shared" si="792"/>
        <v>0</v>
      </c>
      <c r="BA237" s="80">
        <f t="shared" si="792"/>
        <v>0</v>
      </c>
      <c r="BB237" s="80">
        <f t="shared" si="792"/>
        <v>0</v>
      </c>
      <c r="BC237" s="80">
        <f t="shared" si="792"/>
        <v>0</v>
      </c>
      <c r="BD237" s="80">
        <f t="shared" si="792"/>
        <v>0</v>
      </c>
      <c r="BE237" s="80">
        <f t="shared" si="792"/>
        <v>0</v>
      </c>
      <c r="BF237" s="80">
        <f t="shared" si="792"/>
        <v>0</v>
      </c>
    </row>
    <row r="238" spans="1:58" ht="14.15" customHeight="1">
      <c r="A238" s="404">
        <f t="shared" si="709"/>
        <v>232</v>
      </c>
      <c r="B238" s="25"/>
      <c r="C238" s="25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</row>
    <row r="239" spans="1:58" ht="14.15" customHeight="1">
      <c r="A239" s="404">
        <f t="shared" si="709"/>
        <v>233</v>
      </c>
      <c r="B239" s="25"/>
      <c r="C239" s="25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</row>
    <row r="240" spans="1:58" ht="14.15" customHeight="1">
      <c r="A240" s="404">
        <f t="shared" si="709"/>
        <v>234</v>
      </c>
      <c r="B240" s="13" t="s">
        <v>158</v>
      </c>
      <c r="C240" s="13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</row>
    <row r="241" spans="1:58" s="18" customFormat="1" ht="14.15" customHeight="1">
      <c r="A241" s="404">
        <f t="shared" si="709"/>
        <v>235</v>
      </c>
      <c r="B241" s="22" t="s">
        <v>159</v>
      </c>
      <c r="C241" s="38">
        <f t="shared" ref="C241:C248" si="793">SUM(D241:BF241)</f>
        <v>93977971.09415172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-5514295.8700000355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0">
        <v>0</v>
      </c>
      <c r="AM241" s="10">
        <v>0</v>
      </c>
      <c r="AN241" s="10">
        <v>0</v>
      </c>
      <c r="AO241" s="10">
        <v>0</v>
      </c>
      <c r="AP241" s="10">
        <v>0</v>
      </c>
      <c r="AQ241" s="10">
        <v>0</v>
      </c>
      <c r="AR241" s="10">
        <v>0</v>
      </c>
      <c r="AS241" s="10">
        <v>0</v>
      </c>
      <c r="AT241" s="10">
        <v>0</v>
      </c>
      <c r="AU241" s="10">
        <v>0</v>
      </c>
      <c r="AV241" s="10">
        <v>0</v>
      </c>
      <c r="AW241" s="10">
        <v>0</v>
      </c>
      <c r="AX241" s="10">
        <v>0</v>
      </c>
      <c r="AY241" s="10">
        <v>0</v>
      </c>
      <c r="AZ241" s="10">
        <v>0</v>
      </c>
      <c r="BA241" s="10">
        <v>0</v>
      </c>
      <c r="BB241" s="10">
        <v>54614594.964151755</v>
      </c>
      <c r="BC241" s="10">
        <v>0</v>
      </c>
      <c r="BD241" s="10">
        <v>44877672</v>
      </c>
      <c r="BE241" s="10">
        <v>0</v>
      </c>
      <c r="BF241" s="10">
        <v>0</v>
      </c>
    </row>
    <row r="242" spans="1:58" s="18" customFormat="1" ht="14.15" customHeight="1">
      <c r="A242" s="404">
        <f t="shared" si="709"/>
        <v>236</v>
      </c>
      <c r="B242" s="22" t="s">
        <v>160</v>
      </c>
      <c r="C242" s="38">
        <f t="shared" si="793"/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0">
        <v>0</v>
      </c>
      <c r="AM242" s="10">
        <v>0</v>
      </c>
      <c r="AN242" s="10">
        <v>0</v>
      </c>
      <c r="AO242" s="10">
        <v>0</v>
      </c>
      <c r="AP242" s="10">
        <v>0</v>
      </c>
      <c r="AQ242" s="10">
        <v>0</v>
      </c>
      <c r="AR242" s="10">
        <v>0</v>
      </c>
      <c r="AS242" s="10">
        <v>0</v>
      </c>
      <c r="AT242" s="10">
        <v>0</v>
      </c>
      <c r="AU242" s="10">
        <v>0</v>
      </c>
      <c r="AV242" s="10">
        <v>0</v>
      </c>
      <c r="AW242" s="10">
        <v>0</v>
      </c>
      <c r="AX242" s="10">
        <v>0</v>
      </c>
      <c r="AY242" s="10">
        <v>0</v>
      </c>
      <c r="AZ242" s="10">
        <v>0</v>
      </c>
      <c r="BA242" s="10">
        <v>0</v>
      </c>
      <c r="BB242" s="10">
        <v>0</v>
      </c>
      <c r="BC242" s="10">
        <v>0</v>
      </c>
      <c r="BD242" s="10">
        <v>0</v>
      </c>
      <c r="BE242" s="10">
        <v>0</v>
      </c>
      <c r="BF242" s="10">
        <v>0</v>
      </c>
    </row>
    <row r="243" spans="1:58" s="18" customFormat="1" ht="14.15" customHeight="1">
      <c r="A243" s="404">
        <f t="shared" si="709"/>
        <v>237</v>
      </c>
      <c r="B243" s="22" t="s">
        <v>161</v>
      </c>
      <c r="C243" s="38">
        <f t="shared" si="793"/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0">
        <v>0</v>
      </c>
      <c r="AM243" s="10">
        <v>0</v>
      </c>
      <c r="AN243" s="10">
        <v>0</v>
      </c>
      <c r="AO243" s="10">
        <v>0</v>
      </c>
      <c r="AP243" s="10">
        <v>0</v>
      </c>
      <c r="AQ243" s="10">
        <v>0</v>
      </c>
      <c r="AR243" s="10">
        <v>0</v>
      </c>
      <c r="AS243" s="10">
        <v>0</v>
      </c>
      <c r="AT243" s="10">
        <v>0</v>
      </c>
      <c r="AU243" s="10">
        <v>0</v>
      </c>
      <c r="AV243" s="10">
        <v>0</v>
      </c>
      <c r="AW243" s="10">
        <v>0</v>
      </c>
      <c r="AX243" s="10">
        <v>0</v>
      </c>
      <c r="AY243" s="10">
        <v>0</v>
      </c>
      <c r="AZ243" s="10">
        <v>0</v>
      </c>
      <c r="BA243" s="10">
        <v>0</v>
      </c>
      <c r="BB243" s="10">
        <v>0</v>
      </c>
      <c r="BC243" s="10">
        <v>0</v>
      </c>
      <c r="BD243" s="10">
        <v>0</v>
      </c>
      <c r="BE243" s="10">
        <v>0</v>
      </c>
      <c r="BF243" s="10">
        <v>0</v>
      </c>
    </row>
    <row r="244" spans="1:58" s="18" customFormat="1" ht="14.15" customHeight="1">
      <c r="A244" s="404">
        <f t="shared" si="709"/>
        <v>238</v>
      </c>
      <c r="B244" s="83" t="s">
        <v>952</v>
      </c>
      <c r="C244" s="38">
        <f t="shared" si="793"/>
        <v>0</v>
      </c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</row>
    <row r="245" spans="1:58" s="18" customFormat="1" ht="14.15" customHeight="1">
      <c r="A245" s="404">
        <f t="shared" si="709"/>
        <v>239</v>
      </c>
      <c r="B245" s="22" t="s">
        <v>372</v>
      </c>
      <c r="C245" s="38">
        <f t="shared" si="793"/>
        <v>0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10">
        <v>0</v>
      </c>
      <c r="AB245" s="10">
        <v>0</v>
      </c>
      <c r="AC245" s="10">
        <v>0</v>
      </c>
      <c r="AD245" s="10">
        <v>0</v>
      </c>
      <c r="AE245" s="10">
        <v>0</v>
      </c>
      <c r="AF245" s="10">
        <v>0</v>
      </c>
      <c r="AG245" s="10">
        <v>0</v>
      </c>
      <c r="AH245" s="10">
        <v>0</v>
      </c>
      <c r="AI245" s="10">
        <v>0</v>
      </c>
      <c r="AJ245" s="10">
        <v>0</v>
      </c>
      <c r="AK245" s="10">
        <v>0</v>
      </c>
      <c r="AL245" s="10">
        <v>0</v>
      </c>
      <c r="AM245" s="10">
        <v>0</v>
      </c>
      <c r="AN245" s="10">
        <v>0</v>
      </c>
      <c r="AO245" s="10">
        <v>0</v>
      </c>
      <c r="AP245" s="10">
        <v>0</v>
      </c>
      <c r="AQ245" s="10">
        <v>0</v>
      </c>
      <c r="AR245" s="10">
        <v>0</v>
      </c>
      <c r="AS245" s="10">
        <v>0</v>
      </c>
      <c r="AT245" s="10">
        <v>0</v>
      </c>
      <c r="AU245" s="10">
        <v>0</v>
      </c>
      <c r="AV245" s="10">
        <v>0</v>
      </c>
      <c r="AW245" s="10">
        <v>0</v>
      </c>
      <c r="AX245" s="10">
        <v>0</v>
      </c>
      <c r="AY245" s="10">
        <v>0</v>
      </c>
      <c r="AZ245" s="10">
        <v>0</v>
      </c>
      <c r="BA245" s="10">
        <v>0</v>
      </c>
      <c r="BB245" s="10">
        <v>0</v>
      </c>
      <c r="BC245" s="10">
        <v>0</v>
      </c>
      <c r="BD245" s="10">
        <v>0</v>
      </c>
      <c r="BE245" s="10">
        <v>0</v>
      </c>
      <c r="BF245" s="10">
        <v>0</v>
      </c>
    </row>
    <row r="246" spans="1:58" ht="14.15" customHeight="1">
      <c r="A246" s="404">
        <f t="shared" si="709"/>
        <v>240</v>
      </c>
      <c r="B246" s="22" t="s">
        <v>162</v>
      </c>
      <c r="C246" s="38">
        <f t="shared" si="793"/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0">
        <v>0</v>
      </c>
      <c r="AM246" s="10">
        <v>0</v>
      </c>
      <c r="AN246" s="10">
        <v>0</v>
      </c>
      <c r="AO246" s="10">
        <v>0</v>
      </c>
      <c r="AP246" s="10">
        <v>0</v>
      </c>
      <c r="AQ246" s="10">
        <v>0</v>
      </c>
      <c r="AR246" s="10">
        <v>0</v>
      </c>
      <c r="AS246" s="10">
        <v>0</v>
      </c>
      <c r="AT246" s="10">
        <v>0</v>
      </c>
      <c r="AU246" s="10">
        <v>0</v>
      </c>
      <c r="AV246" s="10">
        <v>0</v>
      </c>
      <c r="AW246" s="10">
        <v>0</v>
      </c>
      <c r="AX246" s="10">
        <v>0</v>
      </c>
      <c r="AY246" s="10">
        <v>0</v>
      </c>
      <c r="AZ246" s="10">
        <v>0</v>
      </c>
      <c r="BA246" s="10">
        <v>0</v>
      </c>
      <c r="BB246" s="10">
        <v>0</v>
      </c>
      <c r="BC246" s="10">
        <v>0</v>
      </c>
      <c r="BD246" s="10">
        <v>0</v>
      </c>
      <c r="BE246" s="10">
        <v>0</v>
      </c>
      <c r="BF246" s="10">
        <v>0</v>
      </c>
    </row>
    <row r="247" spans="1:58" ht="14.15" customHeight="1">
      <c r="A247" s="404">
        <f t="shared" si="709"/>
        <v>241</v>
      </c>
      <c r="B247" s="22" t="str">
        <f>'Sch 4'!B260</f>
        <v xml:space="preserve">     Other Rate Base</v>
      </c>
      <c r="C247" s="38">
        <f t="shared" si="793"/>
        <v>10000000</v>
      </c>
      <c r="D247" s="10">
        <v>0</v>
      </c>
      <c r="E247" s="10">
        <v>0</v>
      </c>
      <c r="F247" s="10">
        <v>0</v>
      </c>
      <c r="G247" s="10">
        <v>0</v>
      </c>
      <c r="H247" s="10"/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0">
        <v>0</v>
      </c>
      <c r="AM247" s="10">
        <v>0</v>
      </c>
      <c r="AN247" s="10">
        <v>0</v>
      </c>
      <c r="AO247" s="10">
        <v>0</v>
      </c>
      <c r="AP247" s="10">
        <v>0</v>
      </c>
      <c r="AQ247" s="10">
        <v>0</v>
      </c>
      <c r="AR247" s="10">
        <v>0</v>
      </c>
      <c r="AS247" s="10">
        <v>0</v>
      </c>
      <c r="AT247" s="10">
        <v>0</v>
      </c>
      <c r="AU247" s="10">
        <v>0</v>
      </c>
      <c r="AV247" s="10">
        <v>0</v>
      </c>
      <c r="AW247" s="10">
        <v>0</v>
      </c>
      <c r="AX247" s="10">
        <v>0</v>
      </c>
      <c r="AY247" s="10">
        <v>10000000</v>
      </c>
      <c r="AZ247" s="10">
        <v>0</v>
      </c>
      <c r="BA247" s="10">
        <v>0</v>
      </c>
      <c r="BB247" s="10">
        <v>0</v>
      </c>
      <c r="BC247" s="10">
        <v>0</v>
      </c>
      <c r="BD247" s="10">
        <v>0</v>
      </c>
      <c r="BE247" s="10">
        <v>0</v>
      </c>
      <c r="BF247" s="10">
        <v>0</v>
      </c>
    </row>
    <row r="248" spans="1:58" ht="14.15" customHeight="1">
      <c r="A248" s="404">
        <f t="shared" si="709"/>
        <v>242</v>
      </c>
      <c r="B248" s="56" t="s">
        <v>163</v>
      </c>
      <c r="C248" s="38">
        <f t="shared" si="793"/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0">
        <v>0</v>
      </c>
      <c r="AM248" s="10">
        <v>0</v>
      </c>
      <c r="AN248" s="10">
        <v>0</v>
      </c>
      <c r="AO248" s="10">
        <v>0</v>
      </c>
      <c r="AP248" s="10">
        <v>0</v>
      </c>
      <c r="AQ248" s="10">
        <v>0</v>
      </c>
      <c r="AR248" s="10">
        <v>0</v>
      </c>
      <c r="AS248" s="10">
        <v>0</v>
      </c>
      <c r="AT248" s="10">
        <v>0</v>
      </c>
      <c r="AU248" s="10">
        <v>0</v>
      </c>
      <c r="AV248" s="10">
        <v>0</v>
      </c>
      <c r="AW248" s="10">
        <v>0</v>
      </c>
      <c r="AX248" s="10">
        <v>0</v>
      </c>
      <c r="AY248" s="10">
        <v>0</v>
      </c>
      <c r="AZ248" s="10">
        <v>0</v>
      </c>
      <c r="BA248" s="10">
        <v>0</v>
      </c>
      <c r="BB248" s="10">
        <v>0</v>
      </c>
      <c r="BC248" s="10">
        <v>0</v>
      </c>
      <c r="BD248" s="10">
        <v>0</v>
      </c>
      <c r="BE248" s="10">
        <v>0</v>
      </c>
      <c r="BF248" s="10">
        <v>0</v>
      </c>
    </row>
    <row r="249" spans="1:58" ht="14.15" customHeight="1">
      <c r="A249" s="404">
        <f t="shared" si="709"/>
        <v>243</v>
      </c>
      <c r="B249" s="85" t="s">
        <v>164</v>
      </c>
      <c r="C249" s="80">
        <f t="shared" ref="C249:V249" si="794">SUM(C241:C248)</f>
        <v>103977971.09415172</v>
      </c>
      <c r="D249" s="80">
        <f t="shared" ref="D249:I249" si="795">SUM(D241:D248)</f>
        <v>0</v>
      </c>
      <c r="E249" s="80">
        <f t="shared" si="795"/>
        <v>0</v>
      </c>
      <c r="F249" s="80">
        <f t="shared" si="795"/>
        <v>0</v>
      </c>
      <c r="G249" s="80">
        <f t="shared" si="795"/>
        <v>0</v>
      </c>
      <c r="H249" s="80">
        <f t="shared" si="795"/>
        <v>0</v>
      </c>
      <c r="I249" s="80">
        <f t="shared" si="795"/>
        <v>0</v>
      </c>
      <c r="J249" s="80">
        <f t="shared" si="794"/>
        <v>0</v>
      </c>
      <c r="K249" s="80">
        <f t="shared" ref="K249:U249" si="796">SUM(K241:K248)</f>
        <v>0</v>
      </c>
      <c r="L249" s="80">
        <f t="shared" si="796"/>
        <v>0</v>
      </c>
      <c r="M249" s="80">
        <f t="shared" si="796"/>
        <v>0</v>
      </c>
      <c r="N249" s="80">
        <f t="shared" si="796"/>
        <v>0</v>
      </c>
      <c r="O249" s="80">
        <f t="shared" si="796"/>
        <v>0</v>
      </c>
      <c r="P249" s="80">
        <f t="shared" si="796"/>
        <v>0</v>
      </c>
      <c r="Q249" s="80">
        <f t="shared" si="796"/>
        <v>0</v>
      </c>
      <c r="R249" s="80">
        <f t="shared" si="796"/>
        <v>0</v>
      </c>
      <c r="S249" s="80">
        <f t="shared" si="796"/>
        <v>0</v>
      </c>
      <c r="T249" s="80">
        <f t="shared" si="796"/>
        <v>0</v>
      </c>
      <c r="U249" s="80">
        <f t="shared" si="796"/>
        <v>-5514295.8700000355</v>
      </c>
      <c r="V249" s="80">
        <f t="shared" si="794"/>
        <v>0</v>
      </c>
      <c r="W249" s="80">
        <f>SUM(W241:W248)</f>
        <v>0</v>
      </c>
      <c r="X249" s="80">
        <f t="shared" ref="X249:AD249" si="797">SUM(X241:X248)</f>
        <v>0</v>
      </c>
      <c r="Y249" s="80">
        <f>SUM(Y241:Y248)</f>
        <v>0</v>
      </c>
      <c r="Z249" s="80">
        <f t="shared" si="797"/>
        <v>0</v>
      </c>
      <c r="AA249" s="80">
        <f t="shared" si="797"/>
        <v>0</v>
      </c>
      <c r="AB249" s="80">
        <f t="shared" si="797"/>
        <v>0</v>
      </c>
      <c r="AC249" s="80">
        <f t="shared" si="797"/>
        <v>0</v>
      </c>
      <c r="AD249" s="80">
        <f t="shared" si="797"/>
        <v>0</v>
      </c>
      <c r="AE249" s="80">
        <f>SUM(AE241:AE248)</f>
        <v>0</v>
      </c>
      <c r="AF249" s="80">
        <f>SUM(AF241:AF248)</f>
        <v>0</v>
      </c>
      <c r="AG249" s="80">
        <f>SUM(AG241:AG248)</f>
        <v>0</v>
      </c>
      <c r="AH249" s="80">
        <f t="shared" ref="AH249" si="798">SUM(AH241:AH248)</f>
        <v>0</v>
      </c>
      <c r="AI249" s="80">
        <f t="shared" ref="AI249:AL249" si="799">SUM(AI241:AI248)</f>
        <v>0</v>
      </c>
      <c r="AJ249" s="80">
        <f t="shared" si="799"/>
        <v>0</v>
      </c>
      <c r="AK249" s="80">
        <f t="shared" si="799"/>
        <v>0</v>
      </c>
      <c r="AL249" s="80">
        <f t="shared" si="799"/>
        <v>0</v>
      </c>
      <c r="AM249" s="80">
        <f>SUM(AM241:AM248)</f>
        <v>0</v>
      </c>
      <c r="AN249" s="80">
        <f>SUM(AN241:AN248)</f>
        <v>0</v>
      </c>
      <c r="AO249" s="80">
        <f>SUM(AO241:AO248)</f>
        <v>0</v>
      </c>
      <c r="AP249" s="80">
        <f>SUM(AP241:AP248)</f>
        <v>0</v>
      </c>
      <c r="AQ249" s="80">
        <f>SUM(AQ241:AQ248)</f>
        <v>0</v>
      </c>
      <c r="AR249" s="80">
        <f t="shared" ref="AR249" si="800">SUM(AR241:AR248)</f>
        <v>0</v>
      </c>
      <c r="AS249" s="80">
        <f>SUM(AS241:AS248)</f>
        <v>0</v>
      </c>
      <c r="AT249" s="80">
        <f t="shared" ref="AT249" si="801">SUM(AT241:AT248)</f>
        <v>0</v>
      </c>
      <c r="AU249" s="80">
        <f t="shared" ref="AU249" si="802">SUM(AU241:AU248)</f>
        <v>0</v>
      </c>
      <c r="AV249" s="80">
        <f t="shared" ref="AV249" si="803">SUM(AV241:AV248)</f>
        <v>0</v>
      </c>
      <c r="AW249" s="80">
        <f>SUM(AW241:AW248)</f>
        <v>0</v>
      </c>
      <c r="AX249" s="80">
        <f t="shared" ref="AX249" si="804">SUM(AX241:AX248)</f>
        <v>0</v>
      </c>
      <c r="AY249" s="80">
        <f t="shared" ref="AY249:BF249" si="805">SUM(AY241:AY248)</f>
        <v>10000000</v>
      </c>
      <c r="AZ249" s="80">
        <f t="shared" si="805"/>
        <v>0</v>
      </c>
      <c r="BA249" s="80">
        <f t="shared" si="805"/>
        <v>0</v>
      </c>
      <c r="BB249" s="80">
        <f t="shared" si="805"/>
        <v>54614594.964151755</v>
      </c>
      <c r="BC249" s="80">
        <f t="shared" si="805"/>
        <v>0</v>
      </c>
      <c r="BD249" s="80">
        <f t="shared" si="805"/>
        <v>44877672</v>
      </c>
      <c r="BE249" s="80">
        <f t="shared" si="805"/>
        <v>0</v>
      </c>
      <c r="BF249" s="80">
        <f t="shared" si="805"/>
        <v>0</v>
      </c>
    </row>
    <row r="250" spans="1:58" ht="14.15" customHeight="1">
      <c r="A250" s="404">
        <f t="shared" si="709"/>
        <v>244</v>
      </c>
      <c r="B250" s="52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  <c r="T250" s="145"/>
      <c r="U250" s="145"/>
      <c r="V250" s="145"/>
      <c r="W250" s="145"/>
      <c r="X250" s="145"/>
      <c r="Y250" s="145"/>
      <c r="Z250" s="145"/>
      <c r="AA250" s="145"/>
      <c r="AB250" s="145"/>
      <c r="AC250" s="145"/>
      <c r="AD250" s="145"/>
      <c r="AE250" s="145"/>
      <c r="AF250" s="145"/>
      <c r="AG250" s="145"/>
      <c r="AH250" s="145"/>
      <c r="AI250" s="145"/>
      <c r="AJ250" s="145"/>
      <c r="AK250" s="145"/>
      <c r="AL250" s="145"/>
      <c r="AM250" s="145"/>
      <c r="AN250" s="145"/>
      <c r="AO250" s="145"/>
      <c r="AP250" s="145"/>
      <c r="AQ250" s="145"/>
      <c r="AR250" s="145"/>
      <c r="AS250" s="145"/>
      <c r="AT250" s="145"/>
      <c r="AU250" s="145"/>
      <c r="AV250" s="145"/>
      <c r="AW250" s="145"/>
      <c r="AX250" s="145"/>
      <c r="AY250" s="145"/>
      <c r="AZ250" s="145"/>
      <c r="BA250" s="145"/>
      <c r="BB250" s="145"/>
      <c r="BC250" s="145"/>
      <c r="BD250" s="145"/>
      <c r="BE250" s="145"/>
      <c r="BF250" s="145"/>
    </row>
    <row r="251" spans="1:58" s="3" customFormat="1" ht="14.15" customHeight="1" thickBot="1">
      <c r="A251" s="404">
        <f t="shared" si="709"/>
        <v>245</v>
      </c>
      <c r="B251" s="54" t="s">
        <v>849</v>
      </c>
      <c r="C251" s="87">
        <f>C194+C217+C166+C224+C237+C249+C232</f>
        <v>-138088477.14384821</v>
      </c>
      <c r="D251" s="87">
        <f t="shared" ref="D251:I251" si="806">D194+D217+D166+D224+D237+D249</f>
        <v>0</v>
      </c>
      <c r="E251" s="87">
        <f t="shared" si="806"/>
        <v>0</v>
      </c>
      <c r="F251" s="87">
        <f t="shared" si="806"/>
        <v>0</v>
      </c>
      <c r="G251" s="87">
        <f t="shared" si="806"/>
        <v>0</v>
      </c>
      <c r="H251" s="87">
        <f t="shared" si="806"/>
        <v>0</v>
      </c>
      <c r="I251" s="87">
        <f t="shared" si="806"/>
        <v>0</v>
      </c>
      <c r="J251" s="87">
        <f t="shared" ref="J251:AL251" si="807">J194+J217+J166+J224+J237+J249</f>
        <v>0</v>
      </c>
      <c r="K251" s="87">
        <f t="shared" ref="K251:U251" si="808">K194+K217+K166+K224+K237+K249</f>
        <v>0</v>
      </c>
      <c r="L251" s="87">
        <f t="shared" si="808"/>
        <v>0</v>
      </c>
      <c r="M251" s="87">
        <f t="shared" si="808"/>
        <v>0</v>
      </c>
      <c r="N251" s="87">
        <f t="shared" si="808"/>
        <v>0</v>
      </c>
      <c r="O251" s="87">
        <f t="shared" si="808"/>
        <v>0</v>
      </c>
      <c r="P251" s="87">
        <f t="shared" si="808"/>
        <v>0</v>
      </c>
      <c r="Q251" s="87">
        <f t="shared" si="808"/>
        <v>0</v>
      </c>
      <c r="R251" s="87">
        <f t="shared" si="808"/>
        <v>0</v>
      </c>
      <c r="S251" s="87">
        <f t="shared" si="808"/>
        <v>0</v>
      </c>
      <c r="T251" s="87">
        <f t="shared" si="808"/>
        <v>0</v>
      </c>
      <c r="U251" s="87">
        <f t="shared" si="808"/>
        <v>20188819.880000077</v>
      </c>
      <c r="V251" s="87">
        <f t="shared" si="807"/>
        <v>0</v>
      </c>
      <c r="W251" s="87">
        <f t="shared" ref="W251:AG251" si="809">W194+W217+W166+W224+W237+W249</f>
        <v>0</v>
      </c>
      <c r="X251" s="87">
        <f t="shared" si="809"/>
        <v>0</v>
      </c>
      <c r="Y251" s="87">
        <f t="shared" si="809"/>
        <v>0</v>
      </c>
      <c r="Z251" s="87">
        <f t="shared" si="809"/>
        <v>0</v>
      </c>
      <c r="AA251" s="87">
        <f t="shared" si="809"/>
        <v>0</v>
      </c>
      <c r="AB251" s="87">
        <f t="shared" si="809"/>
        <v>0</v>
      </c>
      <c r="AC251" s="87">
        <f t="shared" si="809"/>
        <v>0</v>
      </c>
      <c r="AD251" s="87">
        <f t="shared" si="809"/>
        <v>0</v>
      </c>
      <c r="AE251" s="87">
        <f t="shared" si="809"/>
        <v>0</v>
      </c>
      <c r="AF251" s="87">
        <f t="shared" si="809"/>
        <v>0</v>
      </c>
      <c r="AG251" s="87">
        <f t="shared" si="809"/>
        <v>0</v>
      </c>
      <c r="AH251" s="87">
        <f t="shared" si="807"/>
        <v>0</v>
      </c>
      <c r="AI251" s="87">
        <f t="shared" si="807"/>
        <v>0</v>
      </c>
      <c r="AJ251" s="87">
        <f t="shared" si="807"/>
        <v>0</v>
      </c>
      <c r="AK251" s="87">
        <f t="shared" si="807"/>
        <v>0</v>
      </c>
      <c r="AL251" s="87">
        <f t="shared" si="807"/>
        <v>0</v>
      </c>
      <c r="AM251" s="87">
        <f>AM194+AM217+AM166+AM224+AM237+AM249</f>
        <v>0</v>
      </c>
      <c r="AN251" s="87">
        <f>AN194+AN217+AN166+AN224+AN237+AN249</f>
        <v>0</v>
      </c>
      <c r="AO251" s="87">
        <f>AO194+AO217+AO166+AO224+AO237+AO249</f>
        <v>0</v>
      </c>
      <c r="AP251" s="87">
        <f>AP194+AP217+AP166+AP224+AP237+AP249</f>
        <v>0</v>
      </c>
      <c r="AQ251" s="87">
        <f>AQ194+AQ217+AQ166+AQ224+AQ237+AQ249</f>
        <v>0</v>
      </c>
      <c r="AR251" s="87">
        <f t="shared" ref="AR251" si="810">AR194+AR217+AR166+AR224+AR237+AR249</f>
        <v>0</v>
      </c>
      <c r="AS251" s="87">
        <f>AS194+AS217+AS166+AS224+AS237+AS249</f>
        <v>0</v>
      </c>
      <c r="AT251" s="87">
        <f t="shared" ref="AT251" si="811">AT194+AT217+AT166+AT224+AT237+AT249</f>
        <v>0</v>
      </c>
      <c r="AU251" s="87">
        <f t="shared" ref="AU251" si="812">AU194+AU217+AU166+AU224+AU237+AU249</f>
        <v>-127654870.42999995</v>
      </c>
      <c r="AV251" s="87">
        <f>AV194+AV217+AV166+AV224+AV237+AV249</f>
        <v>18000000</v>
      </c>
      <c r="AW251" s="87">
        <f>AW194+AW217+AW166+AW224+AW237+AW249</f>
        <v>84676984.310000002</v>
      </c>
      <c r="AX251" s="87">
        <f t="shared" ref="AX251" si="813">AX194+AX217+AX166+AX224+AX237+AX249</f>
        <v>-84676984.310000002</v>
      </c>
      <c r="AY251" s="87">
        <f t="shared" ref="AY251:BF251" si="814">AY194+AY217+AY166+AY224+AY237+AY249</f>
        <v>10000000</v>
      </c>
      <c r="AZ251" s="87">
        <f t="shared" si="814"/>
        <v>0</v>
      </c>
      <c r="BA251" s="87">
        <f t="shared" si="814"/>
        <v>0</v>
      </c>
      <c r="BB251" s="87">
        <f t="shared" si="814"/>
        <v>54614594.964151755</v>
      </c>
      <c r="BC251" s="87">
        <f t="shared" si="814"/>
        <v>0</v>
      </c>
      <c r="BD251" s="87">
        <f t="shared" si="814"/>
        <v>-113080671</v>
      </c>
      <c r="BE251" s="87">
        <f t="shared" si="814"/>
        <v>-341158</v>
      </c>
      <c r="BF251" s="87">
        <f t="shared" si="814"/>
        <v>0</v>
      </c>
    </row>
    <row r="252" spans="1:58" ht="14.15" customHeight="1" thickTop="1">
      <c r="A252" s="404">
        <f t="shared" si="709"/>
        <v>246</v>
      </c>
      <c r="B252" s="65"/>
      <c r="C252" s="65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</row>
    <row r="253" spans="1:58" ht="14.15" customHeight="1">
      <c r="A253" s="404">
        <f t="shared" si="709"/>
        <v>247</v>
      </c>
      <c r="B253" s="22"/>
      <c r="C253" s="22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</row>
    <row r="254" spans="1:58" ht="14.15" customHeight="1">
      <c r="A254" s="404">
        <f t="shared" si="709"/>
        <v>248</v>
      </c>
      <c r="B254" s="123" t="s">
        <v>316</v>
      </c>
      <c r="C254" s="38">
        <f t="shared" ref="C254:C261" si="815">SUM(D254:BF254)</f>
        <v>-53897239.240777612</v>
      </c>
      <c r="D254" s="10">
        <f>-2278308+4727891</f>
        <v>2449583</v>
      </c>
      <c r="E254" s="10">
        <v>-515361.63697997667</v>
      </c>
      <c r="F254" s="10">
        <v>145034</v>
      </c>
      <c r="G254" s="10">
        <v>2712449.39</v>
      </c>
      <c r="H254" s="10">
        <v>33001096.547184512</v>
      </c>
      <c r="I254" s="10">
        <v>0</v>
      </c>
      <c r="J254" s="10">
        <v>-5276.19</v>
      </c>
      <c r="K254" s="10">
        <v>-19703413</v>
      </c>
      <c r="L254" s="10">
        <v>-49418888</v>
      </c>
      <c r="M254" s="10">
        <f>-14265129-2506318</f>
        <v>-16771447</v>
      </c>
      <c r="N254" s="10">
        <v>0</v>
      </c>
      <c r="O254" s="10">
        <v>-628079.1</v>
      </c>
      <c r="P254" s="10">
        <v>-373893.79</v>
      </c>
      <c r="Q254" s="464">
        <f>-2908255.86482087+-867856.0605</f>
        <v>-3776111.9253208702</v>
      </c>
      <c r="R254" s="10">
        <v>-1012931.5356612798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>
        <v>0</v>
      </c>
      <c r="AM254" s="10">
        <v>0</v>
      </c>
      <c r="AN254" s="10">
        <v>0</v>
      </c>
      <c r="AO254" s="10">
        <v>0</v>
      </c>
      <c r="AP254" s="10">
        <v>0</v>
      </c>
      <c r="AQ254" s="10">
        <v>0</v>
      </c>
      <c r="AR254" s="10">
        <v>0</v>
      </c>
      <c r="AS254" s="10">
        <v>0</v>
      </c>
      <c r="AT254" s="10">
        <v>0</v>
      </c>
      <c r="AU254" s="10">
        <v>0</v>
      </c>
      <c r="AV254" s="10">
        <v>0</v>
      </c>
      <c r="AW254" s="10">
        <v>0</v>
      </c>
      <c r="AX254" s="10">
        <v>0</v>
      </c>
      <c r="AY254" s="10">
        <v>0</v>
      </c>
      <c r="AZ254" s="10">
        <v>0</v>
      </c>
      <c r="BA254" s="10">
        <v>0</v>
      </c>
      <c r="BB254" s="10">
        <v>0</v>
      </c>
      <c r="BC254" s="10">
        <v>0</v>
      </c>
      <c r="BD254" s="10">
        <v>0</v>
      </c>
      <c r="BE254" s="10">
        <v>0</v>
      </c>
      <c r="BF254" s="10">
        <v>0</v>
      </c>
    </row>
    <row r="255" spans="1:58" ht="14.15" customHeight="1">
      <c r="A255" s="404">
        <f t="shared" si="709"/>
        <v>249</v>
      </c>
      <c r="B255" s="123" t="s">
        <v>364</v>
      </c>
      <c r="C255" s="38">
        <f t="shared" si="815"/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0">
        <v>0</v>
      </c>
      <c r="AM255" s="10">
        <v>0</v>
      </c>
      <c r="AN255" s="10">
        <v>0</v>
      </c>
      <c r="AO255" s="10">
        <v>0</v>
      </c>
      <c r="AP255" s="10">
        <v>0</v>
      </c>
      <c r="AQ255" s="10">
        <v>0</v>
      </c>
      <c r="AR255" s="10">
        <v>0</v>
      </c>
      <c r="AS255" s="10">
        <v>0</v>
      </c>
      <c r="AT255" s="10">
        <v>0</v>
      </c>
      <c r="AU255" s="10">
        <v>0</v>
      </c>
      <c r="AV255" s="10">
        <v>0</v>
      </c>
      <c r="AW255" s="10">
        <v>0</v>
      </c>
      <c r="AX255" s="10">
        <v>0</v>
      </c>
      <c r="AY255" s="10">
        <v>0</v>
      </c>
      <c r="AZ255" s="10">
        <v>0</v>
      </c>
      <c r="BA255" s="10">
        <v>0</v>
      </c>
      <c r="BB255" s="10">
        <v>0</v>
      </c>
      <c r="BC255" s="10">
        <v>0</v>
      </c>
      <c r="BD255" s="10">
        <v>0</v>
      </c>
      <c r="BE255" s="10">
        <v>0</v>
      </c>
      <c r="BF255" s="10">
        <v>0</v>
      </c>
    </row>
    <row r="256" spans="1:58" ht="14.15" customHeight="1">
      <c r="A256" s="404">
        <f t="shared" si="709"/>
        <v>250</v>
      </c>
      <c r="B256" s="123" t="s">
        <v>15</v>
      </c>
      <c r="C256" s="38">
        <f t="shared" si="815"/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0">
        <v>0</v>
      </c>
      <c r="AM256" s="10">
        <v>0</v>
      </c>
      <c r="AN256" s="10">
        <v>0</v>
      </c>
      <c r="AO256" s="10">
        <v>0</v>
      </c>
      <c r="AP256" s="10">
        <v>0</v>
      </c>
      <c r="AQ256" s="10">
        <v>0</v>
      </c>
      <c r="AR256" s="10">
        <v>0</v>
      </c>
      <c r="AS256" s="10">
        <v>0</v>
      </c>
      <c r="AT256" s="10">
        <v>0</v>
      </c>
      <c r="AU256" s="10">
        <v>0</v>
      </c>
      <c r="AV256" s="10">
        <v>0</v>
      </c>
      <c r="AW256" s="10">
        <v>0</v>
      </c>
      <c r="AX256" s="10">
        <v>0</v>
      </c>
      <c r="AY256" s="10">
        <v>0</v>
      </c>
      <c r="AZ256" s="10">
        <v>0</v>
      </c>
      <c r="BA256" s="10">
        <v>0</v>
      </c>
      <c r="BB256" s="10">
        <v>0</v>
      </c>
      <c r="BC256" s="10">
        <v>0</v>
      </c>
      <c r="BD256" s="10">
        <v>0</v>
      </c>
      <c r="BE256" s="10">
        <v>0</v>
      </c>
      <c r="BF256" s="10">
        <v>0</v>
      </c>
    </row>
    <row r="257" spans="1:58" ht="14.15" customHeight="1">
      <c r="A257" s="404">
        <f t="shared" si="709"/>
        <v>251</v>
      </c>
      <c r="B257" s="123"/>
      <c r="C257" s="38">
        <f t="shared" si="815"/>
        <v>0</v>
      </c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</row>
    <row r="258" spans="1:58" ht="14.15" customHeight="1">
      <c r="A258" s="404">
        <f t="shared" si="709"/>
        <v>252</v>
      </c>
      <c r="B258" s="3" t="s">
        <v>166</v>
      </c>
      <c r="C258" s="38">
        <f t="shared" si="815"/>
        <v>0</v>
      </c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</row>
    <row r="259" spans="1:58" ht="14.15" customHeight="1">
      <c r="A259" s="404">
        <f t="shared" si="709"/>
        <v>253</v>
      </c>
      <c r="B259" s="83" t="s">
        <v>167</v>
      </c>
      <c r="C259" s="38">
        <f t="shared" si="815"/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0">
        <v>0</v>
      </c>
      <c r="AM259" s="10">
        <v>0</v>
      </c>
      <c r="AN259" s="10">
        <v>0</v>
      </c>
      <c r="AO259" s="10">
        <v>0</v>
      </c>
      <c r="AP259" s="10">
        <v>0</v>
      </c>
      <c r="AQ259" s="10">
        <v>0</v>
      </c>
      <c r="AR259" s="10">
        <v>0</v>
      </c>
      <c r="AS259" s="10">
        <v>0</v>
      </c>
      <c r="AT259" s="10">
        <v>0</v>
      </c>
      <c r="AU259" s="10">
        <v>0</v>
      </c>
      <c r="AV259" s="10">
        <v>0</v>
      </c>
      <c r="AW259" s="10">
        <v>0</v>
      </c>
      <c r="AX259" s="10">
        <v>0</v>
      </c>
      <c r="AY259" s="10">
        <v>0</v>
      </c>
      <c r="AZ259" s="10">
        <v>0</v>
      </c>
      <c r="BA259" s="10">
        <v>0</v>
      </c>
      <c r="BB259" s="10">
        <v>0</v>
      </c>
      <c r="BC259" s="10">
        <v>0</v>
      </c>
      <c r="BD259" s="10">
        <v>0</v>
      </c>
      <c r="BE259" s="10">
        <v>0</v>
      </c>
      <c r="BF259" s="10">
        <v>0</v>
      </c>
    </row>
    <row r="260" spans="1:58" ht="14.15" customHeight="1">
      <c r="A260" s="404">
        <f t="shared" si="709"/>
        <v>254</v>
      </c>
      <c r="B260" s="83" t="s">
        <v>168</v>
      </c>
      <c r="C260" s="38">
        <f t="shared" si="815"/>
        <v>316449.31359999999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10">
        <v>0</v>
      </c>
      <c r="T260" s="10">
        <v>0</v>
      </c>
      <c r="U260" s="10">
        <v>316449.31359999999</v>
      </c>
      <c r="V260" s="10">
        <v>0</v>
      </c>
      <c r="W260" s="10">
        <v>0</v>
      </c>
      <c r="X260" s="10">
        <v>0</v>
      </c>
      <c r="Y260" s="10">
        <v>0</v>
      </c>
      <c r="Z260" s="10">
        <v>0</v>
      </c>
      <c r="AA260" s="10">
        <v>0</v>
      </c>
      <c r="AB260" s="10">
        <v>0</v>
      </c>
      <c r="AC260" s="10">
        <v>0</v>
      </c>
      <c r="AD260" s="10">
        <v>0</v>
      </c>
      <c r="AE260" s="10">
        <v>0</v>
      </c>
      <c r="AF260" s="10">
        <v>0</v>
      </c>
      <c r="AG260" s="10">
        <v>0</v>
      </c>
      <c r="AH260" s="10">
        <v>0</v>
      </c>
      <c r="AI260" s="10">
        <v>0</v>
      </c>
      <c r="AJ260" s="10">
        <v>0</v>
      </c>
      <c r="AK260" s="10">
        <v>0</v>
      </c>
      <c r="AL260" s="10">
        <v>0</v>
      </c>
      <c r="AM260" s="10">
        <v>0</v>
      </c>
      <c r="AN260" s="10">
        <v>0</v>
      </c>
      <c r="AO260" s="10">
        <v>0</v>
      </c>
      <c r="AP260" s="10">
        <v>0</v>
      </c>
      <c r="AQ260" s="10">
        <v>0</v>
      </c>
      <c r="AR260" s="10">
        <v>0</v>
      </c>
      <c r="AS260" s="10">
        <v>0</v>
      </c>
      <c r="AT260" s="10">
        <v>0</v>
      </c>
      <c r="AU260" s="10">
        <v>0</v>
      </c>
      <c r="AV260" s="10">
        <v>0</v>
      </c>
      <c r="AW260" s="10">
        <v>0</v>
      </c>
      <c r="AX260" s="10">
        <v>0</v>
      </c>
      <c r="AY260" s="10">
        <v>0</v>
      </c>
      <c r="AZ260" s="10">
        <v>0</v>
      </c>
      <c r="BA260" s="10">
        <v>0</v>
      </c>
      <c r="BB260" s="10">
        <v>0</v>
      </c>
      <c r="BC260" s="10">
        <v>0</v>
      </c>
      <c r="BD260" s="10">
        <v>0</v>
      </c>
      <c r="BE260" s="10">
        <v>0</v>
      </c>
      <c r="BF260" s="10">
        <v>0</v>
      </c>
    </row>
    <row r="261" spans="1:58" ht="14.15" customHeight="1">
      <c r="A261" s="404">
        <f t="shared" si="709"/>
        <v>255</v>
      </c>
      <c r="B261" s="56" t="s">
        <v>169</v>
      </c>
      <c r="C261" s="38">
        <f t="shared" si="815"/>
        <v>0</v>
      </c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</row>
    <row r="262" spans="1:58" ht="14.15" customHeight="1">
      <c r="A262" s="404">
        <f t="shared" si="709"/>
        <v>256</v>
      </c>
      <c r="B262" s="20" t="s">
        <v>478</v>
      </c>
      <c r="C262" s="80">
        <f t="shared" ref="C262:V262" si="816">+C259+C260</f>
        <v>316449.31359999999</v>
      </c>
      <c r="D262" s="80">
        <f t="shared" ref="D262:I262" si="817">+D259+D260</f>
        <v>0</v>
      </c>
      <c r="E262" s="80">
        <f t="shared" si="817"/>
        <v>0</v>
      </c>
      <c r="F262" s="80">
        <f t="shared" si="817"/>
        <v>0</v>
      </c>
      <c r="G262" s="80">
        <f t="shared" si="817"/>
        <v>0</v>
      </c>
      <c r="H262" s="80">
        <f t="shared" si="817"/>
        <v>0</v>
      </c>
      <c r="I262" s="80">
        <f t="shared" si="817"/>
        <v>0</v>
      </c>
      <c r="J262" s="80">
        <f t="shared" si="816"/>
        <v>0</v>
      </c>
      <c r="K262" s="80">
        <f t="shared" ref="K262:U262" si="818">+K259+K260</f>
        <v>0</v>
      </c>
      <c r="L262" s="80">
        <f t="shared" si="818"/>
        <v>0</v>
      </c>
      <c r="M262" s="80">
        <f t="shared" si="818"/>
        <v>0</v>
      </c>
      <c r="N262" s="80">
        <f t="shared" si="818"/>
        <v>0</v>
      </c>
      <c r="O262" s="80">
        <f t="shared" si="818"/>
        <v>0</v>
      </c>
      <c r="P262" s="80">
        <f t="shared" si="818"/>
        <v>0</v>
      </c>
      <c r="Q262" s="80">
        <f t="shared" si="818"/>
        <v>0</v>
      </c>
      <c r="R262" s="80">
        <f t="shared" si="818"/>
        <v>0</v>
      </c>
      <c r="S262" s="80">
        <f t="shared" si="818"/>
        <v>0</v>
      </c>
      <c r="T262" s="80">
        <f t="shared" si="818"/>
        <v>0</v>
      </c>
      <c r="U262" s="80">
        <f t="shared" si="818"/>
        <v>316449.31359999999</v>
      </c>
      <c r="V262" s="80">
        <f t="shared" si="816"/>
        <v>0</v>
      </c>
      <c r="W262" s="80">
        <f>+W259+W260</f>
        <v>0</v>
      </c>
      <c r="X262" s="80">
        <f t="shared" ref="X262:AD262" si="819">+X259+X260</f>
        <v>0</v>
      </c>
      <c r="Y262" s="80">
        <f>+Y259+Y260</f>
        <v>0</v>
      </c>
      <c r="Z262" s="80">
        <f t="shared" si="819"/>
        <v>0</v>
      </c>
      <c r="AA262" s="80">
        <f t="shared" si="819"/>
        <v>0</v>
      </c>
      <c r="AB262" s="80">
        <f t="shared" si="819"/>
        <v>0</v>
      </c>
      <c r="AC262" s="80">
        <f t="shared" si="819"/>
        <v>0</v>
      </c>
      <c r="AD262" s="80">
        <f t="shared" si="819"/>
        <v>0</v>
      </c>
      <c r="AE262" s="80">
        <f>+AE259+AE260</f>
        <v>0</v>
      </c>
      <c r="AF262" s="80">
        <f>+AF259+AF260</f>
        <v>0</v>
      </c>
      <c r="AG262" s="80">
        <f>+AG259+AG260</f>
        <v>0</v>
      </c>
      <c r="AH262" s="80">
        <f t="shared" ref="AH262" si="820">+AH259+AH260</f>
        <v>0</v>
      </c>
      <c r="AI262" s="80">
        <f t="shared" ref="AI262:AL262" si="821">+AI259+AI260</f>
        <v>0</v>
      </c>
      <c r="AJ262" s="80">
        <f t="shared" si="821"/>
        <v>0</v>
      </c>
      <c r="AK262" s="80">
        <f t="shared" si="821"/>
        <v>0</v>
      </c>
      <c r="AL262" s="80">
        <f t="shared" si="821"/>
        <v>0</v>
      </c>
      <c r="AM262" s="80">
        <f>+AM259+AM260</f>
        <v>0</v>
      </c>
      <c r="AN262" s="80">
        <f>+AN259+AN260</f>
        <v>0</v>
      </c>
      <c r="AO262" s="80">
        <f>+AO259+AO260</f>
        <v>0</v>
      </c>
      <c r="AP262" s="80">
        <f>+AP259+AP260</f>
        <v>0</v>
      </c>
      <c r="AQ262" s="80">
        <f>+AQ259+AQ260</f>
        <v>0</v>
      </c>
      <c r="AR262" s="80">
        <f t="shared" ref="AR262" si="822">+AR259+AR260</f>
        <v>0</v>
      </c>
      <c r="AS262" s="80">
        <f>+AS259+AS260</f>
        <v>0</v>
      </c>
      <c r="AT262" s="80">
        <f t="shared" ref="AT262" si="823">+AT259+AT260</f>
        <v>0</v>
      </c>
      <c r="AU262" s="80">
        <f t="shared" ref="AU262" si="824">+AU259+AU260</f>
        <v>0</v>
      </c>
      <c r="AV262" s="80">
        <f t="shared" ref="AV262" si="825">+AV259+AV260</f>
        <v>0</v>
      </c>
      <c r="AW262" s="80">
        <f>+AW259+AW260</f>
        <v>0</v>
      </c>
      <c r="AX262" s="80">
        <f t="shared" ref="AX262" si="826">+AX259+AX260</f>
        <v>0</v>
      </c>
      <c r="AY262" s="80">
        <f t="shared" ref="AY262:BF262" si="827">+AY259+AY260</f>
        <v>0</v>
      </c>
      <c r="AZ262" s="80">
        <f t="shared" si="827"/>
        <v>0</v>
      </c>
      <c r="BA262" s="80">
        <f t="shared" si="827"/>
        <v>0</v>
      </c>
      <c r="BB262" s="80">
        <f t="shared" si="827"/>
        <v>0</v>
      </c>
      <c r="BC262" s="80">
        <f t="shared" si="827"/>
        <v>0</v>
      </c>
      <c r="BD262" s="80">
        <f t="shared" si="827"/>
        <v>0</v>
      </c>
      <c r="BE262" s="80">
        <f t="shared" si="827"/>
        <v>0</v>
      </c>
      <c r="BF262" s="80">
        <f t="shared" si="827"/>
        <v>0</v>
      </c>
    </row>
    <row r="263" spans="1:58" ht="14.15" customHeight="1">
      <c r="A263" s="404">
        <f t="shared" si="709"/>
        <v>257</v>
      </c>
      <c r="B263" s="123"/>
      <c r="C263" s="123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</row>
    <row r="264" spans="1:58" ht="14.15" customHeight="1">
      <c r="A264" s="404">
        <f t="shared" si="709"/>
        <v>258</v>
      </c>
      <c r="B264" s="13" t="s">
        <v>170</v>
      </c>
      <c r="C264" s="13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</row>
    <row r="265" spans="1:58" ht="14.15" customHeight="1">
      <c r="A265" s="404">
        <f t="shared" si="709"/>
        <v>259</v>
      </c>
      <c r="B265" s="22" t="s">
        <v>171</v>
      </c>
      <c r="C265" s="38">
        <f t="shared" ref="C265:C276" si="828">SUM(D265:BF265)</f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0">
        <v>0</v>
      </c>
      <c r="AM265" s="10">
        <v>0</v>
      </c>
      <c r="AN265" s="10">
        <v>0</v>
      </c>
      <c r="AO265" s="10">
        <v>0</v>
      </c>
      <c r="AP265" s="10">
        <v>0</v>
      </c>
      <c r="AQ265" s="10">
        <v>0</v>
      </c>
      <c r="AR265" s="10">
        <v>0</v>
      </c>
      <c r="AS265" s="10">
        <v>0</v>
      </c>
      <c r="AT265" s="10">
        <v>0</v>
      </c>
      <c r="AU265" s="10">
        <v>0</v>
      </c>
      <c r="AV265" s="10">
        <v>0</v>
      </c>
      <c r="AW265" s="10">
        <v>0</v>
      </c>
      <c r="AX265" s="10">
        <v>0</v>
      </c>
      <c r="AY265" s="10">
        <v>0</v>
      </c>
      <c r="AZ265" s="10">
        <v>0</v>
      </c>
      <c r="BA265" s="10">
        <v>0</v>
      </c>
      <c r="BB265" s="10">
        <v>0</v>
      </c>
      <c r="BC265" s="10">
        <v>0</v>
      </c>
      <c r="BD265" s="10">
        <v>0</v>
      </c>
      <c r="BE265" s="10">
        <v>0</v>
      </c>
      <c r="BF265" s="10">
        <v>0</v>
      </c>
    </row>
    <row r="266" spans="1:58" ht="14.15" customHeight="1">
      <c r="A266" s="404">
        <f t="shared" si="709"/>
        <v>260</v>
      </c>
      <c r="B266" s="22" t="s">
        <v>172</v>
      </c>
      <c r="C266" s="38">
        <f t="shared" si="828"/>
        <v>643148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643148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0">
        <v>0</v>
      </c>
      <c r="AM266" s="10">
        <v>0</v>
      </c>
      <c r="AN266" s="10">
        <v>0</v>
      </c>
      <c r="AO266" s="10">
        <v>0</v>
      </c>
      <c r="AP266" s="10">
        <v>0</v>
      </c>
      <c r="AQ266" s="10">
        <v>0</v>
      </c>
      <c r="AR266" s="10">
        <v>0</v>
      </c>
      <c r="AS266" s="10">
        <v>0</v>
      </c>
      <c r="AT266" s="10">
        <v>0</v>
      </c>
      <c r="AU266" s="10">
        <v>0</v>
      </c>
      <c r="AV266" s="10">
        <v>0</v>
      </c>
      <c r="AW266" s="10">
        <v>0</v>
      </c>
      <c r="AX266" s="10">
        <v>0</v>
      </c>
      <c r="AY266" s="10">
        <v>0</v>
      </c>
      <c r="AZ266" s="10">
        <v>0</v>
      </c>
      <c r="BA266" s="10">
        <v>0</v>
      </c>
      <c r="BB266" s="10">
        <v>0</v>
      </c>
      <c r="BC266" s="10">
        <v>0</v>
      </c>
      <c r="BD266" s="10">
        <v>0</v>
      </c>
      <c r="BE266" s="10">
        <v>0</v>
      </c>
      <c r="BF266" s="10">
        <v>0</v>
      </c>
    </row>
    <row r="267" spans="1:58" ht="14.15" customHeight="1">
      <c r="A267" s="404">
        <f t="shared" si="709"/>
        <v>261</v>
      </c>
      <c r="B267" s="13" t="s">
        <v>173</v>
      </c>
      <c r="C267" s="38">
        <f t="shared" si="828"/>
        <v>0</v>
      </c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</row>
    <row r="268" spans="1:58" s="21" customFormat="1" ht="14.15" customHeight="1">
      <c r="A268" s="404">
        <f t="shared" si="709"/>
        <v>262</v>
      </c>
      <c r="B268" s="22" t="s">
        <v>174</v>
      </c>
      <c r="C268" s="38">
        <f t="shared" si="828"/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0">
        <v>0</v>
      </c>
      <c r="AM268" s="10">
        <v>0</v>
      </c>
      <c r="AN268" s="10">
        <v>0</v>
      </c>
      <c r="AO268" s="10">
        <v>0</v>
      </c>
      <c r="AP268" s="10">
        <v>0</v>
      </c>
      <c r="AQ268" s="10">
        <v>0</v>
      </c>
      <c r="AR268" s="10">
        <v>0</v>
      </c>
      <c r="AS268" s="10">
        <v>0</v>
      </c>
      <c r="AT268" s="10">
        <v>0</v>
      </c>
      <c r="AU268" s="10">
        <v>0</v>
      </c>
      <c r="AV268" s="10">
        <v>0</v>
      </c>
      <c r="AW268" s="10">
        <v>0</v>
      </c>
      <c r="AX268" s="10">
        <v>0</v>
      </c>
      <c r="AY268" s="10">
        <v>0</v>
      </c>
      <c r="AZ268" s="10">
        <v>0</v>
      </c>
      <c r="BA268" s="10">
        <v>0</v>
      </c>
      <c r="BB268" s="10">
        <v>0</v>
      </c>
      <c r="BC268" s="10">
        <v>0</v>
      </c>
      <c r="BD268" s="10">
        <v>0</v>
      </c>
      <c r="BE268" s="10">
        <v>0</v>
      </c>
      <c r="BF268" s="10">
        <v>0</v>
      </c>
    </row>
    <row r="269" spans="1:58" ht="14.15" customHeight="1">
      <c r="A269" s="404">
        <f t="shared" si="709"/>
        <v>263</v>
      </c>
      <c r="B269" s="22" t="s">
        <v>175</v>
      </c>
      <c r="C269" s="38">
        <f t="shared" si="828"/>
        <v>7520.2619999999879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7520.2619999999879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0">
        <v>0</v>
      </c>
      <c r="AM269" s="10">
        <v>0</v>
      </c>
      <c r="AN269" s="10">
        <v>0</v>
      </c>
      <c r="AO269" s="10">
        <v>0</v>
      </c>
      <c r="AP269" s="10">
        <v>0</v>
      </c>
      <c r="AQ269" s="10">
        <v>0</v>
      </c>
      <c r="AR269" s="10">
        <v>0</v>
      </c>
      <c r="AS269" s="10">
        <v>0</v>
      </c>
      <c r="AT269" s="10">
        <v>0</v>
      </c>
      <c r="AU269" s="10">
        <v>0</v>
      </c>
      <c r="AV269" s="10">
        <v>0</v>
      </c>
      <c r="AW269" s="10">
        <v>0</v>
      </c>
      <c r="AX269" s="10">
        <v>0</v>
      </c>
      <c r="AY269" s="10">
        <v>0</v>
      </c>
      <c r="AZ269" s="10">
        <v>0</v>
      </c>
      <c r="BA269" s="10">
        <v>0</v>
      </c>
      <c r="BB269" s="10">
        <v>0</v>
      </c>
      <c r="BC269" s="10">
        <v>0</v>
      </c>
      <c r="BD269" s="10">
        <v>0</v>
      </c>
      <c r="BE269" s="10">
        <v>0</v>
      </c>
      <c r="BF269" s="10">
        <v>0</v>
      </c>
    </row>
    <row r="270" spans="1:58" ht="14.15" customHeight="1">
      <c r="A270" s="404">
        <f t="shared" si="709"/>
        <v>264</v>
      </c>
      <c r="B270" s="22" t="s">
        <v>176</v>
      </c>
      <c r="C270" s="38">
        <f t="shared" si="828"/>
        <v>1021.7480000000214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1021.7480000000214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0">
        <v>0</v>
      </c>
      <c r="AM270" s="10">
        <v>0</v>
      </c>
      <c r="AN270" s="10">
        <v>0</v>
      </c>
      <c r="AO270" s="10">
        <v>0</v>
      </c>
      <c r="AP270" s="10">
        <v>0</v>
      </c>
      <c r="AQ270" s="10">
        <v>0</v>
      </c>
      <c r="AR270" s="10">
        <v>0</v>
      </c>
      <c r="AS270" s="10">
        <v>0</v>
      </c>
      <c r="AT270" s="10">
        <v>0</v>
      </c>
      <c r="AU270" s="10">
        <v>0</v>
      </c>
      <c r="AV270" s="10">
        <v>0</v>
      </c>
      <c r="AW270" s="10">
        <v>0</v>
      </c>
      <c r="AX270" s="10">
        <v>0</v>
      </c>
      <c r="AY270" s="10">
        <v>0</v>
      </c>
      <c r="AZ270" s="10">
        <v>0</v>
      </c>
      <c r="BA270" s="10">
        <v>0</v>
      </c>
      <c r="BB270" s="10">
        <v>0</v>
      </c>
      <c r="BC270" s="10">
        <v>0</v>
      </c>
      <c r="BD270" s="10">
        <v>0</v>
      </c>
      <c r="BE270" s="10">
        <v>0</v>
      </c>
      <c r="BF270" s="10">
        <v>0</v>
      </c>
    </row>
    <row r="271" spans="1:58" ht="14.15" customHeight="1">
      <c r="A271" s="404">
        <f t="shared" si="709"/>
        <v>265</v>
      </c>
      <c r="B271" s="22" t="s">
        <v>177</v>
      </c>
      <c r="C271" s="38">
        <f t="shared" si="828"/>
        <v>37348.270000000019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37348.270000000019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0">
        <v>0</v>
      </c>
      <c r="AM271" s="10">
        <v>0</v>
      </c>
      <c r="AN271" s="10">
        <v>0</v>
      </c>
      <c r="AO271" s="10">
        <v>0</v>
      </c>
      <c r="AP271" s="10">
        <v>0</v>
      </c>
      <c r="AQ271" s="10">
        <v>0</v>
      </c>
      <c r="AR271" s="10">
        <v>0</v>
      </c>
      <c r="AS271" s="10">
        <v>0</v>
      </c>
      <c r="AT271" s="10">
        <v>0</v>
      </c>
      <c r="AU271" s="10">
        <v>0</v>
      </c>
      <c r="AV271" s="10">
        <v>0</v>
      </c>
      <c r="AW271" s="10">
        <v>0</v>
      </c>
      <c r="AX271" s="10">
        <v>0</v>
      </c>
      <c r="AY271" s="10">
        <v>0</v>
      </c>
      <c r="AZ271" s="10">
        <v>0</v>
      </c>
      <c r="BA271" s="10">
        <v>0</v>
      </c>
      <c r="BB271" s="10">
        <v>0</v>
      </c>
      <c r="BC271" s="10">
        <v>0</v>
      </c>
      <c r="BD271" s="10">
        <v>0</v>
      </c>
      <c r="BE271" s="10">
        <v>0</v>
      </c>
      <c r="BF271" s="10">
        <v>0</v>
      </c>
    </row>
    <row r="272" spans="1:58" ht="14.15" customHeight="1">
      <c r="A272" s="404">
        <f t="shared" ref="A272:A340" si="829">+A271+1</f>
        <v>266</v>
      </c>
      <c r="B272" s="22" t="s">
        <v>178</v>
      </c>
      <c r="C272" s="38">
        <f t="shared" si="828"/>
        <v>291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291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0">
        <v>0</v>
      </c>
      <c r="AM272" s="10">
        <v>0</v>
      </c>
      <c r="AN272" s="10">
        <v>0</v>
      </c>
      <c r="AO272" s="10">
        <v>0</v>
      </c>
      <c r="AP272" s="10">
        <v>0</v>
      </c>
      <c r="AQ272" s="10">
        <v>0</v>
      </c>
      <c r="AR272" s="10">
        <v>0</v>
      </c>
      <c r="AS272" s="10">
        <v>0</v>
      </c>
      <c r="AT272" s="10">
        <v>0</v>
      </c>
      <c r="AU272" s="10">
        <v>0</v>
      </c>
      <c r="AV272" s="10">
        <v>0</v>
      </c>
      <c r="AW272" s="10">
        <v>0</v>
      </c>
      <c r="AX272" s="10">
        <v>0</v>
      </c>
      <c r="AY272" s="10">
        <v>0</v>
      </c>
      <c r="AZ272" s="10">
        <v>0</v>
      </c>
      <c r="BA272" s="10">
        <v>0</v>
      </c>
      <c r="BB272" s="10">
        <v>0</v>
      </c>
      <c r="BC272" s="10">
        <v>0</v>
      </c>
      <c r="BD272" s="10">
        <v>0</v>
      </c>
      <c r="BE272" s="10">
        <v>0</v>
      </c>
      <c r="BF272" s="10">
        <v>0</v>
      </c>
    </row>
    <row r="273" spans="1:58" ht="14.15" customHeight="1">
      <c r="A273" s="404">
        <f t="shared" si="829"/>
        <v>267</v>
      </c>
      <c r="B273" s="22" t="s">
        <v>179</v>
      </c>
      <c r="C273" s="38">
        <f t="shared" si="828"/>
        <v>3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3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0">
        <v>0</v>
      </c>
      <c r="AM273" s="10">
        <v>0</v>
      </c>
      <c r="AN273" s="10">
        <v>0</v>
      </c>
      <c r="AO273" s="10">
        <v>0</v>
      </c>
      <c r="AP273" s="10">
        <v>0</v>
      </c>
      <c r="AQ273" s="10">
        <v>0</v>
      </c>
      <c r="AR273" s="10">
        <v>0</v>
      </c>
      <c r="AS273" s="10">
        <v>0</v>
      </c>
      <c r="AT273" s="10">
        <v>0</v>
      </c>
      <c r="AU273" s="10">
        <v>0</v>
      </c>
      <c r="AV273" s="10">
        <v>0</v>
      </c>
      <c r="AW273" s="10">
        <v>0</v>
      </c>
      <c r="AX273" s="10">
        <v>0</v>
      </c>
      <c r="AY273" s="10">
        <v>0</v>
      </c>
      <c r="AZ273" s="10">
        <v>0</v>
      </c>
      <c r="BA273" s="10">
        <v>0</v>
      </c>
      <c r="BB273" s="10">
        <v>0</v>
      </c>
      <c r="BC273" s="10">
        <v>0</v>
      </c>
      <c r="BD273" s="10">
        <v>0</v>
      </c>
      <c r="BE273" s="10">
        <v>0</v>
      </c>
      <c r="BF273" s="10">
        <v>0</v>
      </c>
    </row>
    <row r="274" spans="1:58" ht="14.15" customHeight="1">
      <c r="A274" s="404">
        <f t="shared" si="829"/>
        <v>268</v>
      </c>
      <c r="B274" s="22" t="s">
        <v>1154</v>
      </c>
      <c r="C274" s="38">
        <f t="shared" si="828"/>
        <v>-266246.58999999962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-271393.99</v>
      </c>
      <c r="U274" s="10">
        <v>5147.4000000003725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0">
        <v>0</v>
      </c>
      <c r="AM274" s="10">
        <v>0</v>
      </c>
      <c r="AN274" s="10">
        <v>0</v>
      </c>
      <c r="AO274" s="10">
        <v>0</v>
      </c>
      <c r="AP274" s="10">
        <v>0</v>
      </c>
      <c r="AQ274" s="10">
        <v>0</v>
      </c>
      <c r="AR274" s="10">
        <v>0</v>
      </c>
      <c r="AS274" s="10">
        <v>0</v>
      </c>
      <c r="AT274" s="10">
        <v>0</v>
      </c>
      <c r="AU274" s="10">
        <v>0</v>
      </c>
      <c r="AV274" s="10">
        <v>0</v>
      </c>
      <c r="AW274" s="10">
        <v>0</v>
      </c>
      <c r="AX274" s="10">
        <v>0</v>
      </c>
      <c r="AY274" s="10">
        <v>0</v>
      </c>
      <c r="AZ274" s="10">
        <v>0</v>
      </c>
      <c r="BA274" s="10">
        <v>0</v>
      </c>
      <c r="BB274" s="10">
        <v>0</v>
      </c>
      <c r="BC274" s="10">
        <v>0</v>
      </c>
      <c r="BD274" s="10">
        <v>0</v>
      </c>
      <c r="BE274" s="10">
        <v>0</v>
      </c>
      <c r="BF274" s="10">
        <v>0</v>
      </c>
    </row>
    <row r="275" spans="1:58" ht="14.15" customHeight="1">
      <c r="A275" s="404">
        <f t="shared" si="829"/>
        <v>269</v>
      </c>
      <c r="B275" s="22" t="s">
        <v>180</v>
      </c>
      <c r="C275" s="38">
        <f t="shared" si="828"/>
        <v>18</v>
      </c>
      <c r="D275" s="43">
        <v>0</v>
      </c>
      <c r="E275" s="43">
        <v>0</v>
      </c>
      <c r="F275" s="43">
        <v>0</v>
      </c>
      <c r="G275" s="43">
        <v>0</v>
      </c>
      <c r="H275" s="43">
        <v>0</v>
      </c>
      <c r="I275" s="43">
        <v>0</v>
      </c>
      <c r="J275" s="43">
        <v>0</v>
      </c>
      <c r="K275" s="43">
        <v>0</v>
      </c>
      <c r="L275" s="43">
        <v>0</v>
      </c>
      <c r="M275" s="43">
        <v>0</v>
      </c>
      <c r="N275" s="43">
        <v>0</v>
      </c>
      <c r="O275" s="43">
        <v>0</v>
      </c>
      <c r="P275" s="43">
        <v>0</v>
      </c>
      <c r="Q275" s="43">
        <v>0</v>
      </c>
      <c r="R275" s="43">
        <v>0</v>
      </c>
      <c r="S275" s="43">
        <v>0</v>
      </c>
      <c r="T275" s="43">
        <v>0</v>
      </c>
      <c r="U275" s="43">
        <v>18</v>
      </c>
      <c r="V275" s="43">
        <v>0</v>
      </c>
      <c r="W275" s="43">
        <v>0</v>
      </c>
      <c r="X275" s="43">
        <v>0</v>
      </c>
      <c r="Y275" s="43">
        <v>0</v>
      </c>
      <c r="Z275" s="43">
        <v>0</v>
      </c>
      <c r="AA275" s="43">
        <v>0</v>
      </c>
      <c r="AB275" s="43">
        <v>0</v>
      </c>
      <c r="AC275" s="43">
        <v>0</v>
      </c>
      <c r="AD275" s="43">
        <v>0</v>
      </c>
      <c r="AE275" s="43">
        <v>0</v>
      </c>
      <c r="AF275" s="43">
        <v>0</v>
      </c>
      <c r="AG275" s="43">
        <v>0</v>
      </c>
      <c r="AH275" s="43">
        <v>0</v>
      </c>
      <c r="AI275" s="43">
        <v>0</v>
      </c>
      <c r="AJ275" s="43">
        <v>0</v>
      </c>
      <c r="AK275" s="43">
        <v>0</v>
      </c>
      <c r="AL275" s="43">
        <v>0</v>
      </c>
      <c r="AM275" s="43">
        <v>0</v>
      </c>
      <c r="AN275" s="43">
        <v>0</v>
      </c>
      <c r="AO275" s="43">
        <v>0</v>
      </c>
      <c r="AP275" s="43">
        <v>0</v>
      </c>
      <c r="AQ275" s="43">
        <v>0</v>
      </c>
      <c r="AR275" s="43">
        <v>0</v>
      </c>
      <c r="AS275" s="43">
        <v>0</v>
      </c>
      <c r="AT275" s="43">
        <v>0</v>
      </c>
      <c r="AU275" s="43">
        <v>0</v>
      </c>
      <c r="AV275" s="43">
        <v>0</v>
      </c>
      <c r="AW275" s="43">
        <v>0</v>
      </c>
      <c r="AX275" s="43">
        <v>0</v>
      </c>
      <c r="AY275" s="43">
        <v>0</v>
      </c>
      <c r="AZ275" s="43">
        <v>0</v>
      </c>
      <c r="BA275" s="43">
        <v>0</v>
      </c>
      <c r="BB275" s="43">
        <v>0</v>
      </c>
      <c r="BC275" s="43">
        <v>0</v>
      </c>
      <c r="BD275" s="43">
        <v>0</v>
      </c>
      <c r="BE275" s="43">
        <v>0</v>
      </c>
      <c r="BF275" s="43">
        <v>0</v>
      </c>
    </row>
    <row r="276" spans="1:58" ht="14.15" customHeight="1">
      <c r="A276" s="404">
        <f t="shared" si="829"/>
        <v>270</v>
      </c>
      <c r="B276" s="56" t="s">
        <v>181</v>
      </c>
      <c r="C276" s="38">
        <f t="shared" si="828"/>
        <v>0</v>
      </c>
      <c r="D276" s="43">
        <v>0</v>
      </c>
      <c r="E276" s="43">
        <v>0</v>
      </c>
      <c r="F276" s="43">
        <v>0</v>
      </c>
      <c r="G276" s="43">
        <v>0</v>
      </c>
      <c r="H276" s="43">
        <v>0</v>
      </c>
      <c r="I276" s="43">
        <v>0</v>
      </c>
      <c r="J276" s="43">
        <v>0</v>
      </c>
      <c r="K276" s="43">
        <v>0</v>
      </c>
      <c r="L276" s="43">
        <v>0</v>
      </c>
      <c r="M276" s="43">
        <v>0</v>
      </c>
      <c r="N276" s="43">
        <v>0</v>
      </c>
      <c r="O276" s="43">
        <v>0</v>
      </c>
      <c r="P276" s="43">
        <v>0</v>
      </c>
      <c r="Q276" s="43">
        <v>0</v>
      </c>
      <c r="R276" s="43">
        <v>0</v>
      </c>
      <c r="S276" s="43">
        <v>0</v>
      </c>
      <c r="T276" s="43">
        <v>0</v>
      </c>
      <c r="U276" s="43">
        <v>0</v>
      </c>
      <c r="V276" s="43">
        <v>0</v>
      </c>
      <c r="W276" s="43">
        <v>0</v>
      </c>
      <c r="X276" s="43">
        <v>0</v>
      </c>
      <c r="Y276" s="43">
        <v>0</v>
      </c>
      <c r="Z276" s="43">
        <v>0</v>
      </c>
      <c r="AA276" s="43">
        <v>0</v>
      </c>
      <c r="AB276" s="43">
        <v>0</v>
      </c>
      <c r="AC276" s="43">
        <v>0</v>
      </c>
      <c r="AD276" s="43">
        <v>0</v>
      </c>
      <c r="AE276" s="43">
        <v>0</v>
      </c>
      <c r="AF276" s="43">
        <v>0</v>
      </c>
      <c r="AG276" s="43">
        <v>0</v>
      </c>
      <c r="AH276" s="43">
        <v>0</v>
      </c>
      <c r="AI276" s="43">
        <v>0</v>
      </c>
      <c r="AJ276" s="43">
        <v>0</v>
      </c>
      <c r="AK276" s="43">
        <v>0</v>
      </c>
      <c r="AL276" s="43">
        <v>0</v>
      </c>
      <c r="AM276" s="43">
        <v>0</v>
      </c>
      <c r="AN276" s="43">
        <v>0</v>
      </c>
      <c r="AO276" s="43">
        <v>0</v>
      </c>
      <c r="AP276" s="43">
        <v>0</v>
      </c>
      <c r="AQ276" s="43">
        <v>0</v>
      </c>
      <c r="AR276" s="43">
        <v>0</v>
      </c>
      <c r="AS276" s="43">
        <v>0</v>
      </c>
      <c r="AT276" s="43">
        <v>0</v>
      </c>
      <c r="AU276" s="43">
        <v>0</v>
      </c>
      <c r="AV276" s="43">
        <v>0</v>
      </c>
      <c r="AW276" s="43">
        <v>0</v>
      </c>
      <c r="AX276" s="43">
        <v>0</v>
      </c>
      <c r="AY276" s="43">
        <v>0</v>
      </c>
      <c r="AZ276" s="43">
        <v>0</v>
      </c>
      <c r="BA276" s="43">
        <v>0</v>
      </c>
      <c r="BB276" s="43">
        <v>0</v>
      </c>
      <c r="BC276" s="43">
        <v>0</v>
      </c>
      <c r="BD276" s="43">
        <v>0</v>
      </c>
      <c r="BE276" s="43">
        <v>0</v>
      </c>
      <c r="BF276" s="43">
        <v>0</v>
      </c>
    </row>
    <row r="277" spans="1:58" s="21" customFormat="1" ht="14.15" customHeight="1">
      <c r="A277" s="404">
        <f t="shared" si="829"/>
        <v>271</v>
      </c>
      <c r="B277" s="20" t="s">
        <v>479</v>
      </c>
      <c r="C277" s="80">
        <f t="shared" ref="C277:V277" si="830">SUM(C268:C276)</f>
        <v>-220044.30999999959</v>
      </c>
      <c r="D277" s="80">
        <f t="shared" ref="D277:I277" si="831">SUM(D268:D276)</f>
        <v>0</v>
      </c>
      <c r="E277" s="80">
        <f t="shared" si="831"/>
        <v>0</v>
      </c>
      <c r="F277" s="80">
        <f t="shared" si="831"/>
        <v>0</v>
      </c>
      <c r="G277" s="80">
        <f t="shared" si="831"/>
        <v>0</v>
      </c>
      <c r="H277" s="80">
        <f t="shared" si="831"/>
        <v>0</v>
      </c>
      <c r="I277" s="80">
        <f t="shared" si="831"/>
        <v>0</v>
      </c>
      <c r="J277" s="80">
        <f t="shared" si="830"/>
        <v>0</v>
      </c>
      <c r="K277" s="80">
        <f t="shared" ref="K277:U277" si="832">SUM(K268:K276)</f>
        <v>0</v>
      </c>
      <c r="L277" s="80">
        <f t="shared" si="832"/>
        <v>0</v>
      </c>
      <c r="M277" s="80">
        <f t="shared" si="832"/>
        <v>0</v>
      </c>
      <c r="N277" s="80">
        <f t="shared" si="832"/>
        <v>0</v>
      </c>
      <c r="O277" s="80">
        <f t="shared" si="832"/>
        <v>0</v>
      </c>
      <c r="P277" s="80">
        <f t="shared" si="832"/>
        <v>0</v>
      </c>
      <c r="Q277" s="80">
        <f t="shared" si="832"/>
        <v>0</v>
      </c>
      <c r="R277" s="80">
        <f t="shared" si="832"/>
        <v>0</v>
      </c>
      <c r="S277" s="80">
        <f t="shared" si="832"/>
        <v>0</v>
      </c>
      <c r="T277" s="80">
        <f t="shared" si="832"/>
        <v>-271393.99</v>
      </c>
      <c r="U277" s="80">
        <f t="shared" si="832"/>
        <v>51349.6800000004</v>
      </c>
      <c r="V277" s="80">
        <f t="shared" si="830"/>
        <v>0</v>
      </c>
      <c r="W277" s="80">
        <f>SUM(W268:W276)</f>
        <v>0</v>
      </c>
      <c r="X277" s="80">
        <f t="shared" ref="X277:AD277" si="833">SUM(X268:X276)</f>
        <v>0</v>
      </c>
      <c r="Y277" s="80">
        <f>SUM(Y268:Y276)</f>
        <v>0</v>
      </c>
      <c r="Z277" s="80">
        <f t="shared" si="833"/>
        <v>0</v>
      </c>
      <c r="AA277" s="80">
        <f t="shared" si="833"/>
        <v>0</v>
      </c>
      <c r="AB277" s="80">
        <f t="shared" si="833"/>
        <v>0</v>
      </c>
      <c r="AC277" s="80">
        <f t="shared" si="833"/>
        <v>0</v>
      </c>
      <c r="AD277" s="80">
        <f t="shared" si="833"/>
        <v>0</v>
      </c>
      <c r="AE277" s="80">
        <f>SUM(AE268:AE276)</f>
        <v>0</v>
      </c>
      <c r="AF277" s="80">
        <f>SUM(AF268:AF276)</f>
        <v>0</v>
      </c>
      <c r="AG277" s="80">
        <f>SUM(AG268:AG276)</f>
        <v>0</v>
      </c>
      <c r="AH277" s="80">
        <f t="shared" ref="AH277" si="834">SUM(AH268:AH276)</f>
        <v>0</v>
      </c>
      <c r="AI277" s="80">
        <f t="shared" ref="AI277:AL277" si="835">SUM(AI268:AI276)</f>
        <v>0</v>
      </c>
      <c r="AJ277" s="80">
        <f t="shared" si="835"/>
        <v>0</v>
      </c>
      <c r="AK277" s="80">
        <f t="shared" si="835"/>
        <v>0</v>
      </c>
      <c r="AL277" s="80">
        <f t="shared" si="835"/>
        <v>0</v>
      </c>
      <c r="AM277" s="80">
        <f>SUM(AM268:AM276)</f>
        <v>0</v>
      </c>
      <c r="AN277" s="80">
        <f>SUM(AN268:AN276)</f>
        <v>0</v>
      </c>
      <c r="AO277" s="80">
        <f>SUM(AO268:AO276)</f>
        <v>0</v>
      </c>
      <c r="AP277" s="80">
        <f>SUM(AP268:AP276)</f>
        <v>0</v>
      </c>
      <c r="AQ277" s="80">
        <f>SUM(AQ268:AQ276)</f>
        <v>0</v>
      </c>
      <c r="AR277" s="80">
        <f t="shared" ref="AR277" si="836">SUM(AR268:AR276)</f>
        <v>0</v>
      </c>
      <c r="AS277" s="80">
        <f>SUM(AS268:AS276)</f>
        <v>0</v>
      </c>
      <c r="AT277" s="80">
        <f t="shared" ref="AT277" si="837">SUM(AT268:AT276)</f>
        <v>0</v>
      </c>
      <c r="AU277" s="80">
        <f t="shared" ref="AU277" si="838">SUM(AU268:AU276)</f>
        <v>0</v>
      </c>
      <c r="AV277" s="80">
        <f t="shared" ref="AV277" si="839">SUM(AV268:AV276)</f>
        <v>0</v>
      </c>
      <c r="AW277" s="80">
        <f>SUM(AW268:AW276)</f>
        <v>0</v>
      </c>
      <c r="AX277" s="80">
        <f t="shared" ref="AX277" si="840">SUM(AX268:AX276)</f>
        <v>0</v>
      </c>
      <c r="AY277" s="80">
        <f t="shared" ref="AY277:BF277" si="841">SUM(AY268:AY276)</f>
        <v>0</v>
      </c>
      <c r="AZ277" s="80">
        <f t="shared" si="841"/>
        <v>0</v>
      </c>
      <c r="BA277" s="80">
        <f t="shared" si="841"/>
        <v>0</v>
      </c>
      <c r="BB277" s="80">
        <f t="shared" si="841"/>
        <v>0</v>
      </c>
      <c r="BC277" s="80">
        <f t="shared" si="841"/>
        <v>0</v>
      </c>
      <c r="BD277" s="80">
        <f t="shared" si="841"/>
        <v>0</v>
      </c>
      <c r="BE277" s="80">
        <f t="shared" si="841"/>
        <v>0</v>
      </c>
      <c r="BF277" s="80">
        <f t="shared" si="841"/>
        <v>0</v>
      </c>
    </row>
    <row r="278" spans="1:58" s="21" customFormat="1" ht="14.15" customHeight="1">
      <c r="A278" s="404">
        <f t="shared" si="829"/>
        <v>272</v>
      </c>
      <c r="B278" s="123"/>
      <c r="C278" s="123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</row>
    <row r="279" spans="1:58" s="21" customFormat="1" ht="14.15" customHeight="1">
      <c r="A279" s="404">
        <f t="shared" si="829"/>
        <v>273</v>
      </c>
      <c r="B279" s="13" t="s">
        <v>182</v>
      </c>
      <c r="C279" s="13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</row>
    <row r="280" spans="1:58" s="21" customFormat="1" ht="14.15" customHeight="1">
      <c r="A280" s="404">
        <f t="shared" si="829"/>
        <v>274</v>
      </c>
      <c r="B280" s="22" t="s">
        <v>183</v>
      </c>
      <c r="C280" s="38">
        <f t="shared" ref="C280:C288" si="842">SUM(D280:BF280)</f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0">
        <v>0</v>
      </c>
      <c r="AM280" s="10">
        <v>0</v>
      </c>
      <c r="AN280" s="10">
        <v>0</v>
      </c>
      <c r="AO280" s="10">
        <v>0</v>
      </c>
      <c r="AP280" s="10">
        <v>0</v>
      </c>
      <c r="AQ280" s="10">
        <v>0</v>
      </c>
      <c r="AR280" s="10">
        <v>0</v>
      </c>
      <c r="AS280" s="10">
        <v>0</v>
      </c>
      <c r="AT280" s="10">
        <v>0</v>
      </c>
      <c r="AU280" s="10">
        <v>0</v>
      </c>
      <c r="AV280" s="10">
        <v>0</v>
      </c>
      <c r="AW280" s="10">
        <v>0</v>
      </c>
      <c r="AX280" s="10">
        <v>0</v>
      </c>
      <c r="AY280" s="10">
        <v>0</v>
      </c>
      <c r="AZ280" s="10">
        <v>0</v>
      </c>
      <c r="BA280" s="10">
        <v>0</v>
      </c>
      <c r="BB280" s="10">
        <v>0</v>
      </c>
      <c r="BC280" s="10">
        <v>0</v>
      </c>
      <c r="BD280" s="10">
        <v>0</v>
      </c>
      <c r="BE280" s="10">
        <v>0</v>
      </c>
      <c r="BF280" s="10">
        <v>0</v>
      </c>
    </row>
    <row r="281" spans="1:58" ht="14.15" customHeight="1">
      <c r="A281" s="404">
        <f t="shared" si="829"/>
        <v>275</v>
      </c>
      <c r="B281" s="22" t="s">
        <v>765</v>
      </c>
      <c r="C281" s="38">
        <f t="shared" si="842"/>
        <v>-573589.96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-573589.96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0">
        <v>0</v>
      </c>
      <c r="AM281" s="10">
        <v>0</v>
      </c>
      <c r="AN281" s="10">
        <v>0</v>
      </c>
      <c r="AO281" s="10">
        <v>0</v>
      </c>
      <c r="AP281" s="10">
        <v>0</v>
      </c>
      <c r="AQ281" s="10">
        <v>0</v>
      </c>
      <c r="AR281" s="10">
        <v>0</v>
      </c>
      <c r="AS281" s="10">
        <v>0</v>
      </c>
      <c r="AT281" s="10">
        <v>0</v>
      </c>
      <c r="AU281" s="10">
        <v>0</v>
      </c>
      <c r="AV281" s="10">
        <v>0</v>
      </c>
      <c r="AW281" s="10">
        <v>0</v>
      </c>
      <c r="AX281" s="10">
        <v>0</v>
      </c>
      <c r="AY281" s="10">
        <v>0</v>
      </c>
      <c r="AZ281" s="10">
        <v>0</v>
      </c>
      <c r="BA281" s="10">
        <v>0</v>
      </c>
      <c r="BB281" s="10">
        <v>0</v>
      </c>
      <c r="BC281" s="10">
        <v>0</v>
      </c>
      <c r="BD281" s="10">
        <v>0</v>
      </c>
      <c r="BE281" s="10">
        <v>0</v>
      </c>
      <c r="BF281" s="10">
        <v>0</v>
      </c>
    </row>
    <row r="282" spans="1:58" ht="14.15" customHeight="1">
      <c r="A282" s="404">
        <f t="shared" si="829"/>
        <v>276</v>
      </c>
      <c r="B282" s="22" t="s">
        <v>762</v>
      </c>
      <c r="C282" s="38">
        <f t="shared" si="842"/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0">
        <v>0</v>
      </c>
      <c r="AM282" s="10">
        <v>0</v>
      </c>
      <c r="AN282" s="10">
        <v>0</v>
      </c>
      <c r="AO282" s="10">
        <v>0</v>
      </c>
      <c r="AP282" s="10">
        <v>0</v>
      </c>
      <c r="AQ282" s="10">
        <v>0</v>
      </c>
      <c r="AR282" s="10">
        <v>0</v>
      </c>
      <c r="AS282" s="10">
        <v>0</v>
      </c>
      <c r="AT282" s="10">
        <v>0</v>
      </c>
      <c r="AU282" s="10">
        <v>0</v>
      </c>
      <c r="AV282" s="10">
        <v>0</v>
      </c>
      <c r="AW282" s="10">
        <v>0</v>
      </c>
      <c r="AX282" s="10">
        <v>0</v>
      </c>
      <c r="AY282" s="10">
        <v>0</v>
      </c>
      <c r="AZ282" s="10">
        <v>0</v>
      </c>
      <c r="BA282" s="10">
        <v>0</v>
      </c>
      <c r="BB282" s="10">
        <v>0</v>
      </c>
      <c r="BC282" s="10">
        <v>0</v>
      </c>
      <c r="BD282" s="10">
        <v>0</v>
      </c>
      <c r="BE282" s="10">
        <v>0</v>
      </c>
      <c r="BF282" s="10">
        <v>0</v>
      </c>
    </row>
    <row r="283" spans="1:58" ht="14.15" customHeight="1">
      <c r="A283" s="404">
        <f t="shared" si="829"/>
        <v>277</v>
      </c>
      <c r="B283" s="22" t="s">
        <v>759</v>
      </c>
      <c r="C283" s="38">
        <f t="shared" si="842"/>
        <v>-4256853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f>163052-4409387-10518</f>
        <v>-4256853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0">
        <v>0</v>
      </c>
      <c r="AM283" s="10">
        <v>0</v>
      </c>
      <c r="AN283" s="10">
        <v>0</v>
      </c>
      <c r="AO283" s="10">
        <v>0</v>
      </c>
      <c r="AP283" s="10">
        <v>0</v>
      </c>
      <c r="AQ283" s="10">
        <v>0</v>
      </c>
      <c r="AR283" s="10">
        <v>0</v>
      </c>
      <c r="AS283" s="10">
        <v>0</v>
      </c>
      <c r="AT283" s="10">
        <v>0</v>
      </c>
      <c r="AU283" s="10">
        <v>0</v>
      </c>
      <c r="AV283" s="10">
        <v>0</v>
      </c>
      <c r="AW283" s="10">
        <v>0</v>
      </c>
      <c r="AX283" s="10">
        <v>0</v>
      </c>
      <c r="AY283" s="10">
        <v>0</v>
      </c>
      <c r="AZ283" s="10">
        <v>0</v>
      </c>
      <c r="BA283" s="10">
        <v>0</v>
      </c>
      <c r="BB283" s="10">
        <v>0</v>
      </c>
      <c r="BC283" s="10">
        <v>0</v>
      </c>
      <c r="BD283" s="10">
        <v>0</v>
      </c>
      <c r="BE283" s="10">
        <v>0</v>
      </c>
      <c r="BF283" s="10">
        <v>0</v>
      </c>
    </row>
    <row r="284" spans="1:58" ht="14.15" customHeight="1">
      <c r="A284" s="404">
        <f t="shared" si="829"/>
        <v>278</v>
      </c>
      <c r="B284" s="22" t="s">
        <v>760</v>
      </c>
      <c r="C284" s="38">
        <f t="shared" si="842"/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0">
        <v>0</v>
      </c>
      <c r="AM284" s="10">
        <v>0</v>
      </c>
      <c r="AN284" s="10">
        <v>0</v>
      </c>
      <c r="AO284" s="10">
        <v>0</v>
      </c>
      <c r="AP284" s="10">
        <v>0</v>
      </c>
      <c r="AQ284" s="10">
        <v>0</v>
      </c>
      <c r="AR284" s="10">
        <v>0</v>
      </c>
      <c r="AS284" s="10">
        <v>0</v>
      </c>
      <c r="AT284" s="10">
        <v>0</v>
      </c>
      <c r="AU284" s="10">
        <v>0</v>
      </c>
      <c r="AV284" s="10">
        <v>0</v>
      </c>
      <c r="AW284" s="10">
        <v>0</v>
      </c>
      <c r="AX284" s="10">
        <v>0</v>
      </c>
      <c r="AY284" s="10">
        <v>0</v>
      </c>
      <c r="AZ284" s="10">
        <v>0</v>
      </c>
      <c r="BA284" s="10">
        <v>0</v>
      </c>
      <c r="BB284" s="10">
        <v>0</v>
      </c>
      <c r="BC284" s="10">
        <v>0</v>
      </c>
      <c r="BD284" s="10">
        <v>0</v>
      </c>
      <c r="BE284" s="10">
        <v>0</v>
      </c>
      <c r="BF284" s="10">
        <v>0</v>
      </c>
    </row>
    <row r="285" spans="1:58" ht="14.15" customHeight="1">
      <c r="A285" s="404">
        <f t="shared" si="829"/>
        <v>279</v>
      </c>
      <c r="B285" s="22" t="s">
        <v>763</v>
      </c>
      <c r="C285" s="38">
        <f t="shared" si="842"/>
        <v>1465518.6399999708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1465518.6399999708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0">
        <v>0</v>
      </c>
      <c r="AM285" s="10">
        <v>0</v>
      </c>
      <c r="AN285" s="10">
        <v>0</v>
      </c>
      <c r="AO285" s="10">
        <v>0</v>
      </c>
      <c r="AP285" s="10">
        <v>0</v>
      </c>
      <c r="AQ285" s="10">
        <v>0</v>
      </c>
      <c r="AR285" s="10">
        <v>0</v>
      </c>
      <c r="AS285" s="10">
        <v>0</v>
      </c>
      <c r="AT285" s="10">
        <v>0</v>
      </c>
      <c r="AU285" s="10">
        <v>0</v>
      </c>
      <c r="AV285" s="10">
        <v>0</v>
      </c>
      <c r="AW285" s="10">
        <v>0</v>
      </c>
      <c r="AX285" s="10">
        <v>0</v>
      </c>
      <c r="AY285" s="10">
        <v>0</v>
      </c>
      <c r="AZ285" s="10">
        <v>0</v>
      </c>
      <c r="BA285" s="10">
        <v>0</v>
      </c>
      <c r="BB285" s="10">
        <v>0</v>
      </c>
      <c r="BC285" s="10">
        <v>0</v>
      </c>
      <c r="BD285" s="10">
        <v>0</v>
      </c>
      <c r="BE285" s="10">
        <v>0</v>
      </c>
      <c r="BF285" s="10">
        <v>0</v>
      </c>
    </row>
    <row r="286" spans="1:58" ht="14.15" customHeight="1">
      <c r="A286" s="404">
        <f t="shared" si="829"/>
        <v>280</v>
      </c>
      <c r="B286" s="22" t="s">
        <v>761</v>
      </c>
      <c r="C286" s="38">
        <f t="shared" si="842"/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0">
        <v>0</v>
      </c>
      <c r="AM286" s="10">
        <v>0</v>
      </c>
      <c r="AN286" s="10">
        <v>0</v>
      </c>
      <c r="AO286" s="10">
        <v>0</v>
      </c>
      <c r="AP286" s="10">
        <v>0</v>
      </c>
      <c r="AQ286" s="10">
        <v>0</v>
      </c>
      <c r="AR286" s="10">
        <v>0</v>
      </c>
      <c r="AS286" s="10">
        <v>0</v>
      </c>
      <c r="AT286" s="10">
        <v>0</v>
      </c>
      <c r="AU286" s="10">
        <v>0</v>
      </c>
      <c r="AV286" s="10">
        <v>0</v>
      </c>
      <c r="AW286" s="10">
        <v>0</v>
      </c>
      <c r="AX286" s="10">
        <v>0</v>
      </c>
      <c r="AY286" s="10">
        <v>0</v>
      </c>
      <c r="AZ286" s="10">
        <v>0</v>
      </c>
      <c r="BA286" s="10">
        <v>0</v>
      </c>
      <c r="BB286" s="10">
        <v>0</v>
      </c>
      <c r="BC286" s="10">
        <v>0</v>
      </c>
      <c r="BD286" s="10">
        <v>0</v>
      </c>
      <c r="BE286" s="10">
        <v>0</v>
      </c>
      <c r="BF286" s="10">
        <v>0</v>
      </c>
    </row>
    <row r="287" spans="1:58" ht="14.15" customHeight="1">
      <c r="A287" s="404">
        <f t="shared" si="829"/>
        <v>281</v>
      </c>
      <c r="B287" s="22" t="s">
        <v>1155</v>
      </c>
      <c r="C287" s="38">
        <f t="shared" si="842"/>
        <v>1670.8300000000017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1670.8300000000017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0">
        <v>0</v>
      </c>
      <c r="AM287" s="10">
        <v>0</v>
      </c>
      <c r="AN287" s="10">
        <v>0</v>
      </c>
      <c r="AO287" s="10">
        <v>0</v>
      </c>
      <c r="AP287" s="10">
        <v>0</v>
      </c>
      <c r="AQ287" s="10">
        <v>0</v>
      </c>
      <c r="AR287" s="10">
        <v>0</v>
      </c>
      <c r="AS287" s="10">
        <v>0</v>
      </c>
      <c r="AT287" s="10">
        <v>0</v>
      </c>
      <c r="AU287" s="10">
        <v>0</v>
      </c>
      <c r="AV287" s="10">
        <v>0</v>
      </c>
      <c r="AW287" s="10">
        <v>0</v>
      </c>
      <c r="AX287" s="10">
        <v>0</v>
      </c>
      <c r="AY287" s="10">
        <v>0</v>
      </c>
      <c r="AZ287" s="10">
        <v>0</v>
      </c>
      <c r="BA287" s="10">
        <v>0</v>
      </c>
      <c r="BB287" s="10">
        <v>0</v>
      </c>
      <c r="BC287" s="10">
        <v>0</v>
      </c>
      <c r="BD287" s="10">
        <v>0</v>
      </c>
      <c r="BE287" s="10">
        <v>0</v>
      </c>
      <c r="BF287" s="10">
        <v>0</v>
      </c>
    </row>
    <row r="288" spans="1:58" ht="14.15" customHeight="1">
      <c r="A288" s="404">
        <f t="shared" si="829"/>
        <v>282</v>
      </c>
      <c r="B288" s="56" t="s">
        <v>764</v>
      </c>
      <c r="C288" s="38">
        <f t="shared" si="842"/>
        <v>392.30999999999767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392.30999999999767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0">
        <v>0</v>
      </c>
      <c r="AM288" s="10">
        <v>0</v>
      </c>
      <c r="AN288" s="10">
        <v>0</v>
      </c>
      <c r="AO288" s="10">
        <v>0</v>
      </c>
      <c r="AP288" s="10">
        <v>0</v>
      </c>
      <c r="AQ288" s="10">
        <v>0</v>
      </c>
      <c r="AR288" s="10">
        <v>0</v>
      </c>
      <c r="AS288" s="10">
        <v>0</v>
      </c>
      <c r="AT288" s="10">
        <v>0</v>
      </c>
      <c r="AU288" s="10">
        <v>0</v>
      </c>
      <c r="AV288" s="10">
        <v>0</v>
      </c>
      <c r="AW288" s="10">
        <v>0</v>
      </c>
      <c r="AX288" s="10">
        <v>0</v>
      </c>
      <c r="AY288" s="10">
        <v>0</v>
      </c>
      <c r="AZ288" s="10">
        <v>0</v>
      </c>
      <c r="BA288" s="10">
        <v>0</v>
      </c>
      <c r="BB288" s="10">
        <v>0</v>
      </c>
      <c r="BC288" s="10">
        <v>0</v>
      </c>
      <c r="BD288" s="10">
        <v>0</v>
      </c>
      <c r="BE288" s="10">
        <v>0</v>
      </c>
      <c r="BF288" s="10">
        <v>0</v>
      </c>
    </row>
    <row r="289" spans="1:58" ht="14.15" customHeight="1">
      <c r="A289" s="404">
        <f t="shared" si="829"/>
        <v>283</v>
      </c>
      <c r="B289" s="20" t="s">
        <v>480</v>
      </c>
      <c r="C289" s="80">
        <f t="shared" ref="C289:V289" si="843">SUM(C280:C288)</f>
        <v>-3362861.180000029</v>
      </c>
      <c r="D289" s="80">
        <f t="shared" ref="D289:I289" si="844">SUM(D280:D288)</f>
        <v>0</v>
      </c>
      <c r="E289" s="80">
        <f t="shared" si="844"/>
        <v>0</v>
      </c>
      <c r="F289" s="80">
        <f t="shared" si="844"/>
        <v>0</v>
      </c>
      <c r="G289" s="80">
        <f t="shared" si="844"/>
        <v>0</v>
      </c>
      <c r="H289" s="80">
        <f t="shared" si="844"/>
        <v>0</v>
      </c>
      <c r="I289" s="80">
        <f t="shared" si="844"/>
        <v>0</v>
      </c>
      <c r="J289" s="80">
        <f t="shared" si="843"/>
        <v>0</v>
      </c>
      <c r="K289" s="80">
        <f t="shared" ref="K289:U289" si="845">SUM(K280:K288)</f>
        <v>0</v>
      </c>
      <c r="L289" s="80">
        <f t="shared" si="845"/>
        <v>0</v>
      </c>
      <c r="M289" s="80">
        <f t="shared" si="845"/>
        <v>0</v>
      </c>
      <c r="N289" s="80">
        <f t="shared" si="845"/>
        <v>-573589.96</v>
      </c>
      <c r="O289" s="80">
        <f t="shared" si="845"/>
        <v>0</v>
      </c>
      <c r="P289" s="80">
        <f t="shared" si="845"/>
        <v>0</v>
      </c>
      <c r="Q289" s="80">
        <f t="shared" si="845"/>
        <v>0</v>
      </c>
      <c r="R289" s="80">
        <f t="shared" si="845"/>
        <v>0</v>
      </c>
      <c r="S289" s="80">
        <f t="shared" si="845"/>
        <v>-4256853</v>
      </c>
      <c r="T289" s="80">
        <f t="shared" si="845"/>
        <v>0</v>
      </c>
      <c r="U289" s="80">
        <f t="shared" si="845"/>
        <v>1467581.7799999709</v>
      </c>
      <c r="V289" s="80">
        <f t="shared" si="843"/>
        <v>0</v>
      </c>
      <c r="W289" s="80">
        <f>SUM(W280:W288)</f>
        <v>0</v>
      </c>
      <c r="X289" s="80">
        <f t="shared" ref="X289:AD289" si="846">SUM(X280:X288)</f>
        <v>0</v>
      </c>
      <c r="Y289" s="80">
        <f>SUM(Y280:Y288)</f>
        <v>0</v>
      </c>
      <c r="Z289" s="80">
        <f t="shared" si="846"/>
        <v>0</v>
      </c>
      <c r="AA289" s="80">
        <f t="shared" si="846"/>
        <v>0</v>
      </c>
      <c r="AB289" s="80">
        <f t="shared" si="846"/>
        <v>0</v>
      </c>
      <c r="AC289" s="80">
        <f t="shared" si="846"/>
        <v>0</v>
      </c>
      <c r="AD289" s="80">
        <f t="shared" si="846"/>
        <v>0</v>
      </c>
      <c r="AE289" s="80">
        <f>SUM(AE280:AE288)</f>
        <v>0</v>
      </c>
      <c r="AF289" s="80">
        <f>SUM(AF280:AF288)</f>
        <v>0</v>
      </c>
      <c r="AG289" s="80">
        <f>SUM(AG280:AG288)</f>
        <v>0</v>
      </c>
      <c r="AH289" s="80">
        <f t="shared" ref="AH289" si="847">SUM(AH280:AH288)</f>
        <v>0</v>
      </c>
      <c r="AI289" s="80">
        <f t="shared" ref="AI289:AL289" si="848">SUM(AI280:AI288)</f>
        <v>0</v>
      </c>
      <c r="AJ289" s="80">
        <f t="shared" si="848"/>
        <v>0</v>
      </c>
      <c r="AK289" s="80">
        <f t="shared" si="848"/>
        <v>0</v>
      </c>
      <c r="AL289" s="80">
        <f t="shared" si="848"/>
        <v>0</v>
      </c>
      <c r="AM289" s="80">
        <f>SUM(AM280:AM288)</f>
        <v>0</v>
      </c>
      <c r="AN289" s="80">
        <f>SUM(AN280:AN288)</f>
        <v>0</v>
      </c>
      <c r="AO289" s="80">
        <f>SUM(AO280:AO288)</f>
        <v>0</v>
      </c>
      <c r="AP289" s="80">
        <f>SUM(AP280:AP288)</f>
        <v>0</v>
      </c>
      <c r="AQ289" s="80">
        <f>SUM(AQ280:AQ288)</f>
        <v>0</v>
      </c>
      <c r="AR289" s="80">
        <f t="shared" ref="AR289" si="849">SUM(AR280:AR288)</f>
        <v>0</v>
      </c>
      <c r="AS289" s="80">
        <f>SUM(AS280:AS288)</f>
        <v>0</v>
      </c>
      <c r="AT289" s="80">
        <f t="shared" ref="AT289" si="850">SUM(AT280:AT288)</f>
        <v>0</v>
      </c>
      <c r="AU289" s="80">
        <f t="shared" ref="AU289" si="851">SUM(AU280:AU288)</f>
        <v>0</v>
      </c>
      <c r="AV289" s="80">
        <f t="shared" ref="AV289" si="852">SUM(AV280:AV288)</f>
        <v>0</v>
      </c>
      <c r="AW289" s="80">
        <f>SUM(AW280:AW288)</f>
        <v>0</v>
      </c>
      <c r="AX289" s="80">
        <f t="shared" ref="AX289" si="853">SUM(AX280:AX288)</f>
        <v>0</v>
      </c>
      <c r="AY289" s="80">
        <f t="shared" ref="AY289:BF289" si="854">SUM(AY280:AY288)</f>
        <v>0</v>
      </c>
      <c r="AZ289" s="80">
        <f t="shared" si="854"/>
        <v>0</v>
      </c>
      <c r="BA289" s="80">
        <f t="shared" si="854"/>
        <v>0</v>
      </c>
      <c r="BB289" s="80">
        <f t="shared" si="854"/>
        <v>0</v>
      </c>
      <c r="BC289" s="80">
        <f t="shared" si="854"/>
        <v>0</v>
      </c>
      <c r="BD289" s="80">
        <f t="shared" si="854"/>
        <v>0</v>
      </c>
      <c r="BE289" s="80">
        <f t="shared" si="854"/>
        <v>0</v>
      </c>
      <c r="BF289" s="80">
        <f t="shared" si="854"/>
        <v>0</v>
      </c>
    </row>
    <row r="290" spans="1:58" ht="14.15" customHeight="1">
      <c r="A290" s="404">
        <f t="shared" si="829"/>
        <v>284</v>
      </c>
      <c r="B290" s="57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  <c r="AA290" s="145"/>
      <c r="AB290" s="145"/>
      <c r="AC290" s="145"/>
      <c r="AD290" s="145"/>
      <c r="AE290" s="145"/>
      <c r="AF290" s="145"/>
      <c r="AG290" s="145"/>
      <c r="AH290" s="145"/>
      <c r="AI290" s="145"/>
      <c r="AJ290" s="145"/>
      <c r="AK290" s="145"/>
      <c r="AL290" s="145"/>
      <c r="AM290" s="145"/>
      <c r="AN290" s="145"/>
      <c r="AO290" s="145"/>
      <c r="AP290" s="145"/>
      <c r="AQ290" s="145"/>
      <c r="AR290" s="145"/>
      <c r="AS290" s="145"/>
      <c r="AT290" s="145"/>
      <c r="AU290" s="145"/>
      <c r="AV290" s="145"/>
      <c r="AW290" s="145"/>
      <c r="AX290" s="145"/>
      <c r="AY290" s="145"/>
      <c r="AZ290" s="145"/>
      <c r="BA290" s="145"/>
      <c r="BB290" s="145"/>
      <c r="BC290" s="145"/>
      <c r="BD290" s="145"/>
      <c r="BE290" s="145"/>
      <c r="BF290" s="145"/>
    </row>
    <row r="291" spans="1:58" ht="14.15" customHeight="1">
      <c r="A291" s="404">
        <f t="shared" si="829"/>
        <v>285</v>
      </c>
      <c r="B291" s="20" t="s">
        <v>481</v>
      </c>
      <c r="C291" s="16">
        <f t="shared" ref="C291:V291" si="855">SUM(C265:C266,C277,C289)</f>
        <v>-2939757.4900000286</v>
      </c>
      <c r="D291" s="16">
        <f t="shared" ref="D291:I291" si="856">SUM(D265:D266,D277,D289)</f>
        <v>0</v>
      </c>
      <c r="E291" s="16">
        <f t="shared" si="856"/>
        <v>0</v>
      </c>
      <c r="F291" s="16">
        <f t="shared" si="856"/>
        <v>0</v>
      </c>
      <c r="G291" s="16">
        <f t="shared" si="856"/>
        <v>0</v>
      </c>
      <c r="H291" s="16">
        <f t="shared" si="856"/>
        <v>0</v>
      </c>
      <c r="I291" s="16">
        <f t="shared" si="856"/>
        <v>643148</v>
      </c>
      <c r="J291" s="16">
        <f t="shared" si="855"/>
        <v>0</v>
      </c>
      <c r="K291" s="16">
        <f t="shared" ref="K291:U291" si="857">SUM(K265:K266,K277,K289)</f>
        <v>0</v>
      </c>
      <c r="L291" s="16">
        <f t="shared" si="857"/>
        <v>0</v>
      </c>
      <c r="M291" s="16">
        <f t="shared" si="857"/>
        <v>0</v>
      </c>
      <c r="N291" s="16">
        <f t="shared" si="857"/>
        <v>-573589.96</v>
      </c>
      <c r="O291" s="16">
        <f t="shared" si="857"/>
        <v>0</v>
      </c>
      <c r="P291" s="16">
        <f t="shared" si="857"/>
        <v>0</v>
      </c>
      <c r="Q291" s="16">
        <f t="shared" si="857"/>
        <v>0</v>
      </c>
      <c r="R291" s="16">
        <f t="shared" si="857"/>
        <v>0</v>
      </c>
      <c r="S291" s="16">
        <f t="shared" si="857"/>
        <v>-4256853</v>
      </c>
      <c r="T291" s="16">
        <f t="shared" si="857"/>
        <v>-271393.99</v>
      </c>
      <c r="U291" s="16">
        <f t="shared" si="857"/>
        <v>1518931.4599999713</v>
      </c>
      <c r="V291" s="16">
        <f t="shared" si="855"/>
        <v>0</v>
      </c>
      <c r="W291" s="16">
        <f>SUM(W265:W266,W277,W289)</f>
        <v>0</v>
      </c>
      <c r="X291" s="16">
        <f t="shared" ref="X291:AD291" si="858">SUM(X265:X266,X277,X289)</f>
        <v>0</v>
      </c>
      <c r="Y291" s="16">
        <f>SUM(Y265:Y266,Y277,Y289)</f>
        <v>0</v>
      </c>
      <c r="Z291" s="16">
        <f t="shared" si="858"/>
        <v>0</v>
      </c>
      <c r="AA291" s="16">
        <f t="shared" si="858"/>
        <v>0</v>
      </c>
      <c r="AB291" s="16">
        <f t="shared" si="858"/>
        <v>0</v>
      </c>
      <c r="AC291" s="16">
        <f t="shared" si="858"/>
        <v>0</v>
      </c>
      <c r="AD291" s="16">
        <f t="shared" si="858"/>
        <v>0</v>
      </c>
      <c r="AE291" s="16">
        <f>SUM(AE265:AE266,AE277,AE289)</f>
        <v>0</v>
      </c>
      <c r="AF291" s="16">
        <f>SUM(AF265:AF266,AF277,AF289)</f>
        <v>0</v>
      </c>
      <c r="AG291" s="16">
        <f>SUM(AG265:AG266,AG277,AG289)</f>
        <v>0</v>
      </c>
      <c r="AH291" s="16">
        <f t="shared" ref="AH291" si="859">SUM(AH265:AH266,AH277,AH289)</f>
        <v>0</v>
      </c>
      <c r="AI291" s="16">
        <f t="shared" ref="AI291:AL291" si="860">SUM(AI265:AI266,AI277,AI289)</f>
        <v>0</v>
      </c>
      <c r="AJ291" s="16">
        <f t="shared" si="860"/>
        <v>0</v>
      </c>
      <c r="AK291" s="16">
        <f t="shared" si="860"/>
        <v>0</v>
      </c>
      <c r="AL291" s="16">
        <f t="shared" si="860"/>
        <v>0</v>
      </c>
      <c r="AM291" s="16">
        <f>SUM(AM265:AM266,AM277,AM289)</f>
        <v>0</v>
      </c>
      <c r="AN291" s="16">
        <f>SUM(AN265:AN266,AN277,AN289)</f>
        <v>0</v>
      </c>
      <c r="AO291" s="16">
        <f>SUM(AO265:AO266,AO277,AO289)</f>
        <v>0</v>
      </c>
      <c r="AP291" s="16">
        <f>SUM(AP265:AP266,AP277,AP289)</f>
        <v>0</v>
      </c>
      <c r="AQ291" s="16">
        <f>SUM(AQ265:AQ266,AQ277,AQ289)</f>
        <v>0</v>
      </c>
      <c r="AR291" s="16">
        <f t="shared" ref="AR291" si="861">SUM(AR265:AR266,AR277,AR289)</f>
        <v>0</v>
      </c>
      <c r="AS291" s="16">
        <f>SUM(AS265:AS266,AS277,AS289)</f>
        <v>0</v>
      </c>
      <c r="AT291" s="16">
        <f t="shared" ref="AT291" si="862">SUM(AT265:AT266,AT277,AT289)</f>
        <v>0</v>
      </c>
      <c r="AU291" s="16">
        <f t="shared" ref="AU291" si="863">SUM(AU265:AU266,AU277,AU289)</f>
        <v>0</v>
      </c>
      <c r="AV291" s="16">
        <f t="shared" ref="AV291" si="864">SUM(AV265:AV266,AV277,AV289)</f>
        <v>0</v>
      </c>
      <c r="AW291" s="16">
        <f>SUM(AW265:AW266,AW277,AW289)</f>
        <v>0</v>
      </c>
      <c r="AX291" s="16">
        <f t="shared" ref="AX291" si="865">SUM(AX265:AX266,AX277,AX289)</f>
        <v>0</v>
      </c>
      <c r="AY291" s="16">
        <f t="shared" ref="AY291:BF291" si="866">SUM(AY265:AY266,AY277,AY289)</f>
        <v>0</v>
      </c>
      <c r="AZ291" s="16">
        <f t="shared" si="866"/>
        <v>0</v>
      </c>
      <c r="BA291" s="16">
        <f t="shared" si="866"/>
        <v>0</v>
      </c>
      <c r="BB291" s="16">
        <f t="shared" si="866"/>
        <v>0</v>
      </c>
      <c r="BC291" s="16">
        <f t="shared" si="866"/>
        <v>0</v>
      </c>
      <c r="BD291" s="16">
        <f t="shared" si="866"/>
        <v>0</v>
      </c>
      <c r="BE291" s="16">
        <f t="shared" si="866"/>
        <v>0</v>
      </c>
      <c r="BF291" s="16">
        <f t="shared" si="866"/>
        <v>0</v>
      </c>
    </row>
    <row r="292" spans="1:58" ht="14.15" customHeight="1">
      <c r="A292" s="404">
        <f t="shared" si="829"/>
        <v>286</v>
      </c>
      <c r="B292" s="57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  <c r="T292" s="145"/>
      <c r="U292" s="145"/>
      <c r="V292" s="145"/>
      <c r="W292" s="145"/>
      <c r="X292" s="145"/>
      <c r="Y292" s="145"/>
      <c r="Z292" s="145"/>
      <c r="AA292" s="145"/>
      <c r="AB292" s="145"/>
      <c r="AC292" s="145"/>
      <c r="AD292" s="145"/>
      <c r="AE292" s="145"/>
      <c r="AF292" s="145"/>
      <c r="AG292" s="145"/>
      <c r="AH292" s="145"/>
      <c r="AI292" s="145"/>
      <c r="AJ292" s="145"/>
      <c r="AK292" s="145"/>
      <c r="AL292" s="145"/>
      <c r="AM292" s="145"/>
      <c r="AN292" s="145"/>
      <c r="AO292" s="145"/>
      <c r="AP292" s="145"/>
      <c r="AQ292" s="145"/>
      <c r="AR292" s="145"/>
      <c r="AS292" s="145"/>
      <c r="AT292" s="145"/>
      <c r="AU292" s="145"/>
      <c r="AV292" s="145"/>
      <c r="AW292" s="145"/>
      <c r="AX292" s="145"/>
      <c r="AY292" s="145"/>
      <c r="AZ292" s="145"/>
      <c r="BA292" s="145"/>
      <c r="BB292" s="145"/>
      <c r="BC292" s="145"/>
      <c r="BD292" s="145"/>
      <c r="BE292" s="145"/>
      <c r="BF292" s="145"/>
    </row>
    <row r="293" spans="1:58" ht="14.15" customHeight="1">
      <c r="A293" s="404">
        <f t="shared" si="829"/>
        <v>287</v>
      </c>
      <c r="B293" s="20" t="s">
        <v>482</v>
      </c>
      <c r="C293" s="16">
        <f t="shared" ref="C293:V293" si="867">+C254+C255+C256+C262+C291</f>
        <v>-56520547.41717764</v>
      </c>
      <c r="D293" s="16">
        <f t="shared" ref="D293:I293" si="868">+D254+D255+D256+D262+D291</f>
        <v>2449583</v>
      </c>
      <c r="E293" s="16">
        <f t="shared" si="868"/>
        <v>-515361.63697997667</v>
      </c>
      <c r="F293" s="16">
        <f t="shared" si="868"/>
        <v>145034</v>
      </c>
      <c r="G293" s="16">
        <f t="shared" si="868"/>
        <v>2712449.39</v>
      </c>
      <c r="H293" s="16">
        <f t="shared" si="868"/>
        <v>33001096.547184512</v>
      </c>
      <c r="I293" s="16">
        <f t="shared" si="868"/>
        <v>643148</v>
      </c>
      <c r="J293" s="16">
        <f t="shared" si="867"/>
        <v>-5276.19</v>
      </c>
      <c r="K293" s="16">
        <f t="shared" ref="K293:U293" si="869">+K254+K255+K256+K262+K291</f>
        <v>-19703413</v>
      </c>
      <c r="L293" s="16">
        <f t="shared" si="869"/>
        <v>-49418888</v>
      </c>
      <c r="M293" s="16">
        <f t="shared" si="869"/>
        <v>-16771447</v>
      </c>
      <c r="N293" s="16">
        <f t="shared" si="869"/>
        <v>-573589.96</v>
      </c>
      <c r="O293" s="16">
        <f t="shared" si="869"/>
        <v>-628079.1</v>
      </c>
      <c r="P293" s="16">
        <f t="shared" si="869"/>
        <v>-373893.79</v>
      </c>
      <c r="Q293" s="16">
        <f t="shared" si="869"/>
        <v>-3776111.9253208702</v>
      </c>
      <c r="R293" s="16">
        <f t="shared" si="869"/>
        <v>-1012931.5356612798</v>
      </c>
      <c r="S293" s="16">
        <f t="shared" si="869"/>
        <v>-4256853</v>
      </c>
      <c r="T293" s="16">
        <f t="shared" si="869"/>
        <v>-271393.99</v>
      </c>
      <c r="U293" s="16">
        <f t="shared" si="869"/>
        <v>1835380.7735999713</v>
      </c>
      <c r="V293" s="16">
        <f t="shared" si="867"/>
        <v>0</v>
      </c>
      <c r="W293" s="16">
        <f>+W254+W255+W256+W262+W291</f>
        <v>0</v>
      </c>
      <c r="X293" s="50">
        <f t="shared" ref="X293:AD293" si="870">+X254+X255+X256+X262+X291</f>
        <v>0</v>
      </c>
      <c r="Y293" s="16">
        <f>+Y254+Y255+Y256+Y262+Y291</f>
        <v>0</v>
      </c>
      <c r="Z293" s="50">
        <f t="shared" si="870"/>
        <v>0</v>
      </c>
      <c r="AA293" s="50">
        <f t="shared" si="870"/>
        <v>0</v>
      </c>
      <c r="AB293" s="50">
        <f t="shared" si="870"/>
        <v>0</v>
      </c>
      <c r="AC293" s="16">
        <f t="shared" si="870"/>
        <v>0</v>
      </c>
      <c r="AD293" s="16">
        <f t="shared" si="870"/>
        <v>0</v>
      </c>
      <c r="AE293" s="16">
        <f>+AE254+AE255+AE256+AE262+AE291</f>
        <v>0</v>
      </c>
      <c r="AF293" s="16">
        <f>+AF254+AF255+AF256+AF262+AF291</f>
        <v>0</v>
      </c>
      <c r="AG293" s="16">
        <f>+AG254+AG255+AG256+AG262+AG291</f>
        <v>0</v>
      </c>
      <c r="AH293" s="16">
        <f t="shared" ref="AH293" si="871">+AH254+AH255+AH256+AH262+AH291</f>
        <v>0</v>
      </c>
      <c r="AI293" s="16">
        <f t="shared" ref="AI293:AL293" si="872">+AI254+AI255+AI256+AI262+AI291</f>
        <v>0</v>
      </c>
      <c r="AJ293" s="16">
        <f t="shared" si="872"/>
        <v>0</v>
      </c>
      <c r="AK293" s="16">
        <f t="shared" si="872"/>
        <v>0</v>
      </c>
      <c r="AL293" s="16">
        <f t="shared" si="872"/>
        <v>0</v>
      </c>
      <c r="AM293" s="16">
        <f>+AM254+AM255+AM256+AM262+AM291</f>
        <v>0</v>
      </c>
      <c r="AN293" s="16">
        <f>+AN254+AN255+AN256+AN262+AN291</f>
        <v>0</v>
      </c>
      <c r="AO293" s="16">
        <f>+AO254+AO255+AO256+AO262+AO291</f>
        <v>0</v>
      </c>
      <c r="AP293" s="16">
        <f>+AP254+AP255+AP256+AP262+AP291</f>
        <v>0</v>
      </c>
      <c r="AQ293" s="16">
        <f>+AQ254+AQ255+AQ256+AQ262+AQ291</f>
        <v>0</v>
      </c>
      <c r="AR293" s="16">
        <f t="shared" ref="AR293" si="873">+AR254+AR255+AR256+AR262+AR291</f>
        <v>0</v>
      </c>
      <c r="AS293" s="16">
        <f>+AS254+AS255+AS256+AS262+AS291</f>
        <v>0</v>
      </c>
      <c r="AT293" s="16">
        <f t="shared" ref="AT293" si="874">+AT254+AT255+AT256+AT262+AT291</f>
        <v>0</v>
      </c>
      <c r="AU293" s="16">
        <f t="shared" ref="AU293" si="875">+AU254+AU255+AU256+AU262+AU291</f>
        <v>0</v>
      </c>
      <c r="AV293" s="16">
        <f t="shared" ref="AV293" si="876">+AV254+AV255+AV256+AV262+AV291</f>
        <v>0</v>
      </c>
      <c r="AW293" s="16">
        <f>+AW254+AW255+AW256+AW262+AW291</f>
        <v>0</v>
      </c>
      <c r="AX293" s="16">
        <f t="shared" ref="AX293" si="877">+AX254+AX255+AX256+AX262+AX291</f>
        <v>0</v>
      </c>
      <c r="AY293" s="16">
        <f t="shared" ref="AY293:BF293" si="878">+AY254+AY255+AY256+AY262+AY291</f>
        <v>0</v>
      </c>
      <c r="AZ293" s="16">
        <f t="shared" si="878"/>
        <v>0</v>
      </c>
      <c r="BA293" s="16">
        <f t="shared" si="878"/>
        <v>0</v>
      </c>
      <c r="BB293" s="16">
        <f t="shared" si="878"/>
        <v>0</v>
      </c>
      <c r="BC293" s="16">
        <f t="shared" si="878"/>
        <v>0</v>
      </c>
      <c r="BD293" s="16">
        <f t="shared" si="878"/>
        <v>0</v>
      </c>
      <c r="BE293" s="16">
        <f t="shared" si="878"/>
        <v>0</v>
      </c>
      <c r="BF293" s="16">
        <f t="shared" si="878"/>
        <v>0</v>
      </c>
    </row>
    <row r="294" spans="1:58" ht="14.15" customHeight="1">
      <c r="A294" s="404">
        <f t="shared" si="829"/>
        <v>288</v>
      </c>
      <c r="B294" s="22"/>
      <c r="C294" s="22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</row>
    <row r="295" spans="1:58" ht="14.15" customHeight="1">
      <c r="A295" s="404">
        <f t="shared" si="829"/>
        <v>289</v>
      </c>
      <c r="B295" s="42" t="s">
        <v>184</v>
      </c>
      <c r="C295" s="42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</row>
    <row r="296" spans="1:58" ht="14.15" customHeight="1">
      <c r="A296" s="404">
        <f t="shared" si="829"/>
        <v>290</v>
      </c>
      <c r="B296" s="13" t="s">
        <v>185</v>
      </c>
      <c r="C296" s="13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</row>
    <row r="297" spans="1:58" ht="14.15" customHeight="1">
      <c r="A297" s="404">
        <f t="shared" si="829"/>
        <v>291</v>
      </c>
      <c r="B297" s="22" t="s">
        <v>186</v>
      </c>
      <c r="C297" s="38">
        <f t="shared" ref="C297:C309" si="879">SUM(D297:BF297)</f>
        <v>230517.02000000016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0</v>
      </c>
      <c r="S297" s="10">
        <v>0</v>
      </c>
      <c r="T297" s="10">
        <v>0</v>
      </c>
      <c r="U297" s="10">
        <v>61128.410000000149</v>
      </c>
      <c r="V297" s="10">
        <v>0</v>
      </c>
      <c r="W297" s="10">
        <v>0</v>
      </c>
      <c r="X297" s="10">
        <v>0</v>
      </c>
      <c r="Y297" s="10">
        <v>0</v>
      </c>
      <c r="Z297" s="10">
        <v>0</v>
      </c>
      <c r="AA297" s="10">
        <v>0</v>
      </c>
      <c r="AB297" s="10">
        <v>2923.0099999999993</v>
      </c>
      <c r="AC297" s="10">
        <v>0</v>
      </c>
      <c r="AD297" s="10">
        <v>0</v>
      </c>
      <c r="AE297" s="10">
        <v>0</v>
      </c>
      <c r="AF297" s="10">
        <v>0</v>
      </c>
      <c r="AG297" s="10">
        <v>166465.60000000001</v>
      </c>
      <c r="AH297" s="10">
        <v>0</v>
      </c>
      <c r="AI297" s="10">
        <v>0</v>
      </c>
      <c r="AJ297" s="10">
        <v>0</v>
      </c>
      <c r="AK297" s="10">
        <v>0</v>
      </c>
      <c r="AL297" s="10">
        <v>0</v>
      </c>
      <c r="AM297" s="10">
        <v>0</v>
      </c>
      <c r="AN297" s="10">
        <v>0</v>
      </c>
      <c r="AO297" s="10">
        <v>0</v>
      </c>
      <c r="AP297" s="10">
        <v>0</v>
      </c>
      <c r="AQ297" s="10">
        <v>0</v>
      </c>
      <c r="AR297" s="10">
        <v>0</v>
      </c>
      <c r="AS297" s="10">
        <v>0</v>
      </c>
      <c r="AT297" s="10">
        <v>0</v>
      </c>
      <c r="AU297" s="10">
        <v>0</v>
      </c>
      <c r="AV297" s="10">
        <v>0</v>
      </c>
      <c r="AW297" s="10">
        <v>0</v>
      </c>
      <c r="AX297" s="10">
        <v>0</v>
      </c>
      <c r="AY297" s="10">
        <v>0</v>
      </c>
      <c r="AZ297" s="10">
        <v>0</v>
      </c>
      <c r="BA297" s="10">
        <v>0</v>
      </c>
      <c r="BB297" s="10">
        <v>0</v>
      </c>
      <c r="BC297" s="10">
        <v>0</v>
      </c>
      <c r="BD297" s="10">
        <v>0</v>
      </c>
      <c r="BE297" s="10">
        <v>0</v>
      </c>
      <c r="BF297" s="10">
        <v>0</v>
      </c>
    </row>
    <row r="298" spans="1:58" ht="14.15" customHeight="1">
      <c r="A298" s="404">
        <f t="shared" si="829"/>
        <v>292</v>
      </c>
      <c r="B298" s="22" t="s">
        <v>378</v>
      </c>
      <c r="C298" s="38">
        <f t="shared" si="879"/>
        <v>3225138.010000011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-7671.09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0</v>
      </c>
      <c r="S298" s="10">
        <v>0</v>
      </c>
      <c r="T298" s="10">
        <v>0</v>
      </c>
      <c r="U298" s="10">
        <v>1679181.1600000113</v>
      </c>
      <c r="V298" s="10">
        <v>0</v>
      </c>
      <c r="W298" s="10">
        <v>0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341430.29000000004</v>
      </c>
      <c r="AH298" s="10">
        <v>0</v>
      </c>
      <c r="AI298" s="10">
        <v>0</v>
      </c>
      <c r="AJ298" s="10">
        <v>0</v>
      </c>
      <c r="AK298" s="10">
        <v>0</v>
      </c>
      <c r="AL298" s="10">
        <v>0</v>
      </c>
      <c r="AM298" s="10">
        <v>0</v>
      </c>
      <c r="AN298" s="10">
        <v>0</v>
      </c>
      <c r="AO298" s="10">
        <v>0</v>
      </c>
      <c r="AP298" s="10">
        <v>0</v>
      </c>
      <c r="AQ298" s="10">
        <v>1212197.6499999999</v>
      </c>
      <c r="AR298" s="10">
        <v>0</v>
      </c>
      <c r="AS298" s="10">
        <v>0</v>
      </c>
      <c r="AT298" s="10">
        <v>0</v>
      </c>
      <c r="AU298" s="10">
        <v>0</v>
      </c>
      <c r="AV298" s="10">
        <v>0</v>
      </c>
      <c r="AW298" s="10">
        <v>0</v>
      </c>
      <c r="AX298" s="10">
        <v>0</v>
      </c>
      <c r="AY298" s="10">
        <v>0</v>
      </c>
      <c r="AZ298" s="10">
        <v>0</v>
      </c>
      <c r="BA298" s="10">
        <v>0</v>
      </c>
      <c r="BB298" s="10">
        <v>0</v>
      </c>
      <c r="BC298" s="10">
        <v>0</v>
      </c>
      <c r="BD298" s="10">
        <v>0</v>
      </c>
      <c r="BE298" s="10">
        <v>0</v>
      </c>
      <c r="BF298" s="10">
        <v>0</v>
      </c>
    </row>
    <row r="299" spans="1:58" ht="14.15" customHeight="1">
      <c r="A299" s="404">
        <f t="shared" si="829"/>
        <v>293</v>
      </c>
      <c r="B299" s="22" t="s">
        <v>814</v>
      </c>
      <c r="C299" s="38">
        <f t="shared" si="879"/>
        <v>121623.54000000004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0</v>
      </c>
      <c r="U299" s="10">
        <v>121623.54000000004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0</v>
      </c>
      <c r="AD299" s="10">
        <v>0</v>
      </c>
      <c r="AE299" s="10">
        <v>0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0">
        <v>0</v>
      </c>
      <c r="AM299" s="10">
        <v>0</v>
      </c>
      <c r="AN299" s="10">
        <v>0</v>
      </c>
      <c r="AO299" s="10">
        <v>0</v>
      </c>
      <c r="AP299" s="10">
        <v>0</v>
      </c>
      <c r="AQ299" s="10">
        <v>0</v>
      </c>
      <c r="AR299" s="10">
        <v>0</v>
      </c>
      <c r="AS299" s="10">
        <v>0</v>
      </c>
      <c r="AT299" s="10">
        <v>0</v>
      </c>
      <c r="AU299" s="10">
        <v>0</v>
      </c>
      <c r="AV299" s="10">
        <v>0</v>
      </c>
      <c r="AW299" s="10">
        <v>0</v>
      </c>
      <c r="AX299" s="10">
        <v>0</v>
      </c>
      <c r="AY299" s="10">
        <v>0</v>
      </c>
      <c r="AZ299" s="10">
        <v>0</v>
      </c>
      <c r="BA299" s="10">
        <v>0</v>
      </c>
      <c r="BB299" s="10">
        <v>0</v>
      </c>
      <c r="BC299" s="10">
        <v>0</v>
      </c>
      <c r="BD299" s="10">
        <v>0</v>
      </c>
      <c r="BE299" s="10">
        <v>0</v>
      </c>
      <c r="BF299" s="10">
        <v>0</v>
      </c>
    </row>
    <row r="300" spans="1:58" ht="14.15" customHeight="1">
      <c r="A300" s="404">
        <f t="shared" si="829"/>
        <v>294</v>
      </c>
      <c r="B300" s="22" t="s">
        <v>379</v>
      </c>
      <c r="C300" s="38">
        <f t="shared" si="879"/>
        <v>122617.91000000015</v>
      </c>
      <c r="D300" s="10">
        <v>0</v>
      </c>
      <c r="E300" s="10">
        <v>0</v>
      </c>
      <c r="F300" s="10">
        <v>0</v>
      </c>
      <c r="G300" s="10">
        <v>0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0</v>
      </c>
      <c r="S300" s="10">
        <v>0</v>
      </c>
      <c r="T300" s="10">
        <v>0</v>
      </c>
      <c r="U300" s="10">
        <v>55937.910000000149</v>
      </c>
      <c r="V300" s="10">
        <v>66680</v>
      </c>
      <c r="W300" s="10">
        <v>0</v>
      </c>
      <c r="X300" s="10">
        <v>0</v>
      </c>
      <c r="Y300" s="10">
        <v>0</v>
      </c>
      <c r="Z300" s="10">
        <v>0</v>
      </c>
      <c r="AA300" s="10">
        <v>0</v>
      </c>
      <c r="AB300" s="10">
        <v>0</v>
      </c>
      <c r="AC300" s="10">
        <v>0</v>
      </c>
      <c r="AD300" s="10">
        <v>0</v>
      </c>
      <c r="AE300" s="10">
        <v>0</v>
      </c>
      <c r="AF300" s="10">
        <v>0</v>
      </c>
      <c r="AG300" s="10">
        <v>0</v>
      </c>
      <c r="AH300" s="10">
        <v>0</v>
      </c>
      <c r="AI300" s="10">
        <v>0</v>
      </c>
      <c r="AJ300" s="10">
        <v>0</v>
      </c>
      <c r="AK300" s="10">
        <v>0</v>
      </c>
      <c r="AL300" s="10">
        <v>0</v>
      </c>
      <c r="AM300" s="10">
        <v>0</v>
      </c>
      <c r="AN300" s="10">
        <v>0</v>
      </c>
      <c r="AO300" s="10">
        <v>0</v>
      </c>
      <c r="AP300" s="10">
        <v>0</v>
      </c>
      <c r="AQ300" s="10">
        <v>0</v>
      </c>
      <c r="AR300" s="10">
        <v>0</v>
      </c>
      <c r="AS300" s="10">
        <v>0</v>
      </c>
      <c r="AT300" s="10">
        <v>0</v>
      </c>
      <c r="AU300" s="10">
        <v>0</v>
      </c>
      <c r="AV300" s="10">
        <v>0</v>
      </c>
      <c r="AW300" s="10">
        <v>0</v>
      </c>
      <c r="AX300" s="10">
        <v>0</v>
      </c>
      <c r="AY300" s="10">
        <v>0</v>
      </c>
      <c r="AZ300" s="10">
        <v>0</v>
      </c>
      <c r="BA300" s="10">
        <v>0</v>
      </c>
      <c r="BB300" s="10">
        <v>0</v>
      </c>
      <c r="BC300" s="10">
        <v>0</v>
      </c>
      <c r="BD300" s="10">
        <v>0</v>
      </c>
      <c r="BE300" s="10">
        <v>0</v>
      </c>
      <c r="BF300" s="10">
        <v>0</v>
      </c>
    </row>
    <row r="301" spans="1:58" s="21" customFormat="1" ht="14.15" customHeight="1">
      <c r="A301" s="404">
        <f t="shared" si="829"/>
        <v>295</v>
      </c>
      <c r="B301" s="22" t="s">
        <v>317</v>
      </c>
      <c r="C301" s="38">
        <f t="shared" si="879"/>
        <v>-42632032.020000003</v>
      </c>
      <c r="D301" s="10">
        <v>0</v>
      </c>
      <c r="E301" s="10">
        <v>0</v>
      </c>
      <c r="F301" s="10">
        <v>0</v>
      </c>
      <c r="G301" s="10">
        <v>0</v>
      </c>
      <c r="H301" s="10">
        <v>0</v>
      </c>
      <c r="I301" s="10">
        <v>0</v>
      </c>
      <c r="J301" s="10">
        <v>0</v>
      </c>
      <c r="K301" s="10">
        <v>0</v>
      </c>
      <c r="L301" s="10">
        <f>-49418888+6786856</f>
        <v>-42632032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10">
        <v>0</v>
      </c>
      <c r="T301" s="10">
        <v>0</v>
      </c>
      <c r="U301" s="10">
        <v>-2.0000000484287739E-2</v>
      </c>
      <c r="V301" s="10">
        <v>0</v>
      </c>
      <c r="W301" s="10">
        <v>0</v>
      </c>
      <c r="X301" s="10">
        <v>0</v>
      </c>
      <c r="Y301" s="10">
        <v>0</v>
      </c>
      <c r="Z301" s="10">
        <v>0</v>
      </c>
      <c r="AA301" s="10">
        <v>0</v>
      </c>
      <c r="AB301" s="10">
        <v>0</v>
      </c>
      <c r="AC301" s="10">
        <v>0</v>
      </c>
      <c r="AD301" s="10">
        <v>0</v>
      </c>
      <c r="AE301" s="10">
        <v>0</v>
      </c>
      <c r="AF301" s="10">
        <v>0</v>
      </c>
      <c r="AG301" s="10">
        <v>0</v>
      </c>
      <c r="AH301" s="10">
        <v>0</v>
      </c>
      <c r="AI301" s="10">
        <v>0</v>
      </c>
      <c r="AJ301" s="10">
        <v>0</v>
      </c>
      <c r="AK301" s="10">
        <v>0</v>
      </c>
      <c r="AL301" s="10">
        <v>0</v>
      </c>
      <c r="AM301" s="10">
        <v>0</v>
      </c>
      <c r="AN301" s="10">
        <v>0</v>
      </c>
      <c r="AO301" s="10">
        <v>0</v>
      </c>
      <c r="AP301" s="10">
        <v>0</v>
      </c>
      <c r="AQ301" s="10">
        <v>0</v>
      </c>
      <c r="AR301" s="10">
        <v>0</v>
      </c>
      <c r="AS301" s="10">
        <v>0</v>
      </c>
      <c r="AT301" s="10">
        <v>0</v>
      </c>
      <c r="AU301" s="10">
        <v>0</v>
      </c>
      <c r="AV301" s="10">
        <v>0</v>
      </c>
      <c r="AW301" s="10">
        <v>0</v>
      </c>
      <c r="AX301" s="10">
        <v>0</v>
      </c>
      <c r="AY301" s="10">
        <v>0</v>
      </c>
      <c r="AZ301" s="10">
        <v>0</v>
      </c>
      <c r="BA301" s="10">
        <v>0</v>
      </c>
      <c r="BB301" s="10">
        <v>0</v>
      </c>
      <c r="BC301" s="10">
        <v>0</v>
      </c>
      <c r="BD301" s="10">
        <v>0</v>
      </c>
      <c r="BE301" s="10">
        <v>0</v>
      </c>
      <c r="BF301" s="10">
        <v>0</v>
      </c>
    </row>
    <row r="302" spans="1:58" ht="14.15" customHeight="1">
      <c r="A302" s="404">
        <f t="shared" si="829"/>
        <v>296</v>
      </c>
      <c r="B302" s="22" t="s">
        <v>657</v>
      </c>
      <c r="C302" s="38">
        <f t="shared" si="879"/>
        <v>-2006996.53</v>
      </c>
      <c r="D302" s="10">
        <v>0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  <c r="S302" s="10">
        <v>0</v>
      </c>
      <c r="T302" s="10">
        <v>0</v>
      </c>
      <c r="U302" s="10">
        <v>73537.169999999925</v>
      </c>
      <c r="V302" s="10">
        <v>-2274682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0</v>
      </c>
      <c r="AC302" s="10">
        <v>0</v>
      </c>
      <c r="AD302" s="10">
        <v>0</v>
      </c>
      <c r="AE302" s="10">
        <v>0</v>
      </c>
      <c r="AF302" s="10">
        <v>0</v>
      </c>
      <c r="AG302" s="10">
        <v>194148.3</v>
      </c>
      <c r="AH302" s="10">
        <v>0</v>
      </c>
      <c r="AI302" s="10">
        <v>0</v>
      </c>
      <c r="AJ302" s="10">
        <v>0</v>
      </c>
      <c r="AK302" s="10">
        <v>0</v>
      </c>
      <c r="AL302" s="10">
        <v>0</v>
      </c>
      <c r="AM302" s="10">
        <v>0</v>
      </c>
      <c r="AN302" s="10">
        <v>0</v>
      </c>
      <c r="AO302" s="10">
        <v>0</v>
      </c>
      <c r="AP302" s="10">
        <v>0</v>
      </c>
      <c r="AQ302" s="10">
        <v>0</v>
      </c>
      <c r="AR302" s="10">
        <v>0</v>
      </c>
      <c r="AS302" s="10">
        <v>0</v>
      </c>
      <c r="AT302" s="10">
        <v>0</v>
      </c>
      <c r="AU302" s="10">
        <v>0</v>
      </c>
      <c r="AV302" s="10">
        <v>0</v>
      </c>
      <c r="AW302" s="10">
        <v>0</v>
      </c>
      <c r="AX302" s="10">
        <v>0</v>
      </c>
      <c r="AY302" s="10">
        <v>0</v>
      </c>
      <c r="AZ302" s="10">
        <v>0</v>
      </c>
      <c r="BA302" s="10">
        <v>0</v>
      </c>
      <c r="BB302" s="10">
        <v>0</v>
      </c>
      <c r="BC302" s="10">
        <v>0</v>
      </c>
      <c r="BD302" s="10">
        <v>0</v>
      </c>
      <c r="BE302" s="10">
        <v>0</v>
      </c>
      <c r="BF302" s="10">
        <v>0</v>
      </c>
    </row>
    <row r="303" spans="1:58" ht="14.15" customHeight="1">
      <c r="A303" s="404">
        <f t="shared" si="829"/>
        <v>297</v>
      </c>
      <c r="B303" s="22" t="s">
        <v>187</v>
      </c>
      <c r="C303" s="38">
        <f t="shared" si="879"/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10">
        <v>0</v>
      </c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 s="10">
        <v>0</v>
      </c>
      <c r="AC303" s="10">
        <v>0</v>
      </c>
      <c r="AD303" s="10">
        <v>0</v>
      </c>
      <c r="AE303" s="10">
        <v>0</v>
      </c>
      <c r="AF303" s="10">
        <v>0</v>
      </c>
      <c r="AG303" s="10">
        <v>0</v>
      </c>
      <c r="AH303" s="10">
        <v>0</v>
      </c>
      <c r="AI303" s="10">
        <v>0</v>
      </c>
      <c r="AJ303" s="10">
        <v>0</v>
      </c>
      <c r="AK303" s="10">
        <v>0</v>
      </c>
      <c r="AL303" s="10">
        <v>0</v>
      </c>
      <c r="AM303" s="10">
        <v>0</v>
      </c>
      <c r="AN303" s="10">
        <v>0</v>
      </c>
      <c r="AO303" s="10">
        <v>0</v>
      </c>
      <c r="AP303" s="10">
        <v>0</v>
      </c>
      <c r="AQ303" s="10">
        <v>0</v>
      </c>
      <c r="AR303" s="10">
        <v>0</v>
      </c>
      <c r="AS303" s="10">
        <v>0</v>
      </c>
      <c r="AT303" s="10">
        <v>0</v>
      </c>
      <c r="AU303" s="10">
        <v>0</v>
      </c>
      <c r="AV303" s="10">
        <v>0</v>
      </c>
      <c r="AW303" s="10">
        <v>0</v>
      </c>
      <c r="AX303" s="10">
        <v>0</v>
      </c>
      <c r="AY303" s="10">
        <v>0</v>
      </c>
      <c r="AZ303" s="10">
        <v>0</v>
      </c>
      <c r="BA303" s="10">
        <v>0</v>
      </c>
      <c r="BB303" s="10">
        <v>0</v>
      </c>
      <c r="BC303" s="10">
        <v>0</v>
      </c>
      <c r="BD303" s="10">
        <v>0</v>
      </c>
      <c r="BE303" s="10">
        <v>0</v>
      </c>
      <c r="BF303" s="10">
        <v>0</v>
      </c>
    </row>
    <row r="304" spans="1:58" ht="14.15" customHeight="1">
      <c r="A304" s="404">
        <f t="shared" si="829"/>
        <v>298</v>
      </c>
      <c r="B304" s="22" t="s">
        <v>188</v>
      </c>
      <c r="C304" s="38">
        <f t="shared" si="879"/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0">
        <v>0</v>
      </c>
      <c r="S304" s="10">
        <v>0</v>
      </c>
      <c r="T304" s="10">
        <v>0</v>
      </c>
      <c r="U304" s="10">
        <v>0</v>
      </c>
      <c r="V304" s="10">
        <v>0</v>
      </c>
      <c r="W304" s="10">
        <v>0</v>
      </c>
      <c r="X304" s="10">
        <v>0</v>
      </c>
      <c r="Y304" s="10">
        <v>0</v>
      </c>
      <c r="Z304" s="10">
        <v>0</v>
      </c>
      <c r="AA304" s="10">
        <v>0</v>
      </c>
      <c r="AB304" s="10">
        <v>0</v>
      </c>
      <c r="AC304" s="10">
        <v>0</v>
      </c>
      <c r="AD304" s="10">
        <v>0</v>
      </c>
      <c r="AE304" s="10">
        <v>0</v>
      </c>
      <c r="AF304" s="10">
        <v>0</v>
      </c>
      <c r="AG304" s="10">
        <v>0</v>
      </c>
      <c r="AH304" s="10">
        <v>0</v>
      </c>
      <c r="AI304" s="10">
        <v>0</v>
      </c>
      <c r="AJ304" s="10">
        <v>0</v>
      </c>
      <c r="AK304" s="10">
        <v>0</v>
      </c>
      <c r="AL304" s="10">
        <v>0</v>
      </c>
      <c r="AM304" s="10">
        <v>0</v>
      </c>
      <c r="AN304" s="10">
        <v>0</v>
      </c>
      <c r="AO304" s="10">
        <v>0</v>
      </c>
      <c r="AP304" s="10">
        <v>0</v>
      </c>
      <c r="AQ304" s="10">
        <v>0</v>
      </c>
      <c r="AR304" s="10">
        <v>0</v>
      </c>
      <c r="AS304" s="10">
        <v>0</v>
      </c>
      <c r="AT304" s="10">
        <v>0</v>
      </c>
      <c r="AU304" s="10">
        <v>0</v>
      </c>
      <c r="AV304" s="10">
        <v>0</v>
      </c>
      <c r="AW304" s="10">
        <v>0</v>
      </c>
      <c r="AX304" s="10">
        <v>0</v>
      </c>
      <c r="AY304" s="10">
        <v>0</v>
      </c>
      <c r="AZ304" s="10">
        <v>0</v>
      </c>
      <c r="BA304" s="10">
        <v>0</v>
      </c>
      <c r="BB304" s="10">
        <v>0</v>
      </c>
      <c r="BC304" s="10">
        <v>0</v>
      </c>
      <c r="BD304" s="10">
        <v>0</v>
      </c>
      <c r="BE304" s="10">
        <v>0</v>
      </c>
      <c r="BF304" s="10">
        <v>0</v>
      </c>
    </row>
    <row r="305" spans="1:58" ht="14.15" customHeight="1">
      <c r="A305" s="404">
        <f t="shared" si="829"/>
        <v>299</v>
      </c>
      <c r="B305" s="22" t="s">
        <v>189</v>
      </c>
      <c r="C305" s="38">
        <f t="shared" si="879"/>
        <v>7562.4300000000012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10">
        <v>0</v>
      </c>
      <c r="T305" s="10">
        <v>0</v>
      </c>
      <c r="U305" s="10">
        <v>833.22000000000116</v>
      </c>
      <c r="V305" s="10">
        <v>0</v>
      </c>
      <c r="W305" s="10">
        <v>0</v>
      </c>
      <c r="X305" s="10">
        <v>0</v>
      </c>
      <c r="Y305" s="10">
        <v>0</v>
      </c>
      <c r="Z305" s="10">
        <v>0</v>
      </c>
      <c r="AA305" s="10">
        <v>0</v>
      </c>
      <c r="AB305" s="10">
        <v>0</v>
      </c>
      <c r="AC305" s="10">
        <v>0</v>
      </c>
      <c r="AD305" s="10">
        <v>0</v>
      </c>
      <c r="AE305" s="10">
        <v>0</v>
      </c>
      <c r="AF305" s="10">
        <v>0</v>
      </c>
      <c r="AG305" s="10">
        <v>6729.21</v>
      </c>
      <c r="AH305" s="10">
        <v>0</v>
      </c>
      <c r="AI305" s="10">
        <v>0</v>
      </c>
      <c r="AJ305" s="10">
        <v>0</v>
      </c>
      <c r="AK305" s="10">
        <v>0</v>
      </c>
      <c r="AL305" s="10">
        <v>0</v>
      </c>
      <c r="AM305" s="10">
        <v>0</v>
      </c>
      <c r="AN305" s="10">
        <v>0</v>
      </c>
      <c r="AO305" s="10">
        <v>0</v>
      </c>
      <c r="AP305" s="10">
        <v>0</v>
      </c>
      <c r="AQ305" s="10">
        <v>0</v>
      </c>
      <c r="AR305" s="10">
        <v>0</v>
      </c>
      <c r="AS305" s="10">
        <v>0</v>
      </c>
      <c r="AT305" s="10">
        <v>0</v>
      </c>
      <c r="AU305" s="10">
        <v>0</v>
      </c>
      <c r="AV305" s="10">
        <v>0</v>
      </c>
      <c r="AW305" s="10">
        <v>0</v>
      </c>
      <c r="AX305" s="10">
        <v>0</v>
      </c>
      <c r="AY305" s="10">
        <v>0</v>
      </c>
      <c r="AZ305" s="10">
        <v>0</v>
      </c>
      <c r="BA305" s="10">
        <v>0</v>
      </c>
      <c r="BB305" s="10">
        <v>0</v>
      </c>
      <c r="BC305" s="10">
        <v>0</v>
      </c>
      <c r="BD305" s="10">
        <v>0</v>
      </c>
      <c r="BE305" s="10">
        <v>0</v>
      </c>
      <c r="BF305" s="10">
        <v>0</v>
      </c>
    </row>
    <row r="306" spans="1:58" s="21" customFormat="1" ht="14.15" customHeight="1">
      <c r="A306" s="404">
        <f t="shared" si="829"/>
        <v>300</v>
      </c>
      <c r="B306" s="22" t="s">
        <v>190</v>
      </c>
      <c r="C306" s="38">
        <f t="shared" si="879"/>
        <v>-452844.98999999976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  <c r="S306" s="10">
        <v>0</v>
      </c>
      <c r="T306" s="10">
        <v>0</v>
      </c>
      <c r="U306" s="10">
        <v>91164.740000000224</v>
      </c>
      <c r="V306" s="10">
        <v>0</v>
      </c>
      <c r="W306" s="10">
        <v>0</v>
      </c>
      <c r="X306" s="10">
        <v>0</v>
      </c>
      <c r="Y306" s="10">
        <v>0</v>
      </c>
      <c r="Z306" s="10">
        <v>0</v>
      </c>
      <c r="AA306" s="10">
        <v>0</v>
      </c>
      <c r="AB306" s="10">
        <v>4370.91</v>
      </c>
      <c r="AC306" s="10">
        <v>0</v>
      </c>
      <c r="AD306" s="10">
        <v>0</v>
      </c>
      <c r="AE306" s="10">
        <v>0</v>
      </c>
      <c r="AF306" s="10">
        <v>-741761</v>
      </c>
      <c r="AG306" s="10">
        <v>193380.36000000002</v>
      </c>
      <c r="AH306" s="10">
        <v>0</v>
      </c>
      <c r="AI306" s="10">
        <v>0</v>
      </c>
      <c r="AJ306" s="10">
        <v>0</v>
      </c>
      <c r="AK306" s="10">
        <v>0</v>
      </c>
      <c r="AL306" s="10">
        <v>0</v>
      </c>
      <c r="AM306" s="10">
        <v>0</v>
      </c>
      <c r="AN306" s="10">
        <v>0</v>
      </c>
      <c r="AO306" s="10">
        <v>0</v>
      </c>
      <c r="AP306" s="10">
        <v>0</v>
      </c>
      <c r="AQ306" s="10">
        <v>0</v>
      </c>
      <c r="AR306" s="10">
        <v>0</v>
      </c>
      <c r="AS306" s="10">
        <v>0</v>
      </c>
      <c r="AT306" s="10">
        <v>0</v>
      </c>
      <c r="AU306" s="10">
        <v>0</v>
      </c>
      <c r="AV306" s="10">
        <v>0</v>
      </c>
      <c r="AW306" s="10">
        <v>0</v>
      </c>
      <c r="AX306" s="10">
        <v>0</v>
      </c>
      <c r="AY306" s="10">
        <v>0</v>
      </c>
      <c r="AZ306" s="10">
        <v>0</v>
      </c>
      <c r="BA306" s="10">
        <v>0</v>
      </c>
      <c r="BB306" s="10">
        <v>0</v>
      </c>
      <c r="BC306" s="10">
        <v>0</v>
      </c>
      <c r="BD306" s="10">
        <v>0</v>
      </c>
      <c r="BE306" s="10">
        <v>0</v>
      </c>
      <c r="BF306" s="10">
        <v>0</v>
      </c>
    </row>
    <row r="307" spans="1:58" s="21" customFormat="1" ht="14.15" customHeight="1">
      <c r="A307" s="404">
        <f t="shared" si="829"/>
        <v>301</v>
      </c>
      <c r="B307" s="22" t="s">
        <v>191</v>
      </c>
      <c r="C307" s="38">
        <f t="shared" si="879"/>
        <v>14.850000000000023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14.850000000000023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0">
        <v>0</v>
      </c>
      <c r="AM307" s="10">
        <v>0</v>
      </c>
      <c r="AN307" s="10">
        <v>0</v>
      </c>
      <c r="AO307" s="10">
        <v>0</v>
      </c>
      <c r="AP307" s="10">
        <v>0</v>
      </c>
      <c r="AQ307" s="10">
        <v>0</v>
      </c>
      <c r="AR307" s="10">
        <v>0</v>
      </c>
      <c r="AS307" s="10">
        <v>0</v>
      </c>
      <c r="AT307" s="10">
        <v>0</v>
      </c>
      <c r="AU307" s="10">
        <v>0</v>
      </c>
      <c r="AV307" s="10">
        <v>0</v>
      </c>
      <c r="AW307" s="10">
        <v>0</v>
      </c>
      <c r="AX307" s="10">
        <v>0</v>
      </c>
      <c r="AY307" s="10">
        <v>0</v>
      </c>
      <c r="AZ307" s="10">
        <v>0</v>
      </c>
      <c r="BA307" s="10">
        <v>0</v>
      </c>
      <c r="BB307" s="10">
        <v>0</v>
      </c>
      <c r="BC307" s="10">
        <v>0</v>
      </c>
      <c r="BD307" s="10">
        <v>0</v>
      </c>
      <c r="BE307" s="10">
        <v>0</v>
      </c>
      <c r="BF307" s="10">
        <v>0</v>
      </c>
    </row>
    <row r="308" spans="1:58" ht="14.15" customHeight="1">
      <c r="A308" s="404">
        <f t="shared" si="829"/>
        <v>302</v>
      </c>
      <c r="B308" s="22" t="s">
        <v>813</v>
      </c>
      <c r="C308" s="38">
        <f t="shared" si="879"/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0">
        <v>0</v>
      </c>
      <c r="AM308" s="10">
        <v>0</v>
      </c>
      <c r="AN308" s="10">
        <v>0</v>
      </c>
      <c r="AO308" s="10">
        <v>0</v>
      </c>
      <c r="AP308" s="10">
        <v>0</v>
      </c>
      <c r="AQ308" s="10">
        <v>0</v>
      </c>
      <c r="AR308" s="10">
        <v>0</v>
      </c>
      <c r="AS308" s="10">
        <v>0</v>
      </c>
      <c r="AT308" s="10">
        <v>0</v>
      </c>
      <c r="AU308" s="10">
        <v>0</v>
      </c>
      <c r="AV308" s="10">
        <v>0</v>
      </c>
      <c r="AW308" s="10">
        <v>0</v>
      </c>
      <c r="AX308" s="10">
        <v>0</v>
      </c>
      <c r="AY308" s="10">
        <v>0</v>
      </c>
      <c r="AZ308" s="10">
        <v>0</v>
      </c>
      <c r="BA308" s="10">
        <v>0</v>
      </c>
      <c r="BB308" s="10">
        <v>0</v>
      </c>
      <c r="BC308" s="10">
        <v>0</v>
      </c>
      <c r="BD308" s="10">
        <v>0</v>
      </c>
      <c r="BE308" s="10">
        <v>0</v>
      </c>
      <c r="BF308" s="10">
        <v>0</v>
      </c>
    </row>
    <row r="309" spans="1:58" ht="14.15" customHeight="1">
      <c r="A309" s="404">
        <f t="shared" si="829"/>
        <v>303</v>
      </c>
      <c r="B309" s="56" t="s">
        <v>192</v>
      </c>
      <c r="C309" s="38">
        <f t="shared" si="879"/>
        <v>1117.0100000000093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1117.0100000000093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0">
        <v>0</v>
      </c>
      <c r="AL309" s="10">
        <v>0</v>
      </c>
      <c r="AM309" s="10">
        <v>0</v>
      </c>
      <c r="AN309" s="10">
        <v>0</v>
      </c>
      <c r="AO309" s="10">
        <v>0</v>
      </c>
      <c r="AP309" s="10">
        <v>0</v>
      </c>
      <c r="AQ309" s="10">
        <v>0</v>
      </c>
      <c r="AR309" s="10">
        <v>0</v>
      </c>
      <c r="AS309" s="10">
        <v>0</v>
      </c>
      <c r="AT309" s="10">
        <v>0</v>
      </c>
      <c r="AU309" s="10">
        <v>0</v>
      </c>
      <c r="AV309" s="10">
        <v>0</v>
      </c>
      <c r="AW309" s="10">
        <v>0</v>
      </c>
      <c r="AX309" s="10">
        <v>0</v>
      </c>
      <c r="AY309" s="10">
        <v>0</v>
      </c>
      <c r="AZ309" s="10">
        <v>0</v>
      </c>
      <c r="BA309" s="10">
        <v>0</v>
      </c>
      <c r="BB309" s="10">
        <v>0</v>
      </c>
      <c r="BC309" s="10">
        <v>0</v>
      </c>
      <c r="BD309" s="10">
        <v>0</v>
      </c>
      <c r="BE309" s="10">
        <v>0</v>
      </c>
      <c r="BF309" s="10">
        <v>0</v>
      </c>
    </row>
    <row r="310" spans="1:58" ht="14.15" customHeight="1">
      <c r="A310" s="404">
        <f t="shared" si="829"/>
        <v>304</v>
      </c>
      <c r="B310" s="20" t="s">
        <v>483</v>
      </c>
      <c r="C310" s="80">
        <f t="shared" ref="C310:J310" si="880">SUM(C297:C309)</f>
        <v>-41383282.769999996</v>
      </c>
      <c r="D310" s="80">
        <f t="shared" ref="D310:I310" si="881">SUM(D297:D309)</f>
        <v>0</v>
      </c>
      <c r="E310" s="80">
        <f t="shared" si="881"/>
        <v>0</v>
      </c>
      <c r="F310" s="80">
        <f t="shared" si="881"/>
        <v>0</v>
      </c>
      <c r="G310" s="80">
        <f t="shared" si="881"/>
        <v>0</v>
      </c>
      <c r="H310" s="80">
        <f t="shared" si="881"/>
        <v>0</v>
      </c>
      <c r="I310" s="80">
        <f t="shared" si="881"/>
        <v>0</v>
      </c>
      <c r="J310" s="80">
        <f t="shared" si="880"/>
        <v>-7671.09</v>
      </c>
      <c r="K310" s="80">
        <f t="shared" ref="K310:W310" si="882">SUM(K297:K309)</f>
        <v>0</v>
      </c>
      <c r="L310" s="80">
        <f t="shared" si="882"/>
        <v>-42632032</v>
      </c>
      <c r="M310" s="80">
        <f t="shared" si="882"/>
        <v>0</v>
      </c>
      <c r="N310" s="80">
        <f t="shared" si="882"/>
        <v>0</v>
      </c>
      <c r="O310" s="80">
        <f t="shared" si="882"/>
        <v>0</v>
      </c>
      <c r="P310" s="80">
        <f t="shared" si="882"/>
        <v>0</v>
      </c>
      <c r="Q310" s="80">
        <f t="shared" si="882"/>
        <v>0</v>
      </c>
      <c r="R310" s="80">
        <f t="shared" si="882"/>
        <v>0</v>
      </c>
      <c r="S310" s="80">
        <f t="shared" si="882"/>
        <v>0</v>
      </c>
      <c r="T310" s="80">
        <f t="shared" si="882"/>
        <v>0</v>
      </c>
      <c r="U310" s="80">
        <f t="shared" si="882"/>
        <v>2084537.9900000114</v>
      </c>
      <c r="V310" s="80">
        <f t="shared" si="882"/>
        <v>-2208002</v>
      </c>
      <c r="W310" s="80">
        <f t="shared" si="882"/>
        <v>0</v>
      </c>
      <c r="X310" s="80">
        <f t="shared" ref="X310:AD310" si="883">SUM(X297:X309)</f>
        <v>0</v>
      </c>
      <c r="Y310" s="80">
        <f>SUM(Y297:Y309)</f>
        <v>0</v>
      </c>
      <c r="Z310" s="80">
        <f t="shared" si="883"/>
        <v>0</v>
      </c>
      <c r="AA310" s="80">
        <f t="shared" si="883"/>
        <v>0</v>
      </c>
      <c r="AB310" s="80">
        <f>SUM(AB297:AB309)</f>
        <v>7293.9199999999992</v>
      </c>
      <c r="AC310" s="80">
        <f t="shared" si="883"/>
        <v>0</v>
      </c>
      <c r="AD310" s="80">
        <f t="shared" si="883"/>
        <v>0</v>
      </c>
      <c r="AE310" s="80">
        <f>SUM(AE297:AE309)</f>
        <v>0</v>
      </c>
      <c r="AF310" s="80">
        <f>SUM(AF297:AF309)</f>
        <v>-741761</v>
      </c>
      <c r="AG310" s="80">
        <f>SUM(AG297:AG309)</f>
        <v>902153.75999999989</v>
      </c>
      <c r="AH310" s="80">
        <f t="shared" ref="AH310" si="884">SUM(AH297:AH309)</f>
        <v>0</v>
      </c>
      <c r="AI310" s="80">
        <f t="shared" ref="AI310:AL310" si="885">SUM(AI297:AI309)</f>
        <v>0</v>
      </c>
      <c r="AJ310" s="80">
        <f t="shared" si="885"/>
        <v>0</v>
      </c>
      <c r="AK310" s="80">
        <f t="shared" si="885"/>
        <v>0</v>
      </c>
      <c r="AL310" s="80">
        <f t="shared" si="885"/>
        <v>0</v>
      </c>
      <c r="AM310" s="80">
        <f>SUM(AM297:AM309)</f>
        <v>0</v>
      </c>
      <c r="AN310" s="80">
        <f>SUM(AN297:AN309)</f>
        <v>0</v>
      </c>
      <c r="AO310" s="80">
        <f>SUM(AO297:AO309)</f>
        <v>0</v>
      </c>
      <c r="AP310" s="80">
        <f>SUM(AP297:AP309)</f>
        <v>0</v>
      </c>
      <c r="AQ310" s="80">
        <f>SUM(AQ297:AQ309)</f>
        <v>1212197.6499999999</v>
      </c>
      <c r="AR310" s="80">
        <f t="shared" ref="AR310" si="886">SUM(AR297:AR309)</f>
        <v>0</v>
      </c>
      <c r="AS310" s="80">
        <f>SUM(AS297:AS309)</f>
        <v>0</v>
      </c>
      <c r="AT310" s="80">
        <f t="shared" ref="AT310" si="887">SUM(AT297:AT309)</f>
        <v>0</v>
      </c>
      <c r="AU310" s="80">
        <f t="shared" ref="AU310" si="888">SUM(AU297:AU309)</f>
        <v>0</v>
      </c>
      <c r="AV310" s="80">
        <f t="shared" ref="AV310" si="889">SUM(AV297:AV309)</f>
        <v>0</v>
      </c>
      <c r="AW310" s="80">
        <f>SUM(AW297:AW309)</f>
        <v>0</v>
      </c>
      <c r="AX310" s="80">
        <f t="shared" ref="AX310" si="890">SUM(AX297:AX309)</f>
        <v>0</v>
      </c>
      <c r="AY310" s="80">
        <f t="shared" ref="AY310:BF310" si="891">SUM(AY297:AY309)</f>
        <v>0</v>
      </c>
      <c r="AZ310" s="80">
        <f t="shared" si="891"/>
        <v>0</v>
      </c>
      <c r="BA310" s="80">
        <f t="shared" si="891"/>
        <v>0</v>
      </c>
      <c r="BB310" s="80">
        <f t="shared" si="891"/>
        <v>0</v>
      </c>
      <c r="BC310" s="80">
        <f t="shared" si="891"/>
        <v>0</v>
      </c>
      <c r="BD310" s="80">
        <f t="shared" si="891"/>
        <v>0</v>
      </c>
      <c r="BE310" s="80">
        <f t="shared" si="891"/>
        <v>0</v>
      </c>
      <c r="BF310" s="80">
        <f t="shared" si="891"/>
        <v>0</v>
      </c>
    </row>
    <row r="311" spans="1:58" ht="14.15" customHeight="1">
      <c r="A311" s="404">
        <f t="shared" si="829"/>
        <v>305</v>
      </c>
      <c r="B311" s="23"/>
      <c r="C311" s="23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</row>
    <row r="312" spans="1:58" ht="14.15" customHeight="1">
      <c r="A312" s="404">
        <f t="shared" si="829"/>
        <v>306</v>
      </c>
      <c r="B312" s="22" t="s">
        <v>194</v>
      </c>
      <c r="C312" s="38">
        <f>SUM(D312:BF312)</f>
        <v>167438.47999999992</v>
      </c>
      <c r="D312" s="43">
        <v>0</v>
      </c>
      <c r="E312" s="43">
        <v>0</v>
      </c>
      <c r="F312" s="43">
        <v>0</v>
      </c>
      <c r="G312" s="43">
        <v>0</v>
      </c>
      <c r="H312" s="43">
        <v>0</v>
      </c>
      <c r="I312" s="43">
        <v>0</v>
      </c>
      <c r="J312" s="43">
        <v>0</v>
      </c>
      <c r="K312" s="43">
        <v>0</v>
      </c>
      <c r="L312" s="43">
        <v>0</v>
      </c>
      <c r="M312" s="43">
        <v>0</v>
      </c>
      <c r="N312" s="43">
        <v>0</v>
      </c>
      <c r="O312" s="43">
        <v>0</v>
      </c>
      <c r="P312" s="43">
        <v>0</v>
      </c>
      <c r="Q312" s="43">
        <v>0</v>
      </c>
      <c r="R312" s="43">
        <v>0</v>
      </c>
      <c r="S312" s="43">
        <v>0</v>
      </c>
      <c r="T312" s="43">
        <v>0</v>
      </c>
      <c r="U312" s="43">
        <v>20293.189999999944</v>
      </c>
      <c r="V312" s="43">
        <v>0</v>
      </c>
      <c r="W312" s="43">
        <v>0</v>
      </c>
      <c r="X312" s="43">
        <v>0</v>
      </c>
      <c r="Y312" s="43">
        <v>0</v>
      </c>
      <c r="Z312" s="43">
        <v>0</v>
      </c>
      <c r="AA312" s="43">
        <v>0</v>
      </c>
      <c r="AB312" s="43">
        <v>1363.3600000000001</v>
      </c>
      <c r="AC312" s="43">
        <v>0</v>
      </c>
      <c r="AD312" s="43">
        <v>0</v>
      </c>
      <c r="AE312" s="43">
        <v>0</v>
      </c>
      <c r="AF312" s="43">
        <v>0</v>
      </c>
      <c r="AG312" s="43">
        <v>145781.93</v>
      </c>
      <c r="AH312" s="43">
        <v>0</v>
      </c>
      <c r="AI312" s="43">
        <v>0</v>
      </c>
      <c r="AJ312" s="43">
        <v>0</v>
      </c>
      <c r="AK312" s="43">
        <v>0</v>
      </c>
      <c r="AL312" s="43">
        <v>0</v>
      </c>
      <c r="AM312" s="43">
        <v>0</v>
      </c>
      <c r="AN312" s="43">
        <v>0</v>
      </c>
      <c r="AO312" s="43">
        <v>0</v>
      </c>
      <c r="AP312" s="43">
        <v>0</v>
      </c>
      <c r="AQ312" s="43">
        <v>0</v>
      </c>
      <c r="AR312" s="43">
        <v>0</v>
      </c>
      <c r="AS312" s="43">
        <v>0</v>
      </c>
      <c r="AT312" s="43">
        <v>0</v>
      </c>
      <c r="AU312" s="43">
        <v>0</v>
      </c>
      <c r="AV312" s="43">
        <v>0</v>
      </c>
      <c r="AW312" s="43">
        <v>0</v>
      </c>
      <c r="AX312" s="43">
        <v>0</v>
      </c>
      <c r="AY312" s="43">
        <v>0</v>
      </c>
      <c r="AZ312" s="43">
        <v>0</v>
      </c>
      <c r="BA312" s="43">
        <v>0</v>
      </c>
      <c r="BB312" s="43">
        <v>0</v>
      </c>
      <c r="BC312" s="43">
        <v>0</v>
      </c>
      <c r="BD312" s="43">
        <v>0</v>
      </c>
      <c r="BE312" s="43">
        <v>0</v>
      </c>
      <c r="BF312" s="43">
        <v>0</v>
      </c>
    </row>
    <row r="313" spans="1:58" ht="14.15" customHeight="1">
      <c r="A313" s="404">
        <f t="shared" si="829"/>
        <v>307</v>
      </c>
      <c r="B313" s="22" t="s">
        <v>195</v>
      </c>
      <c r="C313" s="38">
        <f>SUM(D313:BF313)</f>
        <v>46567.040000000154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29840.410000000149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43.819999999999993</v>
      </c>
      <c r="AC313" s="10">
        <v>0</v>
      </c>
      <c r="AD313" s="10">
        <v>0</v>
      </c>
      <c r="AE313" s="10">
        <v>0</v>
      </c>
      <c r="AF313" s="10">
        <v>0</v>
      </c>
      <c r="AG313" s="43">
        <v>16682.810000000001</v>
      </c>
      <c r="AH313" s="10">
        <v>0</v>
      </c>
      <c r="AI313" s="10">
        <v>0</v>
      </c>
      <c r="AJ313" s="10">
        <v>0</v>
      </c>
      <c r="AK313" s="10">
        <v>0</v>
      </c>
      <c r="AL313" s="10">
        <v>0</v>
      </c>
      <c r="AM313" s="10">
        <v>0</v>
      </c>
      <c r="AN313" s="10">
        <v>0</v>
      </c>
      <c r="AO313" s="10">
        <v>0</v>
      </c>
      <c r="AP313" s="10">
        <v>0</v>
      </c>
      <c r="AQ313" s="10">
        <v>0</v>
      </c>
      <c r="AR313" s="10">
        <v>0</v>
      </c>
      <c r="AS313" s="10">
        <v>0</v>
      </c>
      <c r="AT313" s="10">
        <v>0</v>
      </c>
      <c r="AU313" s="10">
        <v>0</v>
      </c>
      <c r="AV313" s="10">
        <v>0</v>
      </c>
      <c r="AW313" s="10">
        <v>0</v>
      </c>
      <c r="AX313" s="10">
        <v>0</v>
      </c>
      <c r="AY313" s="10">
        <v>0</v>
      </c>
      <c r="AZ313" s="10">
        <v>0</v>
      </c>
      <c r="BA313" s="10">
        <v>0</v>
      </c>
      <c r="BB313" s="10">
        <v>0</v>
      </c>
      <c r="BC313" s="10">
        <v>0</v>
      </c>
      <c r="BD313" s="10">
        <v>0</v>
      </c>
      <c r="BE313" s="10">
        <v>0</v>
      </c>
      <c r="BF313" s="10">
        <v>0</v>
      </c>
    </row>
    <row r="314" spans="1:58" ht="13.5" customHeight="1">
      <c r="A314" s="404">
        <f t="shared" si="829"/>
        <v>308</v>
      </c>
      <c r="B314" s="22" t="s">
        <v>196</v>
      </c>
      <c r="C314" s="38">
        <f>SUM(D314:BF314)</f>
        <v>-896434.07999999961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7671.09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213192.0700000003</v>
      </c>
      <c r="V314" s="10">
        <v>-1333347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-49.509999999999991</v>
      </c>
      <c r="AC314" s="10">
        <v>0</v>
      </c>
      <c r="AD314" s="10">
        <v>0</v>
      </c>
      <c r="AE314" s="10">
        <v>0</v>
      </c>
      <c r="AF314" s="10">
        <v>0</v>
      </c>
      <c r="AG314" s="43">
        <v>216099.27</v>
      </c>
      <c r="AH314" s="10">
        <v>0</v>
      </c>
      <c r="AI314" s="10">
        <v>0</v>
      </c>
      <c r="AJ314" s="10">
        <v>0</v>
      </c>
      <c r="AK314" s="10">
        <v>0</v>
      </c>
      <c r="AL314" s="10">
        <v>0</v>
      </c>
      <c r="AM314" s="10">
        <v>0</v>
      </c>
      <c r="AN314" s="10">
        <v>0</v>
      </c>
      <c r="AO314" s="10">
        <v>0</v>
      </c>
      <c r="AP314" s="10">
        <v>0</v>
      </c>
      <c r="AQ314" s="10">
        <v>0</v>
      </c>
      <c r="AR314" s="10">
        <v>0</v>
      </c>
      <c r="AS314" s="10">
        <v>0</v>
      </c>
      <c r="AT314" s="10">
        <v>0</v>
      </c>
      <c r="AU314" s="10">
        <v>0</v>
      </c>
      <c r="AV314" s="10">
        <v>0</v>
      </c>
      <c r="AW314" s="10">
        <v>0</v>
      </c>
      <c r="AX314" s="10">
        <v>0</v>
      </c>
      <c r="AY314" s="10">
        <v>0</v>
      </c>
      <c r="AZ314" s="10">
        <v>0</v>
      </c>
      <c r="BA314" s="10">
        <v>0</v>
      </c>
      <c r="BB314" s="10">
        <v>0</v>
      </c>
      <c r="BC314" s="10">
        <v>0</v>
      </c>
      <c r="BD314" s="10">
        <v>0</v>
      </c>
      <c r="BE314" s="10">
        <v>0</v>
      </c>
      <c r="BF314" s="10">
        <v>0</v>
      </c>
    </row>
    <row r="315" spans="1:58" ht="14.15" customHeight="1">
      <c r="A315" s="404">
        <f t="shared" si="829"/>
        <v>309</v>
      </c>
      <c r="B315" s="22" t="s">
        <v>197</v>
      </c>
      <c r="C315" s="38">
        <f>SUM(D315:BF315)</f>
        <v>155546.83000000022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0</v>
      </c>
      <c r="U315" s="10">
        <v>65713.990000000224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-4.4399999999999977</v>
      </c>
      <c r="AC315" s="10">
        <v>0</v>
      </c>
      <c r="AD315" s="10">
        <v>0</v>
      </c>
      <c r="AE315" s="10">
        <v>0</v>
      </c>
      <c r="AF315" s="10">
        <v>0</v>
      </c>
      <c r="AG315" s="43">
        <v>89837.28</v>
      </c>
      <c r="AH315" s="10">
        <v>0</v>
      </c>
      <c r="AI315" s="10">
        <v>0</v>
      </c>
      <c r="AJ315" s="10">
        <v>0</v>
      </c>
      <c r="AK315" s="10">
        <v>0</v>
      </c>
      <c r="AL315" s="10">
        <v>0</v>
      </c>
      <c r="AM315" s="10">
        <v>0</v>
      </c>
      <c r="AN315" s="10">
        <v>0</v>
      </c>
      <c r="AO315" s="10">
        <v>0</v>
      </c>
      <c r="AP315" s="10">
        <v>0</v>
      </c>
      <c r="AQ315" s="10">
        <v>0</v>
      </c>
      <c r="AR315" s="10">
        <v>0</v>
      </c>
      <c r="AS315" s="10">
        <v>0</v>
      </c>
      <c r="AT315" s="10">
        <v>0</v>
      </c>
      <c r="AU315" s="10">
        <v>0</v>
      </c>
      <c r="AV315" s="10">
        <v>0</v>
      </c>
      <c r="AW315" s="10">
        <v>0</v>
      </c>
      <c r="AX315" s="10">
        <v>0</v>
      </c>
      <c r="AY315" s="10">
        <v>0</v>
      </c>
      <c r="AZ315" s="10">
        <v>0</v>
      </c>
      <c r="BA315" s="10">
        <v>0</v>
      </c>
      <c r="BB315" s="10">
        <v>0</v>
      </c>
      <c r="BC315" s="10">
        <v>0</v>
      </c>
      <c r="BD315" s="10">
        <v>0</v>
      </c>
      <c r="BE315" s="10">
        <v>0</v>
      </c>
      <c r="BF315" s="10">
        <v>0</v>
      </c>
    </row>
    <row r="316" spans="1:58" ht="14.15" customHeight="1">
      <c r="A316" s="404">
        <f t="shared" si="829"/>
        <v>310</v>
      </c>
      <c r="B316" s="56" t="s">
        <v>198</v>
      </c>
      <c r="C316" s="38">
        <f>SUM(D316:BF316)</f>
        <v>39187.069999999978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0</v>
      </c>
      <c r="U316" s="10">
        <v>21104.229999999981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53.879999999999995</v>
      </c>
      <c r="AC316" s="10">
        <v>0</v>
      </c>
      <c r="AD316" s="10">
        <v>0</v>
      </c>
      <c r="AE316" s="10">
        <v>0</v>
      </c>
      <c r="AF316" s="10">
        <v>0</v>
      </c>
      <c r="AG316" s="43">
        <v>18028.96</v>
      </c>
      <c r="AH316" s="10">
        <v>0</v>
      </c>
      <c r="AI316" s="10">
        <v>0</v>
      </c>
      <c r="AJ316" s="10">
        <v>0</v>
      </c>
      <c r="AK316" s="10">
        <v>0</v>
      </c>
      <c r="AL316" s="10">
        <v>0</v>
      </c>
      <c r="AM316" s="10">
        <v>0</v>
      </c>
      <c r="AN316" s="10">
        <v>0</v>
      </c>
      <c r="AO316" s="10">
        <v>0</v>
      </c>
      <c r="AP316" s="10">
        <v>0</v>
      </c>
      <c r="AQ316" s="10">
        <v>0</v>
      </c>
      <c r="AR316" s="10">
        <v>0</v>
      </c>
      <c r="AS316" s="10">
        <v>0</v>
      </c>
      <c r="AT316" s="10">
        <v>0</v>
      </c>
      <c r="AU316" s="10">
        <v>0</v>
      </c>
      <c r="AV316" s="10">
        <v>0</v>
      </c>
      <c r="AW316" s="10">
        <v>0</v>
      </c>
      <c r="AX316" s="10">
        <v>0</v>
      </c>
      <c r="AY316" s="10">
        <v>0</v>
      </c>
      <c r="AZ316" s="10">
        <v>0</v>
      </c>
      <c r="BA316" s="10">
        <v>0</v>
      </c>
      <c r="BB316" s="10">
        <v>0</v>
      </c>
      <c r="BC316" s="10">
        <v>0</v>
      </c>
      <c r="BD316" s="10">
        <v>0</v>
      </c>
      <c r="BE316" s="10">
        <v>0</v>
      </c>
      <c r="BF316" s="10">
        <v>0</v>
      </c>
    </row>
    <row r="317" spans="1:58" ht="14.15" customHeight="1">
      <c r="A317" s="404">
        <f t="shared" si="829"/>
        <v>311</v>
      </c>
      <c r="B317" s="20" t="s">
        <v>484</v>
      </c>
      <c r="C317" s="80">
        <f t="shared" ref="C317:V317" si="892">SUM(C312:C316)</f>
        <v>-487694.65999999945</v>
      </c>
      <c r="D317" s="80">
        <f t="shared" ref="D317:I317" si="893">SUM(D312:D316)</f>
        <v>0</v>
      </c>
      <c r="E317" s="80">
        <f t="shared" si="893"/>
        <v>0</v>
      </c>
      <c r="F317" s="80">
        <f t="shared" si="893"/>
        <v>0</v>
      </c>
      <c r="G317" s="80">
        <f t="shared" si="893"/>
        <v>0</v>
      </c>
      <c r="H317" s="80">
        <f t="shared" si="893"/>
        <v>0</v>
      </c>
      <c r="I317" s="80">
        <f t="shared" si="893"/>
        <v>0</v>
      </c>
      <c r="J317" s="80">
        <f t="shared" si="892"/>
        <v>7671.09</v>
      </c>
      <c r="K317" s="80">
        <f t="shared" ref="K317:U317" si="894">SUM(K312:K316)</f>
        <v>0</v>
      </c>
      <c r="L317" s="80">
        <f t="shared" si="894"/>
        <v>0</v>
      </c>
      <c r="M317" s="80">
        <f t="shared" si="894"/>
        <v>0</v>
      </c>
      <c r="N317" s="80">
        <f t="shared" si="894"/>
        <v>0</v>
      </c>
      <c r="O317" s="80">
        <f t="shared" si="894"/>
        <v>0</v>
      </c>
      <c r="P317" s="80">
        <f t="shared" si="894"/>
        <v>0</v>
      </c>
      <c r="Q317" s="80">
        <f t="shared" si="894"/>
        <v>0</v>
      </c>
      <c r="R317" s="80">
        <f t="shared" si="894"/>
        <v>0</v>
      </c>
      <c r="S317" s="80">
        <f t="shared" si="894"/>
        <v>0</v>
      </c>
      <c r="T317" s="80">
        <f t="shared" si="894"/>
        <v>0</v>
      </c>
      <c r="U317" s="80">
        <f t="shared" si="894"/>
        <v>350143.8900000006</v>
      </c>
      <c r="V317" s="80">
        <f t="shared" si="892"/>
        <v>-1333347</v>
      </c>
      <c r="W317" s="80">
        <f>SUM(W312:W316)</f>
        <v>0</v>
      </c>
      <c r="X317" s="80">
        <f t="shared" ref="X317:AD317" si="895">SUM(X312:X316)</f>
        <v>0</v>
      </c>
      <c r="Y317" s="80">
        <f>SUM(Y312:Y316)</f>
        <v>0</v>
      </c>
      <c r="Z317" s="80">
        <f t="shared" si="895"/>
        <v>0</v>
      </c>
      <c r="AA317" s="80">
        <f t="shared" si="895"/>
        <v>0</v>
      </c>
      <c r="AB317" s="80">
        <f>SUM(AB312:AB316)</f>
        <v>1407.1100000000001</v>
      </c>
      <c r="AC317" s="80">
        <f t="shared" si="895"/>
        <v>0</v>
      </c>
      <c r="AD317" s="80">
        <f t="shared" si="895"/>
        <v>0</v>
      </c>
      <c r="AE317" s="80">
        <f>SUM(AE312:AE316)</f>
        <v>0</v>
      </c>
      <c r="AF317" s="80">
        <f>SUM(AF312:AF316)</f>
        <v>0</v>
      </c>
      <c r="AG317" s="80">
        <f>SUM(AG312:AG316)</f>
        <v>486430.25000000006</v>
      </c>
      <c r="AH317" s="80">
        <f t="shared" ref="AH317" si="896">SUM(AH312:AH316)</f>
        <v>0</v>
      </c>
      <c r="AI317" s="80">
        <f t="shared" ref="AI317:AL317" si="897">SUM(AI312:AI316)</f>
        <v>0</v>
      </c>
      <c r="AJ317" s="80">
        <f t="shared" si="897"/>
        <v>0</v>
      </c>
      <c r="AK317" s="80">
        <f t="shared" si="897"/>
        <v>0</v>
      </c>
      <c r="AL317" s="80">
        <f t="shared" si="897"/>
        <v>0</v>
      </c>
      <c r="AM317" s="80">
        <f>SUM(AM312:AM316)</f>
        <v>0</v>
      </c>
      <c r="AN317" s="80">
        <f>SUM(AN312:AN316)</f>
        <v>0</v>
      </c>
      <c r="AO317" s="80">
        <f>SUM(AO312:AO316)</f>
        <v>0</v>
      </c>
      <c r="AP317" s="80">
        <f>SUM(AP312:AP316)</f>
        <v>0</v>
      </c>
      <c r="AQ317" s="80">
        <f>SUM(AQ312:AQ316)</f>
        <v>0</v>
      </c>
      <c r="AR317" s="80">
        <f t="shared" ref="AR317" si="898">SUM(AR312:AR316)</f>
        <v>0</v>
      </c>
      <c r="AS317" s="80">
        <f>SUM(AS312:AS316)</f>
        <v>0</v>
      </c>
      <c r="AT317" s="80">
        <f t="shared" ref="AT317" si="899">SUM(AT312:AT316)</f>
        <v>0</v>
      </c>
      <c r="AU317" s="80">
        <f t="shared" ref="AU317" si="900">SUM(AU312:AU316)</f>
        <v>0</v>
      </c>
      <c r="AV317" s="80">
        <f t="shared" ref="AV317" si="901">SUM(AV312:AV316)</f>
        <v>0</v>
      </c>
      <c r="AW317" s="80">
        <f>SUM(AW312:AW316)</f>
        <v>0</v>
      </c>
      <c r="AX317" s="80">
        <f t="shared" ref="AX317" si="902">SUM(AX312:AX316)</f>
        <v>0</v>
      </c>
      <c r="AY317" s="80">
        <f t="shared" ref="AY317:BF317" si="903">SUM(AY312:AY316)</f>
        <v>0</v>
      </c>
      <c r="AZ317" s="80">
        <f t="shared" si="903"/>
        <v>0</v>
      </c>
      <c r="BA317" s="80">
        <f t="shared" si="903"/>
        <v>0</v>
      </c>
      <c r="BB317" s="80">
        <f t="shared" si="903"/>
        <v>0</v>
      </c>
      <c r="BC317" s="80">
        <f t="shared" si="903"/>
        <v>0</v>
      </c>
      <c r="BD317" s="80">
        <f t="shared" si="903"/>
        <v>0</v>
      </c>
      <c r="BE317" s="80">
        <f t="shared" si="903"/>
        <v>0</v>
      </c>
      <c r="BF317" s="80">
        <f t="shared" si="903"/>
        <v>0</v>
      </c>
    </row>
    <row r="318" spans="1:58" ht="14.15" customHeight="1">
      <c r="A318" s="404">
        <f t="shared" si="829"/>
        <v>312</v>
      </c>
      <c r="B318" s="57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  <c r="AB318" s="145"/>
      <c r="AC318" s="145"/>
      <c r="AD318" s="145"/>
      <c r="AE318" s="145"/>
      <c r="AF318" s="145"/>
      <c r="AG318" s="145"/>
      <c r="AH318" s="145"/>
      <c r="AI318" s="145"/>
      <c r="AJ318" s="145"/>
      <c r="AK318" s="145"/>
      <c r="AL318" s="145"/>
      <c r="AM318" s="145"/>
      <c r="AN318" s="145"/>
      <c r="AO318" s="145"/>
      <c r="AP318" s="145"/>
      <c r="AQ318" s="145"/>
      <c r="AR318" s="145"/>
      <c r="AS318" s="145"/>
      <c r="AT318" s="145"/>
      <c r="AU318" s="145"/>
      <c r="AV318" s="145"/>
      <c r="AW318" s="145"/>
      <c r="AX318" s="145"/>
      <c r="AY318" s="145"/>
      <c r="AZ318" s="145"/>
      <c r="BA318" s="145"/>
      <c r="BB318" s="145"/>
      <c r="BC318" s="145"/>
      <c r="BD318" s="145"/>
      <c r="BE318" s="145"/>
      <c r="BF318" s="145"/>
    </row>
    <row r="319" spans="1:58" ht="14.15" customHeight="1">
      <c r="A319" s="404">
        <f t="shared" si="829"/>
        <v>313</v>
      </c>
      <c r="B319" s="20" t="s">
        <v>199</v>
      </c>
      <c r="C319" s="16">
        <f t="shared" ref="C319:V319" si="904">+C317+C310</f>
        <v>-41870977.429999992</v>
      </c>
      <c r="D319" s="16">
        <f t="shared" ref="D319:U319" si="905">+D317+D310</f>
        <v>0</v>
      </c>
      <c r="E319" s="16">
        <f t="shared" si="905"/>
        <v>0</v>
      </c>
      <c r="F319" s="16">
        <f t="shared" si="905"/>
        <v>0</v>
      </c>
      <c r="G319" s="16">
        <f t="shared" si="905"/>
        <v>0</v>
      </c>
      <c r="H319" s="16">
        <f t="shared" si="905"/>
        <v>0</v>
      </c>
      <c r="I319" s="16">
        <f t="shared" si="905"/>
        <v>0</v>
      </c>
      <c r="J319" s="16">
        <f t="shared" si="905"/>
        <v>0</v>
      </c>
      <c r="K319" s="16">
        <f t="shared" si="905"/>
        <v>0</v>
      </c>
      <c r="L319" s="16">
        <f t="shared" si="905"/>
        <v>-42632032</v>
      </c>
      <c r="M319" s="16">
        <f t="shared" si="905"/>
        <v>0</v>
      </c>
      <c r="N319" s="16">
        <f t="shared" si="905"/>
        <v>0</v>
      </c>
      <c r="O319" s="16">
        <f t="shared" si="905"/>
        <v>0</v>
      </c>
      <c r="P319" s="16">
        <f t="shared" si="905"/>
        <v>0</v>
      </c>
      <c r="Q319" s="16">
        <f t="shared" si="905"/>
        <v>0</v>
      </c>
      <c r="R319" s="16">
        <f t="shared" si="905"/>
        <v>0</v>
      </c>
      <c r="S319" s="16">
        <f t="shared" si="905"/>
        <v>0</v>
      </c>
      <c r="T319" s="16">
        <f t="shared" si="905"/>
        <v>0</v>
      </c>
      <c r="U319" s="16">
        <f t="shared" si="905"/>
        <v>2434681.880000012</v>
      </c>
      <c r="V319" s="16">
        <f t="shared" si="904"/>
        <v>-3541349</v>
      </c>
      <c r="W319" s="16">
        <f>+W317+W310</f>
        <v>0</v>
      </c>
      <c r="X319" s="16">
        <f t="shared" ref="X319:AD319" si="906">+X317+X310</f>
        <v>0</v>
      </c>
      <c r="Y319" s="16">
        <f>+Y317+Y310</f>
        <v>0</v>
      </c>
      <c r="Z319" s="16">
        <f t="shared" si="906"/>
        <v>0</v>
      </c>
      <c r="AA319" s="16">
        <f t="shared" si="906"/>
        <v>0</v>
      </c>
      <c r="AB319" s="16">
        <f>+AB317+AB310</f>
        <v>8701.0299999999988</v>
      </c>
      <c r="AC319" s="16">
        <f t="shared" si="906"/>
        <v>0</v>
      </c>
      <c r="AD319" s="16">
        <f t="shared" si="906"/>
        <v>0</v>
      </c>
      <c r="AE319" s="16">
        <f>+AE317+AE310</f>
        <v>0</v>
      </c>
      <c r="AF319" s="16">
        <f>+AF317+AF310</f>
        <v>-741761</v>
      </c>
      <c r="AG319" s="16">
        <f>+AG317+AG310</f>
        <v>1388584.01</v>
      </c>
      <c r="AH319" s="16">
        <f t="shared" ref="AH319" si="907">+AH317+AH310</f>
        <v>0</v>
      </c>
      <c r="AI319" s="16">
        <f t="shared" ref="AI319:AL319" si="908">+AI317+AI310</f>
        <v>0</v>
      </c>
      <c r="AJ319" s="16">
        <f t="shared" si="908"/>
        <v>0</v>
      </c>
      <c r="AK319" s="16">
        <f t="shared" si="908"/>
        <v>0</v>
      </c>
      <c r="AL319" s="16">
        <f t="shared" si="908"/>
        <v>0</v>
      </c>
      <c r="AM319" s="16">
        <f>+AM317+AM310</f>
        <v>0</v>
      </c>
      <c r="AN319" s="16">
        <f>+AN317+AN310</f>
        <v>0</v>
      </c>
      <c r="AO319" s="16">
        <f>+AO317+AO310</f>
        <v>0</v>
      </c>
      <c r="AP319" s="16">
        <f>+AP317+AP310</f>
        <v>0</v>
      </c>
      <c r="AQ319" s="16">
        <f>+AQ317+AQ310</f>
        <v>1212197.6499999999</v>
      </c>
      <c r="AR319" s="16">
        <f t="shared" ref="AR319" si="909">+AR317+AR310</f>
        <v>0</v>
      </c>
      <c r="AS319" s="16">
        <f>+AS317+AS310</f>
        <v>0</v>
      </c>
      <c r="AT319" s="16">
        <f t="shared" ref="AT319" si="910">+AT317+AT310</f>
        <v>0</v>
      </c>
      <c r="AU319" s="16">
        <f t="shared" ref="AU319" si="911">+AU317+AU310</f>
        <v>0</v>
      </c>
      <c r="AV319" s="16">
        <f t="shared" ref="AV319" si="912">+AV317+AV310</f>
        <v>0</v>
      </c>
      <c r="AW319" s="16">
        <f>+AW317+AW310</f>
        <v>0</v>
      </c>
      <c r="AX319" s="16">
        <f t="shared" ref="AX319" si="913">+AX317+AX310</f>
        <v>0</v>
      </c>
      <c r="AY319" s="16">
        <f t="shared" ref="AY319:BF319" si="914">+AY317+AY310</f>
        <v>0</v>
      </c>
      <c r="AZ319" s="16">
        <f t="shared" si="914"/>
        <v>0</v>
      </c>
      <c r="BA319" s="16">
        <f t="shared" si="914"/>
        <v>0</v>
      </c>
      <c r="BB319" s="16">
        <f t="shared" si="914"/>
        <v>0</v>
      </c>
      <c r="BC319" s="16">
        <f t="shared" si="914"/>
        <v>0</v>
      </c>
      <c r="BD319" s="16">
        <f t="shared" si="914"/>
        <v>0</v>
      </c>
      <c r="BE319" s="16">
        <f t="shared" si="914"/>
        <v>0</v>
      </c>
      <c r="BF319" s="16">
        <f t="shared" si="914"/>
        <v>0</v>
      </c>
    </row>
    <row r="320" spans="1:58" ht="14.15" customHeight="1">
      <c r="A320" s="404">
        <f t="shared" si="829"/>
        <v>314</v>
      </c>
      <c r="B320" s="123"/>
      <c r="C320" s="123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</row>
    <row r="321" spans="1:58" ht="14.15" customHeight="1">
      <c r="A321" s="404">
        <f t="shared" si="829"/>
        <v>315</v>
      </c>
      <c r="B321" s="13" t="s">
        <v>200</v>
      </c>
      <c r="C321" s="13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</row>
    <row r="322" spans="1:58" ht="14.15" customHeight="1">
      <c r="A322" s="404">
        <f t="shared" si="829"/>
        <v>316</v>
      </c>
      <c r="B322" s="22" t="str">
        <f>'Sch 4'!B335</f>
        <v xml:space="preserve">     549&amp;550-Misc Other Power Generation Expense</v>
      </c>
      <c r="C322" s="38">
        <f>SUM(D322:BF322)</f>
        <v>0</v>
      </c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>
        <v>0</v>
      </c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</row>
    <row r="323" spans="1:58" ht="14.15" customHeight="1">
      <c r="A323" s="404">
        <f t="shared" si="829"/>
        <v>317</v>
      </c>
      <c r="B323" s="22" t="s">
        <v>201</v>
      </c>
      <c r="C323" s="38">
        <f>SUM(D323:BF323)</f>
        <v>-1919782.4796493505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394">
        <v>-1596917.7332181961</v>
      </c>
      <c r="R323" s="10">
        <v>-428368.74643115525</v>
      </c>
      <c r="S323" s="10">
        <v>0</v>
      </c>
      <c r="T323" s="10">
        <v>0</v>
      </c>
      <c r="U323" s="10">
        <v>105504.00000000093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0">
        <v>0</v>
      </c>
      <c r="AM323" s="10">
        <v>0</v>
      </c>
      <c r="AN323" s="10">
        <v>0</v>
      </c>
      <c r="AO323" s="10">
        <v>0</v>
      </c>
      <c r="AP323" s="10">
        <v>0</v>
      </c>
      <c r="AQ323" s="10">
        <v>0</v>
      </c>
      <c r="AR323" s="10">
        <v>0</v>
      </c>
      <c r="AS323" s="10">
        <v>0</v>
      </c>
      <c r="AT323" s="10">
        <v>0</v>
      </c>
      <c r="AU323" s="10">
        <v>0</v>
      </c>
      <c r="AV323" s="10">
        <v>0</v>
      </c>
      <c r="AW323" s="10">
        <v>0</v>
      </c>
      <c r="AX323" s="10">
        <v>0</v>
      </c>
      <c r="AY323" s="10">
        <v>0</v>
      </c>
      <c r="AZ323" s="10">
        <v>0</v>
      </c>
      <c r="BA323" s="10">
        <v>0</v>
      </c>
      <c r="BB323" s="10">
        <v>0</v>
      </c>
      <c r="BC323" s="10">
        <v>0</v>
      </c>
      <c r="BD323" s="10">
        <v>0</v>
      </c>
      <c r="BE323" s="10">
        <v>0</v>
      </c>
      <c r="BF323" s="10">
        <v>0</v>
      </c>
    </row>
    <row r="324" spans="1:58" ht="14.15" customHeight="1">
      <c r="A324" s="404">
        <f t="shared" si="829"/>
        <v>318</v>
      </c>
      <c r="B324" s="22" t="s">
        <v>202</v>
      </c>
      <c r="C324" s="38">
        <f>SUM(D324:BF324)</f>
        <v>2368029.9899999946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f>3880379-3268780</f>
        <v>611599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1756430.9899999946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0">
        <v>0</v>
      </c>
      <c r="AM324" s="10">
        <v>0</v>
      </c>
      <c r="AN324" s="10">
        <v>0</v>
      </c>
      <c r="AO324" s="10">
        <v>0</v>
      </c>
      <c r="AP324" s="10">
        <v>0</v>
      </c>
      <c r="AQ324" s="10">
        <v>0</v>
      </c>
      <c r="AR324" s="10">
        <v>0</v>
      </c>
      <c r="AS324" s="10">
        <v>0</v>
      </c>
      <c r="AT324" s="10">
        <v>0</v>
      </c>
      <c r="AU324" s="10">
        <v>0</v>
      </c>
      <c r="AV324" s="10">
        <v>0</v>
      </c>
      <c r="AW324" s="10">
        <v>0</v>
      </c>
      <c r="AX324" s="10">
        <v>0</v>
      </c>
      <c r="AY324" s="10">
        <v>0</v>
      </c>
      <c r="AZ324" s="10">
        <v>0</v>
      </c>
      <c r="BA324" s="10">
        <v>0</v>
      </c>
      <c r="BB324" s="10">
        <v>0</v>
      </c>
      <c r="BC324" s="10">
        <v>0</v>
      </c>
      <c r="BD324" s="10">
        <v>0</v>
      </c>
      <c r="BE324" s="10">
        <v>0</v>
      </c>
      <c r="BF324" s="10">
        <v>0</v>
      </c>
    </row>
    <row r="325" spans="1:58" ht="14.15" customHeight="1">
      <c r="A325" s="404">
        <f t="shared" si="829"/>
        <v>319</v>
      </c>
      <c r="B325" s="22" t="s">
        <v>203</v>
      </c>
      <c r="C325" s="38">
        <f>SUM(D325:BF325)</f>
        <v>949.10000000000582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949.10000000000582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0">
        <v>0</v>
      </c>
      <c r="AM325" s="10">
        <v>0</v>
      </c>
      <c r="AN325" s="10">
        <v>0</v>
      </c>
      <c r="AO325" s="10">
        <v>0</v>
      </c>
      <c r="AP325" s="10">
        <v>0</v>
      </c>
      <c r="AQ325" s="10">
        <v>0</v>
      </c>
      <c r="AR325" s="10">
        <v>0</v>
      </c>
      <c r="AS325" s="10">
        <v>0</v>
      </c>
      <c r="AT325" s="10">
        <v>0</v>
      </c>
      <c r="AU325" s="10">
        <v>0</v>
      </c>
      <c r="AV325" s="10">
        <v>0</v>
      </c>
      <c r="AW325" s="10">
        <v>0</v>
      </c>
      <c r="AX325" s="10">
        <v>0</v>
      </c>
      <c r="AY325" s="10">
        <v>0</v>
      </c>
      <c r="AZ325" s="10">
        <v>0</v>
      </c>
      <c r="BA325" s="10">
        <v>0</v>
      </c>
      <c r="BB325" s="10">
        <v>0</v>
      </c>
      <c r="BC325" s="10">
        <v>0</v>
      </c>
      <c r="BD325" s="10">
        <v>0</v>
      </c>
      <c r="BE325" s="10">
        <v>0</v>
      </c>
      <c r="BF325" s="10">
        <v>0</v>
      </c>
    </row>
    <row r="326" spans="1:58" ht="14.15" customHeight="1">
      <c r="A326" s="404">
        <f t="shared" si="829"/>
        <v>320</v>
      </c>
      <c r="B326" s="56" t="s">
        <v>204</v>
      </c>
      <c r="C326" s="38">
        <f>SUM(D326:BF326)</f>
        <v>11903.860000000102</v>
      </c>
      <c r="D326" s="43">
        <v>0</v>
      </c>
      <c r="E326" s="43">
        <v>0</v>
      </c>
      <c r="F326" s="43">
        <v>0</v>
      </c>
      <c r="G326" s="43">
        <v>0</v>
      </c>
      <c r="H326" s="43">
        <v>0</v>
      </c>
      <c r="I326" s="43">
        <v>0</v>
      </c>
      <c r="J326" s="43">
        <v>0</v>
      </c>
      <c r="K326" s="43">
        <v>0</v>
      </c>
      <c r="L326" s="43">
        <v>0</v>
      </c>
      <c r="M326" s="43">
        <v>0</v>
      </c>
      <c r="N326" s="43">
        <v>0</v>
      </c>
      <c r="O326" s="43">
        <v>0</v>
      </c>
      <c r="P326" s="43">
        <v>0</v>
      </c>
      <c r="Q326" s="43">
        <v>0</v>
      </c>
      <c r="R326" s="43">
        <v>0</v>
      </c>
      <c r="S326" s="43">
        <v>0</v>
      </c>
      <c r="T326" s="43">
        <v>0</v>
      </c>
      <c r="U326" s="43">
        <v>11903.860000000102</v>
      </c>
      <c r="V326" s="43">
        <v>0</v>
      </c>
      <c r="W326" s="43">
        <v>0</v>
      </c>
      <c r="X326" s="43">
        <v>0</v>
      </c>
      <c r="Y326" s="43">
        <v>0</v>
      </c>
      <c r="Z326" s="43">
        <v>0</v>
      </c>
      <c r="AA326" s="43">
        <v>0</v>
      </c>
      <c r="AB326" s="43">
        <v>0</v>
      </c>
      <c r="AC326" s="43">
        <v>0</v>
      </c>
      <c r="AD326" s="43">
        <v>0</v>
      </c>
      <c r="AE326" s="43">
        <v>0</v>
      </c>
      <c r="AF326" s="43">
        <v>0</v>
      </c>
      <c r="AG326" s="43">
        <v>0</v>
      </c>
      <c r="AH326" s="43">
        <v>0</v>
      </c>
      <c r="AI326" s="43">
        <v>0</v>
      </c>
      <c r="AJ326" s="43">
        <v>0</v>
      </c>
      <c r="AK326" s="43">
        <v>0</v>
      </c>
      <c r="AL326" s="43">
        <v>0</v>
      </c>
      <c r="AM326" s="43">
        <v>0</v>
      </c>
      <c r="AN326" s="43">
        <v>0</v>
      </c>
      <c r="AO326" s="43">
        <v>0</v>
      </c>
      <c r="AP326" s="43">
        <v>0</v>
      </c>
      <c r="AQ326" s="43">
        <v>0</v>
      </c>
      <c r="AR326" s="43">
        <v>0</v>
      </c>
      <c r="AS326" s="43">
        <v>0</v>
      </c>
      <c r="AT326" s="43">
        <v>0</v>
      </c>
      <c r="AU326" s="43">
        <v>0</v>
      </c>
      <c r="AV326" s="43">
        <v>0</v>
      </c>
      <c r="AW326" s="43">
        <v>0</v>
      </c>
      <c r="AX326" s="43">
        <v>0</v>
      </c>
      <c r="AY326" s="43">
        <v>0</v>
      </c>
      <c r="AZ326" s="43">
        <v>0</v>
      </c>
      <c r="BA326" s="43">
        <v>0</v>
      </c>
      <c r="BB326" s="43">
        <v>0</v>
      </c>
      <c r="BC326" s="43">
        <v>0</v>
      </c>
      <c r="BD326" s="43">
        <v>0</v>
      </c>
      <c r="BE326" s="43">
        <v>0</v>
      </c>
      <c r="BF326" s="43">
        <v>0</v>
      </c>
    </row>
    <row r="327" spans="1:58" s="21" customFormat="1" ht="14.15" customHeight="1">
      <c r="A327" s="404">
        <f t="shared" si="829"/>
        <v>321</v>
      </c>
      <c r="B327" s="20" t="s">
        <v>205</v>
      </c>
      <c r="C327" s="80">
        <f t="shared" ref="C327:I327" si="915">SUM(C322:C326)</f>
        <v>461100.4703506442</v>
      </c>
      <c r="D327" s="80">
        <f t="shared" si="915"/>
        <v>0</v>
      </c>
      <c r="E327" s="80">
        <f t="shared" si="915"/>
        <v>0</v>
      </c>
      <c r="F327" s="80">
        <f t="shared" si="915"/>
        <v>0</v>
      </c>
      <c r="G327" s="80">
        <f t="shared" si="915"/>
        <v>0</v>
      </c>
      <c r="H327" s="80">
        <f t="shared" si="915"/>
        <v>0</v>
      </c>
      <c r="I327" s="80">
        <f t="shared" si="915"/>
        <v>0</v>
      </c>
      <c r="J327" s="80">
        <f t="shared" ref="J327:AL327" si="916">SUM(J322:J326)</f>
        <v>0</v>
      </c>
      <c r="K327" s="80">
        <f t="shared" ref="K327:U327" si="917">SUM(K322:K326)</f>
        <v>0</v>
      </c>
      <c r="L327" s="80">
        <f t="shared" si="917"/>
        <v>0</v>
      </c>
      <c r="M327" s="80">
        <f t="shared" si="917"/>
        <v>611599</v>
      </c>
      <c r="N327" s="80">
        <f t="shared" si="917"/>
        <v>0</v>
      </c>
      <c r="O327" s="80">
        <f t="shared" si="917"/>
        <v>0</v>
      </c>
      <c r="P327" s="80">
        <f t="shared" si="917"/>
        <v>0</v>
      </c>
      <c r="Q327" s="80">
        <f t="shared" si="917"/>
        <v>-1596917.7332181961</v>
      </c>
      <c r="R327" s="80">
        <f t="shared" si="917"/>
        <v>-428368.74643115525</v>
      </c>
      <c r="S327" s="80">
        <f t="shared" si="917"/>
        <v>0</v>
      </c>
      <c r="T327" s="80">
        <f t="shared" si="917"/>
        <v>0</v>
      </c>
      <c r="U327" s="80">
        <f t="shared" si="917"/>
        <v>1874787.9499999958</v>
      </c>
      <c r="V327" s="80">
        <f t="shared" si="916"/>
        <v>0</v>
      </c>
      <c r="W327" s="80">
        <f t="shared" ref="W327:AG327" si="918">SUM(W322:W326)</f>
        <v>0</v>
      </c>
      <c r="X327" s="80">
        <f t="shared" si="918"/>
        <v>0</v>
      </c>
      <c r="Y327" s="80">
        <f t="shared" si="918"/>
        <v>0</v>
      </c>
      <c r="Z327" s="80">
        <f t="shared" si="918"/>
        <v>0</v>
      </c>
      <c r="AA327" s="80">
        <f t="shared" si="918"/>
        <v>0</v>
      </c>
      <c r="AB327" s="80">
        <f t="shared" si="918"/>
        <v>0</v>
      </c>
      <c r="AC327" s="80">
        <f t="shared" si="918"/>
        <v>0</v>
      </c>
      <c r="AD327" s="80">
        <f t="shared" si="918"/>
        <v>0</v>
      </c>
      <c r="AE327" s="80">
        <f t="shared" si="918"/>
        <v>0</v>
      </c>
      <c r="AF327" s="80">
        <f t="shared" si="918"/>
        <v>0</v>
      </c>
      <c r="AG327" s="80">
        <f t="shared" si="918"/>
        <v>0</v>
      </c>
      <c r="AH327" s="80">
        <f t="shared" si="916"/>
        <v>0</v>
      </c>
      <c r="AI327" s="80">
        <f t="shared" si="916"/>
        <v>0</v>
      </c>
      <c r="AJ327" s="80">
        <f t="shared" si="916"/>
        <v>0</v>
      </c>
      <c r="AK327" s="80">
        <f t="shared" si="916"/>
        <v>0</v>
      </c>
      <c r="AL327" s="80">
        <f t="shared" si="916"/>
        <v>0</v>
      </c>
      <c r="AM327" s="80">
        <f t="shared" ref="AM327:AS327" si="919">SUM(AM322:AM326)</f>
        <v>0</v>
      </c>
      <c r="AN327" s="80">
        <f t="shared" si="919"/>
        <v>0</v>
      </c>
      <c r="AO327" s="80">
        <f t="shared" si="919"/>
        <v>0</v>
      </c>
      <c r="AP327" s="80">
        <f t="shared" si="919"/>
        <v>0</v>
      </c>
      <c r="AQ327" s="80">
        <f t="shared" si="919"/>
        <v>0</v>
      </c>
      <c r="AR327" s="80">
        <f t="shared" si="919"/>
        <v>0</v>
      </c>
      <c r="AS327" s="80">
        <f t="shared" si="919"/>
        <v>0</v>
      </c>
      <c r="AT327" s="80">
        <f t="shared" ref="AT327" si="920">SUM(AT322:AT326)</f>
        <v>0</v>
      </c>
      <c r="AU327" s="80">
        <f t="shared" ref="AU327" si="921">SUM(AU322:AU326)</f>
        <v>0</v>
      </c>
      <c r="AV327" s="80">
        <f>SUM(AV322:AV326)</f>
        <v>0</v>
      </c>
      <c r="AW327" s="80">
        <f>SUM(AW322:AW326)</f>
        <v>0</v>
      </c>
      <c r="AX327" s="80">
        <f t="shared" ref="AX327" si="922">SUM(AX322:AX326)</f>
        <v>0</v>
      </c>
      <c r="AY327" s="80">
        <f t="shared" ref="AY327:BF327" si="923">SUM(AY322:AY326)</f>
        <v>0</v>
      </c>
      <c r="AZ327" s="80">
        <f t="shared" si="923"/>
        <v>0</v>
      </c>
      <c r="BA327" s="80">
        <f t="shared" si="923"/>
        <v>0</v>
      </c>
      <c r="BB327" s="80">
        <f t="shared" si="923"/>
        <v>0</v>
      </c>
      <c r="BC327" s="80">
        <f t="shared" si="923"/>
        <v>0</v>
      </c>
      <c r="BD327" s="80">
        <f t="shared" si="923"/>
        <v>0</v>
      </c>
      <c r="BE327" s="80">
        <f t="shared" si="923"/>
        <v>0</v>
      </c>
      <c r="BF327" s="80">
        <f t="shared" si="923"/>
        <v>0</v>
      </c>
    </row>
    <row r="328" spans="1:58" s="21" customFormat="1" ht="14.15" customHeight="1">
      <c r="A328" s="404">
        <f t="shared" si="829"/>
        <v>322</v>
      </c>
      <c r="B328" s="20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</row>
    <row r="329" spans="1:58" ht="14.15" customHeight="1">
      <c r="A329" s="404">
        <f t="shared" si="829"/>
        <v>323</v>
      </c>
      <c r="B329" s="56" t="s">
        <v>1033</v>
      </c>
      <c r="C329" s="38">
        <f>SUM(D329:BF329)</f>
        <v>43.700000000000273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43.700000000000273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0">
        <v>0</v>
      </c>
      <c r="AM329" s="10">
        <v>0</v>
      </c>
      <c r="AN329" s="10">
        <v>0</v>
      </c>
      <c r="AO329" s="10">
        <v>0</v>
      </c>
      <c r="AP329" s="10">
        <v>0</v>
      </c>
      <c r="AQ329" s="10">
        <v>0</v>
      </c>
      <c r="AR329" s="10">
        <v>0</v>
      </c>
      <c r="AS329" s="10">
        <v>0</v>
      </c>
      <c r="AT329" s="10">
        <v>0</v>
      </c>
      <c r="AU329" s="10">
        <v>0</v>
      </c>
      <c r="AV329" s="10">
        <v>0</v>
      </c>
      <c r="AW329" s="10">
        <v>0</v>
      </c>
      <c r="AX329" s="10">
        <v>0</v>
      </c>
      <c r="AY329" s="10">
        <v>0</v>
      </c>
      <c r="AZ329" s="10">
        <v>0</v>
      </c>
      <c r="BA329" s="10">
        <v>0</v>
      </c>
      <c r="BB329" s="10">
        <v>0</v>
      </c>
      <c r="BC329" s="10">
        <v>0</v>
      </c>
      <c r="BD329" s="10">
        <v>0</v>
      </c>
      <c r="BE329" s="10">
        <v>0</v>
      </c>
      <c r="BF329" s="10">
        <v>0</v>
      </c>
    </row>
    <row r="330" spans="1:58" s="21" customFormat="1" ht="14.15" customHeight="1">
      <c r="A330" s="404">
        <f t="shared" si="829"/>
        <v>324</v>
      </c>
      <c r="B330" s="20" t="s">
        <v>1035</v>
      </c>
      <c r="C330" s="80">
        <f t="shared" ref="C330:I330" si="924">SUM(C329)</f>
        <v>43.700000000000273</v>
      </c>
      <c r="D330" s="80">
        <f t="shared" si="924"/>
        <v>0</v>
      </c>
      <c r="E330" s="80">
        <f t="shared" si="924"/>
        <v>0</v>
      </c>
      <c r="F330" s="80">
        <f t="shared" si="924"/>
        <v>0</v>
      </c>
      <c r="G330" s="80">
        <f t="shared" si="924"/>
        <v>0</v>
      </c>
      <c r="H330" s="80">
        <f t="shared" si="924"/>
        <v>0</v>
      </c>
      <c r="I330" s="80">
        <f t="shared" si="924"/>
        <v>0</v>
      </c>
      <c r="J330" s="80">
        <f t="shared" ref="J330:AM330" si="925">SUM(J329)</f>
        <v>0</v>
      </c>
      <c r="K330" s="80">
        <f t="shared" ref="K330:U330" si="926">SUM(K329)</f>
        <v>0</v>
      </c>
      <c r="L330" s="80">
        <f t="shared" si="926"/>
        <v>0</v>
      </c>
      <c r="M330" s="80">
        <f t="shared" si="926"/>
        <v>0</v>
      </c>
      <c r="N330" s="80">
        <f t="shared" si="926"/>
        <v>0</v>
      </c>
      <c r="O330" s="80">
        <f t="shared" si="926"/>
        <v>0</v>
      </c>
      <c r="P330" s="80">
        <f t="shared" si="926"/>
        <v>0</v>
      </c>
      <c r="Q330" s="80">
        <f t="shared" si="926"/>
        <v>0</v>
      </c>
      <c r="R330" s="80">
        <f t="shared" si="926"/>
        <v>0</v>
      </c>
      <c r="S330" s="80">
        <f t="shared" si="926"/>
        <v>0</v>
      </c>
      <c r="T330" s="80">
        <f t="shared" si="926"/>
        <v>0</v>
      </c>
      <c r="U330" s="80">
        <f t="shared" si="926"/>
        <v>43.700000000000273</v>
      </c>
      <c r="V330" s="80">
        <f t="shared" si="925"/>
        <v>0</v>
      </c>
      <c r="W330" s="80">
        <f t="shared" ref="W330:AG330" si="927">SUM(W329)</f>
        <v>0</v>
      </c>
      <c r="X330" s="80">
        <f t="shared" si="927"/>
        <v>0</v>
      </c>
      <c r="Y330" s="80">
        <f t="shared" si="927"/>
        <v>0</v>
      </c>
      <c r="Z330" s="80">
        <f t="shared" si="927"/>
        <v>0</v>
      </c>
      <c r="AA330" s="80">
        <f t="shared" si="927"/>
        <v>0</v>
      </c>
      <c r="AB330" s="80">
        <f t="shared" si="927"/>
        <v>0</v>
      </c>
      <c r="AC330" s="80">
        <f t="shared" si="927"/>
        <v>0</v>
      </c>
      <c r="AD330" s="80">
        <f t="shared" si="927"/>
        <v>0</v>
      </c>
      <c r="AE330" s="80">
        <f t="shared" si="927"/>
        <v>0</v>
      </c>
      <c r="AF330" s="80">
        <f t="shared" si="927"/>
        <v>0</v>
      </c>
      <c r="AG330" s="80">
        <f t="shared" si="927"/>
        <v>0</v>
      </c>
      <c r="AH330" s="80">
        <f t="shared" si="925"/>
        <v>0</v>
      </c>
      <c r="AI330" s="80">
        <f t="shared" si="925"/>
        <v>0</v>
      </c>
      <c r="AJ330" s="80">
        <f t="shared" si="925"/>
        <v>0</v>
      </c>
      <c r="AK330" s="80">
        <f t="shared" si="925"/>
        <v>0</v>
      </c>
      <c r="AL330" s="80">
        <f t="shared" si="925"/>
        <v>0</v>
      </c>
      <c r="AM330" s="80">
        <f t="shared" si="925"/>
        <v>0</v>
      </c>
      <c r="AN330" s="80">
        <f t="shared" ref="AN330:AS330" si="928">SUM(AN329)</f>
        <v>0</v>
      </c>
      <c r="AO330" s="80">
        <f t="shared" si="928"/>
        <v>0</v>
      </c>
      <c r="AP330" s="80">
        <f t="shared" si="928"/>
        <v>0</v>
      </c>
      <c r="AQ330" s="80">
        <f t="shared" si="928"/>
        <v>0</v>
      </c>
      <c r="AR330" s="80">
        <f t="shared" si="928"/>
        <v>0</v>
      </c>
      <c r="AS330" s="80">
        <f t="shared" si="928"/>
        <v>0</v>
      </c>
      <c r="AT330" s="80">
        <f t="shared" ref="AT330" si="929">SUM(AT329)</f>
        <v>0</v>
      </c>
      <c r="AU330" s="80">
        <f t="shared" ref="AU330" si="930">SUM(AU329)</f>
        <v>0</v>
      </c>
      <c r="AV330" s="80">
        <f>SUM(AV329)</f>
        <v>0</v>
      </c>
      <c r="AW330" s="80">
        <f>SUM(AW329)</f>
        <v>0</v>
      </c>
      <c r="AX330" s="80">
        <f t="shared" ref="AX330" si="931">SUM(AX329)</f>
        <v>0</v>
      </c>
      <c r="AY330" s="80">
        <f t="shared" ref="AY330:BE330" si="932">SUM(AY329)</f>
        <v>0</v>
      </c>
      <c r="AZ330" s="80">
        <f t="shared" si="932"/>
        <v>0</v>
      </c>
      <c r="BA330" s="80">
        <f t="shared" si="932"/>
        <v>0</v>
      </c>
      <c r="BB330" s="80">
        <f t="shared" si="932"/>
        <v>0</v>
      </c>
      <c r="BC330" s="80">
        <f t="shared" si="932"/>
        <v>0</v>
      </c>
      <c r="BD330" s="80">
        <f t="shared" si="932"/>
        <v>0</v>
      </c>
      <c r="BE330" s="80">
        <f t="shared" si="932"/>
        <v>0</v>
      </c>
      <c r="BF330" s="80">
        <f>SUM(BF329)</f>
        <v>0</v>
      </c>
    </row>
    <row r="331" spans="1:58" s="21" customFormat="1" ht="14.15" customHeight="1">
      <c r="A331" s="404">
        <f t="shared" si="829"/>
        <v>325</v>
      </c>
      <c r="B331" s="57"/>
      <c r="C331" s="145"/>
      <c r="D331" s="145"/>
      <c r="E331" s="145"/>
      <c r="F331" s="145"/>
      <c r="G331" s="145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145"/>
      <c r="AE331" s="145"/>
      <c r="AF331" s="145"/>
      <c r="AG331" s="145"/>
      <c r="AH331" s="145"/>
      <c r="AI331" s="145"/>
      <c r="AJ331" s="145"/>
      <c r="AK331" s="145"/>
      <c r="AL331" s="145"/>
      <c r="AM331" s="145"/>
      <c r="AN331" s="145"/>
      <c r="AO331" s="145"/>
      <c r="AP331" s="145"/>
      <c r="AQ331" s="145"/>
      <c r="AR331" s="145"/>
      <c r="AS331" s="145"/>
      <c r="AT331" s="145"/>
      <c r="AU331" s="145"/>
      <c r="AV331" s="145"/>
      <c r="AW331" s="145"/>
      <c r="AX331" s="145"/>
      <c r="AY331" s="145"/>
      <c r="AZ331" s="145"/>
      <c r="BA331" s="145"/>
      <c r="BB331" s="145"/>
      <c r="BC331" s="145"/>
      <c r="BD331" s="145"/>
      <c r="BE331" s="145"/>
      <c r="BF331" s="145"/>
    </row>
    <row r="332" spans="1:58" ht="14.15" customHeight="1">
      <c r="A332" s="404">
        <f t="shared" si="829"/>
        <v>326</v>
      </c>
      <c r="B332" s="20" t="s">
        <v>206</v>
      </c>
      <c r="C332" s="16">
        <f>C327+C319+C330</f>
        <v>-41409833.259649344</v>
      </c>
      <c r="D332" s="16">
        <f t="shared" ref="D332:AG332" si="933">D327+D319+D330</f>
        <v>0</v>
      </c>
      <c r="E332" s="16">
        <f t="shared" si="933"/>
        <v>0</v>
      </c>
      <c r="F332" s="16">
        <f t="shared" si="933"/>
        <v>0</v>
      </c>
      <c r="G332" s="16">
        <f t="shared" si="933"/>
        <v>0</v>
      </c>
      <c r="H332" s="16">
        <f t="shared" si="933"/>
        <v>0</v>
      </c>
      <c r="I332" s="16">
        <f t="shared" si="933"/>
        <v>0</v>
      </c>
      <c r="J332" s="16">
        <f t="shared" si="933"/>
        <v>0</v>
      </c>
      <c r="K332" s="16">
        <f t="shared" si="933"/>
        <v>0</v>
      </c>
      <c r="L332" s="16">
        <f t="shared" si="933"/>
        <v>-42632032</v>
      </c>
      <c r="M332" s="16">
        <f t="shared" si="933"/>
        <v>611599</v>
      </c>
      <c r="N332" s="16">
        <f t="shared" si="933"/>
        <v>0</v>
      </c>
      <c r="O332" s="16">
        <f t="shared" si="933"/>
        <v>0</v>
      </c>
      <c r="P332" s="16">
        <f t="shared" si="933"/>
        <v>0</v>
      </c>
      <c r="Q332" s="16">
        <f t="shared" si="933"/>
        <v>-1596917.7332181961</v>
      </c>
      <c r="R332" s="16">
        <f t="shared" si="933"/>
        <v>-428368.74643115525</v>
      </c>
      <c r="S332" s="16">
        <f t="shared" si="933"/>
        <v>0</v>
      </c>
      <c r="T332" s="16">
        <f t="shared" si="933"/>
        <v>0</v>
      </c>
      <c r="U332" s="16">
        <f t="shared" si="933"/>
        <v>4309513.5300000077</v>
      </c>
      <c r="V332" s="16">
        <f t="shared" si="933"/>
        <v>-3541349</v>
      </c>
      <c r="W332" s="16">
        <f t="shared" si="933"/>
        <v>0</v>
      </c>
      <c r="X332" s="16">
        <f t="shared" si="933"/>
        <v>0</v>
      </c>
      <c r="Y332" s="16">
        <f t="shared" si="933"/>
        <v>0</v>
      </c>
      <c r="Z332" s="16">
        <f t="shared" si="933"/>
        <v>0</v>
      </c>
      <c r="AA332" s="16">
        <f t="shared" si="933"/>
        <v>0</v>
      </c>
      <c r="AB332" s="16">
        <f t="shared" si="933"/>
        <v>8701.0299999999988</v>
      </c>
      <c r="AC332" s="16">
        <f t="shared" si="933"/>
        <v>0</v>
      </c>
      <c r="AD332" s="16">
        <f t="shared" si="933"/>
        <v>0</v>
      </c>
      <c r="AE332" s="16">
        <f t="shared" si="933"/>
        <v>0</v>
      </c>
      <c r="AF332" s="16">
        <f t="shared" si="933"/>
        <v>-741761</v>
      </c>
      <c r="AG332" s="16">
        <f t="shared" si="933"/>
        <v>1388584.01</v>
      </c>
      <c r="AH332" s="16">
        <f t="shared" ref="AH332:AM332" si="934">AH327+AH319+AH330</f>
        <v>0</v>
      </c>
      <c r="AI332" s="16">
        <f t="shared" si="934"/>
        <v>0</v>
      </c>
      <c r="AJ332" s="16">
        <f t="shared" si="934"/>
        <v>0</v>
      </c>
      <c r="AK332" s="16">
        <f t="shared" si="934"/>
        <v>0</v>
      </c>
      <c r="AL332" s="16">
        <f t="shared" si="934"/>
        <v>0</v>
      </c>
      <c r="AM332" s="16">
        <f t="shared" si="934"/>
        <v>0</v>
      </c>
      <c r="AN332" s="16">
        <f t="shared" ref="AN332:AS332" si="935">AN327+AN319+AN330</f>
        <v>0</v>
      </c>
      <c r="AO332" s="16">
        <f t="shared" si="935"/>
        <v>0</v>
      </c>
      <c r="AP332" s="16">
        <f t="shared" si="935"/>
        <v>0</v>
      </c>
      <c r="AQ332" s="16">
        <f t="shared" si="935"/>
        <v>1212197.6499999999</v>
      </c>
      <c r="AR332" s="16">
        <f t="shared" si="935"/>
        <v>0</v>
      </c>
      <c r="AS332" s="16">
        <f t="shared" si="935"/>
        <v>0</v>
      </c>
      <c r="AT332" s="16">
        <f t="shared" ref="AT332" si="936">AT327+AT319+AT330</f>
        <v>0</v>
      </c>
      <c r="AU332" s="16">
        <f t="shared" ref="AU332" si="937">AU327+AU319+AU330</f>
        <v>0</v>
      </c>
      <c r="AV332" s="16">
        <f>AV327+AV319+AV330</f>
        <v>0</v>
      </c>
      <c r="AW332" s="16">
        <f>AW327+AW319+AW330</f>
        <v>0</v>
      </c>
      <c r="AX332" s="16">
        <f t="shared" ref="AX332" si="938">AX327+AX319+AX330</f>
        <v>0</v>
      </c>
      <c r="AY332" s="16">
        <f t="shared" ref="AY332:BE332" si="939">AY327+AY319+AY330</f>
        <v>0</v>
      </c>
      <c r="AZ332" s="16">
        <f t="shared" si="939"/>
        <v>0</v>
      </c>
      <c r="BA332" s="16">
        <f t="shared" si="939"/>
        <v>0</v>
      </c>
      <c r="BB332" s="16">
        <f t="shared" si="939"/>
        <v>0</v>
      </c>
      <c r="BC332" s="16">
        <f t="shared" si="939"/>
        <v>0</v>
      </c>
      <c r="BD332" s="16">
        <f t="shared" si="939"/>
        <v>0</v>
      </c>
      <c r="BE332" s="16">
        <f t="shared" si="939"/>
        <v>0</v>
      </c>
      <c r="BF332" s="16">
        <f>BF327+BF319+BF330</f>
        <v>0</v>
      </c>
    </row>
    <row r="333" spans="1:58" ht="14.15" customHeight="1">
      <c r="A333" s="404">
        <f t="shared" si="829"/>
        <v>327</v>
      </c>
      <c r="B333" s="123"/>
      <c r="C333" s="123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</row>
    <row r="334" spans="1:58" ht="14.15" customHeight="1">
      <c r="A334" s="404">
        <f t="shared" si="829"/>
        <v>328</v>
      </c>
      <c r="B334" s="13" t="s">
        <v>207</v>
      </c>
      <c r="C334" s="13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</row>
    <row r="335" spans="1:58" ht="14.15" customHeight="1">
      <c r="A335" s="404">
        <f t="shared" si="829"/>
        <v>329</v>
      </c>
      <c r="B335" s="22" t="s">
        <v>208</v>
      </c>
      <c r="C335" s="38">
        <f t="shared" ref="C335:C346" si="940">SUM(D335:BF335)</f>
        <v>29211.870000000057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30263.060000000056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-1051.19</v>
      </c>
      <c r="AH335" s="10">
        <v>0</v>
      </c>
      <c r="AI335" s="10">
        <v>0</v>
      </c>
      <c r="AJ335" s="10">
        <v>0</v>
      </c>
      <c r="AK335" s="10">
        <v>0</v>
      </c>
      <c r="AL335" s="10">
        <v>0</v>
      </c>
      <c r="AM335" s="10">
        <v>0</v>
      </c>
      <c r="AN335" s="10">
        <v>0</v>
      </c>
      <c r="AO335" s="10">
        <v>0</v>
      </c>
      <c r="AP335" s="10">
        <v>0</v>
      </c>
      <c r="AQ335" s="10">
        <v>0</v>
      </c>
      <c r="AR335" s="10">
        <v>0</v>
      </c>
      <c r="AS335" s="10">
        <v>0</v>
      </c>
      <c r="AT335" s="10">
        <v>0</v>
      </c>
      <c r="AU335" s="10">
        <v>0</v>
      </c>
      <c r="AV335" s="10">
        <v>0</v>
      </c>
      <c r="AW335" s="10">
        <v>0</v>
      </c>
      <c r="AX335" s="10">
        <v>0</v>
      </c>
      <c r="AY335" s="10">
        <v>0</v>
      </c>
      <c r="AZ335" s="10">
        <v>0</v>
      </c>
      <c r="BA335" s="10">
        <v>0</v>
      </c>
      <c r="BB335" s="10">
        <v>0</v>
      </c>
      <c r="BC335" s="10">
        <v>0</v>
      </c>
      <c r="BD335" s="10">
        <v>0</v>
      </c>
      <c r="BE335" s="10">
        <v>0</v>
      </c>
      <c r="BF335" s="10">
        <v>0</v>
      </c>
    </row>
    <row r="336" spans="1:58" ht="14.15" customHeight="1">
      <c r="A336" s="404">
        <f t="shared" si="829"/>
        <v>330</v>
      </c>
      <c r="B336" s="22" t="s">
        <v>318</v>
      </c>
      <c r="C336" s="38">
        <f t="shared" si="940"/>
        <v>8761.7199999999721</v>
      </c>
      <c r="D336" s="10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  <c r="M336" s="10">
        <v>0</v>
      </c>
      <c r="N336" s="10">
        <v>0</v>
      </c>
      <c r="O336" s="10">
        <v>0</v>
      </c>
      <c r="P336" s="10">
        <v>0</v>
      </c>
      <c r="Q336" s="10">
        <v>0</v>
      </c>
      <c r="R336" s="10">
        <v>0</v>
      </c>
      <c r="S336" s="10">
        <v>0</v>
      </c>
      <c r="T336" s="10">
        <v>0</v>
      </c>
      <c r="U336" s="10">
        <v>8761.7199999999721</v>
      </c>
      <c r="V336" s="10">
        <v>0</v>
      </c>
      <c r="W336" s="10">
        <v>0</v>
      </c>
      <c r="X336" s="10">
        <v>0</v>
      </c>
      <c r="Y336" s="10">
        <v>0</v>
      </c>
      <c r="Z336" s="10">
        <v>0</v>
      </c>
      <c r="AA336" s="10">
        <v>0</v>
      </c>
      <c r="AB336" s="10">
        <v>0</v>
      </c>
      <c r="AC336" s="10">
        <v>0</v>
      </c>
      <c r="AD336" s="10">
        <v>0</v>
      </c>
      <c r="AE336" s="10">
        <v>0</v>
      </c>
      <c r="AF336" s="10">
        <v>0</v>
      </c>
      <c r="AG336" s="10">
        <v>0</v>
      </c>
      <c r="AH336" s="10">
        <v>0</v>
      </c>
      <c r="AI336" s="10">
        <v>0</v>
      </c>
      <c r="AJ336" s="10">
        <v>0</v>
      </c>
      <c r="AK336" s="10">
        <v>0</v>
      </c>
      <c r="AL336" s="10">
        <v>0</v>
      </c>
      <c r="AM336" s="10">
        <v>0</v>
      </c>
      <c r="AN336" s="10">
        <v>0</v>
      </c>
      <c r="AO336" s="10">
        <v>0</v>
      </c>
      <c r="AP336" s="10">
        <v>0</v>
      </c>
      <c r="AQ336" s="10">
        <v>0</v>
      </c>
      <c r="AR336" s="10">
        <v>0</v>
      </c>
      <c r="AS336" s="10">
        <v>0</v>
      </c>
      <c r="AT336" s="10">
        <v>0</v>
      </c>
      <c r="AU336" s="10">
        <v>0</v>
      </c>
      <c r="AV336" s="10">
        <v>0</v>
      </c>
      <c r="AW336" s="10">
        <v>0</v>
      </c>
      <c r="AX336" s="10">
        <v>0</v>
      </c>
      <c r="AY336" s="10">
        <v>0</v>
      </c>
      <c r="AZ336" s="10">
        <v>0</v>
      </c>
      <c r="BA336" s="10">
        <v>0</v>
      </c>
      <c r="BB336" s="10">
        <v>0</v>
      </c>
      <c r="BC336" s="10">
        <v>0</v>
      </c>
      <c r="BD336" s="10">
        <v>0</v>
      </c>
      <c r="BE336" s="10">
        <v>0</v>
      </c>
      <c r="BF336" s="10">
        <v>0</v>
      </c>
    </row>
    <row r="337" spans="1:58" ht="14.15" customHeight="1">
      <c r="A337" s="404">
        <f t="shared" si="829"/>
        <v>331</v>
      </c>
      <c r="B337" s="22" t="s">
        <v>894</v>
      </c>
      <c r="C337" s="38">
        <f t="shared" si="940"/>
        <v>27438.490000000224</v>
      </c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>
        <v>27438.490000000224</v>
      </c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</row>
    <row r="338" spans="1:58" ht="14.15" customHeight="1">
      <c r="A338" s="480">
        <f t="shared" si="829"/>
        <v>332</v>
      </c>
      <c r="B338" s="22" t="s">
        <v>209</v>
      </c>
      <c r="C338" s="38">
        <f t="shared" si="940"/>
        <v>3667.7600000000093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3667.7600000000093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0">
        <v>0</v>
      </c>
      <c r="AM338" s="10">
        <v>0</v>
      </c>
      <c r="AN338" s="10">
        <v>0</v>
      </c>
      <c r="AO338" s="10">
        <v>0</v>
      </c>
      <c r="AP338" s="10">
        <v>0</v>
      </c>
      <c r="AQ338" s="10">
        <v>0</v>
      </c>
      <c r="AR338" s="10">
        <v>0</v>
      </c>
      <c r="AS338" s="10">
        <v>0</v>
      </c>
      <c r="AT338" s="10">
        <v>0</v>
      </c>
      <c r="AU338" s="10">
        <v>0</v>
      </c>
      <c r="AV338" s="10">
        <v>0</v>
      </c>
      <c r="AW338" s="10">
        <v>0</v>
      </c>
      <c r="AX338" s="10">
        <v>0</v>
      </c>
      <c r="AY338" s="10">
        <v>0</v>
      </c>
      <c r="AZ338" s="10">
        <v>0</v>
      </c>
      <c r="BA338" s="10">
        <v>0</v>
      </c>
      <c r="BB338" s="10">
        <v>0</v>
      </c>
      <c r="BC338" s="10">
        <v>0</v>
      </c>
      <c r="BD338" s="10">
        <v>0</v>
      </c>
      <c r="BE338" s="10">
        <v>0</v>
      </c>
      <c r="BF338" s="10">
        <v>0</v>
      </c>
    </row>
    <row r="339" spans="1:58" s="21" customFormat="1" ht="14.15" customHeight="1">
      <c r="A339" s="480">
        <f t="shared" si="829"/>
        <v>333</v>
      </c>
      <c r="B339" s="22" t="s">
        <v>210</v>
      </c>
      <c r="C339" s="38">
        <f t="shared" si="940"/>
        <v>327.9900000000016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327.9900000000016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0">
        <v>0</v>
      </c>
      <c r="AM339" s="10">
        <v>0</v>
      </c>
      <c r="AN339" s="10">
        <v>0</v>
      </c>
      <c r="AO339" s="10">
        <v>0</v>
      </c>
      <c r="AP339" s="10">
        <v>0</v>
      </c>
      <c r="AQ339" s="10">
        <v>0</v>
      </c>
      <c r="AR339" s="10">
        <v>0</v>
      </c>
      <c r="AS339" s="10">
        <v>0</v>
      </c>
      <c r="AT339" s="10">
        <v>0</v>
      </c>
      <c r="AU339" s="10">
        <v>0</v>
      </c>
      <c r="AV339" s="10">
        <v>0</v>
      </c>
      <c r="AW339" s="10">
        <v>0</v>
      </c>
      <c r="AX339" s="10">
        <v>0</v>
      </c>
      <c r="AY339" s="10">
        <v>0</v>
      </c>
      <c r="AZ339" s="10">
        <v>0</v>
      </c>
      <c r="BA339" s="10">
        <v>0</v>
      </c>
      <c r="BB339" s="10">
        <v>0</v>
      </c>
      <c r="BC339" s="10">
        <v>0</v>
      </c>
      <c r="BD339" s="10">
        <v>0</v>
      </c>
      <c r="BE339" s="10">
        <v>0</v>
      </c>
      <c r="BF339" s="10">
        <v>0</v>
      </c>
    </row>
    <row r="340" spans="1:58" s="21" customFormat="1" ht="14.15" customHeight="1">
      <c r="A340" s="480">
        <f t="shared" si="829"/>
        <v>334</v>
      </c>
      <c r="B340" s="22" t="s">
        <v>211</v>
      </c>
      <c r="C340" s="38">
        <f t="shared" si="940"/>
        <v>-0.15000000000000036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-0.15000000000000036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0">
        <v>0</v>
      </c>
      <c r="AM340" s="10">
        <v>0</v>
      </c>
      <c r="AN340" s="10">
        <v>0</v>
      </c>
      <c r="AO340" s="10">
        <v>0</v>
      </c>
      <c r="AP340" s="10">
        <v>0</v>
      </c>
      <c r="AQ340" s="10">
        <v>0</v>
      </c>
      <c r="AR340" s="10">
        <v>0</v>
      </c>
      <c r="AS340" s="10">
        <v>0</v>
      </c>
      <c r="AT340" s="10">
        <v>0</v>
      </c>
      <c r="AU340" s="10">
        <v>0</v>
      </c>
      <c r="AV340" s="10">
        <v>0</v>
      </c>
      <c r="AW340" s="10">
        <v>0</v>
      </c>
      <c r="AX340" s="10">
        <v>0</v>
      </c>
      <c r="AY340" s="10">
        <v>0</v>
      </c>
      <c r="AZ340" s="10">
        <v>0</v>
      </c>
      <c r="BA340" s="10">
        <v>0</v>
      </c>
      <c r="BB340" s="10">
        <v>0</v>
      </c>
      <c r="BC340" s="10">
        <v>0</v>
      </c>
      <c r="BD340" s="10">
        <v>0</v>
      </c>
      <c r="BE340" s="10">
        <v>0</v>
      </c>
      <c r="BF340" s="10">
        <v>0</v>
      </c>
    </row>
    <row r="341" spans="1:58" s="21" customFormat="1" ht="14.15" customHeight="1">
      <c r="A341" s="404">
        <f t="shared" ref="A341:A404" si="941">+A340+1</f>
        <v>335</v>
      </c>
      <c r="B341" s="22" t="s">
        <v>767</v>
      </c>
      <c r="C341" s="38">
        <f t="shared" si="940"/>
        <v>5725019.8200000226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f>18050+5588533+45649+72788</f>
        <v>5725020</v>
      </c>
      <c r="T341" s="10">
        <v>0</v>
      </c>
      <c r="U341" s="10">
        <v>-0.17999997735023499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0">
        <v>0</v>
      </c>
      <c r="AM341" s="10">
        <v>0</v>
      </c>
      <c r="AN341" s="10">
        <v>0</v>
      </c>
      <c r="AO341" s="10">
        <v>0</v>
      </c>
      <c r="AP341" s="10">
        <v>0</v>
      </c>
      <c r="AQ341" s="10">
        <v>0</v>
      </c>
      <c r="AR341" s="10">
        <v>0</v>
      </c>
      <c r="AS341" s="10">
        <v>0</v>
      </c>
      <c r="AT341" s="10">
        <v>0</v>
      </c>
      <c r="AU341" s="10">
        <v>0</v>
      </c>
      <c r="AV341" s="10">
        <v>0</v>
      </c>
      <c r="AW341" s="10">
        <v>0</v>
      </c>
      <c r="AX341" s="10">
        <v>0</v>
      </c>
      <c r="AY341" s="10">
        <v>0</v>
      </c>
      <c r="AZ341" s="10">
        <v>0</v>
      </c>
      <c r="BA341" s="10">
        <v>0</v>
      </c>
      <c r="BB341" s="10">
        <v>0</v>
      </c>
      <c r="BC341" s="10">
        <v>0</v>
      </c>
      <c r="BD341" s="10">
        <v>0</v>
      </c>
      <c r="BE341" s="10">
        <v>0</v>
      </c>
      <c r="BF341" s="10">
        <v>0</v>
      </c>
    </row>
    <row r="342" spans="1:58" s="21" customFormat="1" ht="14.15" customHeight="1">
      <c r="A342" s="404">
        <f t="shared" si="941"/>
        <v>336</v>
      </c>
      <c r="B342" s="22" t="s">
        <v>811</v>
      </c>
      <c r="C342" s="38">
        <f t="shared" si="940"/>
        <v>0.17000000001280569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0.17000000001280569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0">
        <v>0</v>
      </c>
      <c r="AM342" s="10">
        <v>0</v>
      </c>
      <c r="AN342" s="10">
        <v>0</v>
      </c>
      <c r="AO342" s="10">
        <v>0</v>
      </c>
      <c r="AP342" s="10">
        <v>0</v>
      </c>
      <c r="AQ342" s="10">
        <v>0</v>
      </c>
      <c r="AR342" s="10">
        <v>0</v>
      </c>
      <c r="AS342" s="10">
        <v>0</v>
      </c>
      <c r="AT342" s="10">
        <v>0</v>
      </c>
      <c r="AU342" s="10">
        <v>0</v>
      </c>
      <c r="AV342" s="10">
        <v>0</v>
      </c>
      <c r="AW342" s="10">
        <v>0</v>
      </c>
      <c r="AX342" s="10">
        <v>0</v>
      </c>
      <c r="AY342" s="10">
        <v>0</v>
      </c>
      <c r="AZ342" s="10">
        <v>0</v>
      </c>
      <c r="BA342" s="10">
        <v>0</v>
      </c>
      <c r="BB342" s="10">
        <v>0</v>
      </c>
      <c r="BC342" s="10">
        <v>0</v>
      </c>
      <c r="BD342" s="10">
        <v>0</v>
      </c>
      <c r="BE342" s="10">
        <v>0</v>
      </c>
      <c r="BF342" s="10">
        <v>0</v>
      </c>
    </row>
    <row r="343" spans="1:58" s="21" customFormat="1" ht="14.15" customHeight="1">
      <c r="A343" s="404">
        <f t="shared" si="941"/>
        <v>337</v>
      </c>
      <c r="B343" s="22" t="s">
        <v>766</v>
      </c>
      <c r="C343" s="38">
        <f t="shared" si="940"/>
        <v>1479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1479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0">
        <v>0</v>
      </c>
      <c r="AM343" s="10">
        <v>0</v>
      </c>
      <c r="AN343" s="10">
        <v>0</v>
      </c>
      <c r="AO343" s="10">
        <v>0</v>
      </c>
      <c r="AP343" s="10">
        <v>0</v>
      </c>
      <c r="AQ343" s="10">
        <v>0</v>
      </c>
      <c r="AR343" s="10">
        <v>0</v>
      </c>
      <c r="AS343" s="10">
        <v>0</v>
      </c>
      <c r="AT343" s="10">
        <v>0</v>
      </c>
      <c r="AU343" s="10">
        <v>0</v>
      </c>
      <c r="AV343" s="10">
        <v>0</v>
      </c>
      <c r="AW343" s="10">
        <v>0</v>
      </c>
      <c r="AX343" s="10">
        <v>0</v>
      </c>
      <c r="AY343" s="10">
        <v>0</v>
      </c>
      <c r="AZ343" s="10">
        <v>0</v>
      </c>
      <c r="BA343" s="10">
        <v>0</v>
      </c>
      <c r="BB343" s="10">
        <v>0</v>
      </c>
      <c r="BC343" s="10">
        <v>0</v>
      </c>
      <c r="BD343" s="10">
        <v>0</v>
      </c>
      <c r="BE343" s="10">
        <v>0</v>
      </c>
      <c r="BF343" s="10">
        <v>0</v>
      </c>
    </row>
    <row r="344" spans="1:58" s="21" customFormat="1" ht="14.15" customHeight="1">
      <c r="A344" s="404">
        <f t="shared" si="941"/>
        <v>338</v>
      </c>
      <c r="B344" s="22" t="s">
        <v>812</v>
      </c>
      <c r="C344" s="38">
        <f t="shared" si="940"/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0">
        <v>0</v>
      </c>
      <c r="AM344" s="10">
        <v>0</v>
      </c>
      <c r="AN344" s="10">
        <v>0</v>
      </c>
      <c r="AO344" s="10">
        <v>0</v>
      </c>
      <c r="AP344" s="10">
        <v>0</v>
      </c>
      <c r="AQ344" s="10">
        <v>0</v>
      </c>
      <c r="AR344" s="10">
        <v>0</v>
      </c>
      <c r="AS344" s="10">
        <v>0</v>
      </c>
      <c r="AT344" s="10">
        <v>0</v>
      </c>
      <c r="AU344" s="10">
        <v>0</v>
      </c>
      <c r="AV344" s="10">
        <v>0</v>
      </c>
      <c r="AW344" s="10">
        <v>0</v>
      </c>
      <c r="AX344" s="10">
        <v>0</v>
      </c>
      <c r="AY344" s="10">
        <v>0</v>
      </c>
      <c r="AZ344" s="10">
        <v>0</v>
      </c>
      <c r="BA344" s="10">
        <v>0</v>
      </c>
      <c r="BB344" s="10">
        <v>0</v>
      </c>
      <c r="BC344" s="10">
        <v>0</v>
      </c>
      <c r="BD344" s="10">
        <v>0</v>
      </c>
      <c r="BE344" s="10">
        <v>0</v>
      </c>
      <c r="BF344" s="10">
        <v>0</v>
      </c>
    </row>
    <row r="345" spans="1:58" s="21" customFormat="1" ht="14.15" customHeight="1">
      <c r="A345" s="404">
        <f t="shared" si="941"/>
        <v>339</v>
      </c>
      <c r="B345" s="22" t="s">
        <v>212</v>
      </c>
      <c r="C345" s="38">
        <f t="shared" si="940"/>
        <v>-4154449.85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-4174374.15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16590.75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3333.55</v>
      </c>
      <c r="AH345" s="10">
        <v>0</v>
      </c>
      <c r="AI345" s="10">
        <v>0</v>
      </c>
      <c r="AJ345" s="10">
        <v>0</v>
      </c>
      <c r="AK345" s="10">
        <v>0</v>
      </c>
      <c r="AL345" s="10">
        <v>0</v>
      </c>
      <c r="AM345" s="10">
        <v>0</v>
      </c>
      <c r="AN345" s="10">
        <v>0</v>
      </c>
      <c r="AO345" s="10">
        <v>0</v>
      </c>
      <c r="AP345" s="10">
        <v>0</v>
      </c>
      <c r="AQ345" s="10">
        <v>0</v>
      </c>
      <c r="AR345" s="10">
        <v>0</v>
      </c>
      <c r="AS345" s="10">
        <v>0</v>
      </c>
      <c r="AT345" s="10">
        <v>0</v>
      </c>
      <c r="AU345" s="10">
        <v>0</v>
      </c>
      <c r="AV345" s="10">
        <v>0</v>
      </c>
      <c r="AW345" s="10">
        <v>0</v>
      </c>
      <c r="AX345" s="10">
        <v>0</v>
      </c>
      <c r="AY345" s="10">
        <v>0</v>
      </c>
      <c r="AZ345" s="10">
        <v>0</v>
      </c>
      <c r="BA345" s="10">
        <v>0</v>
      </c>
      <c r="BB345" s="10">
        <v>0</v>
      </c>
      <c r="BC345" s="10">
        <v>0</v>
      </c>
      <c r="BD345" s="10">
        <v>0</v>
      </c>
      <c r="BE345" s="10">
        <v>0</v>
      </c>
      <c r="BF345" s="10">
        <v>0</v>
      </c>
    </row>
    <row r="346" spans="1:58" ht="14.15" customHeight="1">
      <c r="A346" s="404">
        <f t="shared" si="941"/>
        <v>340</v>
      </c>
      <c r="B346" s="56" t="s">
        <v>213</v>
      </c>
      <c r="C346" s="38">
        <f t="shared" si="940"/>
        <v>4</v>
      </c>
      <c r="D346" s="43">
        <v>0</v>
      </c>
      <c r="E346" s="43">
        <v>0</v>
      </c>
      <c r="F346" s="43">
        <v>0</v>
      </c>
      <c r="G346" s="43">
        <v>0</v>
      </c>
      <c r="H346" s="43">
        <v>0</v>
      </c>
      <c r="I346" s="43">
        <v>0</v>
      </c>
      <c r="J346" s="43">
        <v>0</v>
      </c>
      <c r="K346" s="43">
        <v>0</v>
      </c>
      <c r="L346" s="43">
        <v>0</v>
      </c>
      <c r="M346" s="43">
        <v>0</v>
      </c>
      <c r="N346" s="43">
        <v>0</v>
      </c>
      <c r="O346" s="43">
        <v>0</v>
      </c>
      <c r="P346" s="43">
        <v>0</v>
      </c>
      <c r="Q346" s="43">
        <v>0</v>
      </c>
      <c r="R346" s="43">
        <v>0</v>
      </c>
      <c r="S346" s="43">
        <v>0</v>
      </c>
      <c r="T346" s="43">
        <v>0</v>
      </c>
      <c r="U346" s="43">
        <v>4</v>
      </c>
      <c r="V346" s="43">
        <v>0</v>
      </c>
      <c r="W346" s="43">
        <v>0</v>
      </c>
      <c r="X346" s="43">
        <v>0</v>
      </c>
      <c r="Y346" s="43">
        <v>0</v>
      </c>
      <c r="Z346" s="43">
        <v>0</v>
      </c>
      <c r="AA346" s="43">
        <v>0</v>
      </c>
      <c r="AB346" s="43">
        <v>0</v>
      </c>
      <c r="AC346" s="43">
        <v>0</v>
      </c>
      <c r="AD346" s="43">
        <v>0</v>
      </c>
      <c r="AE346" s="43">
        <v>0</v>
      </c>
      <c r="AF346" s="43">
        <v>0</v>
      </c>
      <c r="AG346" s="43">
        <v>0</v>
      </c>
      <c r="AH346" s="43">
        <v>0</v>
      </c>
      <c r="AI346" s="43">
        <v>0</v>
      </c>
      <c r="AJ346" s="43">
        <v>0</v>
      </c>
      <c r="AK346" s="43">
        <v>0</v>
      </c>
      <c r="AL346" s="43">
        <v>0</v>
      </c>
      <c r="AM346" s="43">
        <v>0</v>
      </c>
      <c r="AN346" s="43">
        <v>0</v>
      </c>
      <c r="AO346" s="43">
        <v>0</v>
      </c>
      <c r="AP346" s="43">
        <v>0</v>
      </c>
      <c r="AQ346" s="43">
        <v>0</v>
      </c>
      <c r="AR346" s="43">
        <v>0</v>
      </c>
      <c r="AS346" s="43">
        <v>0</v>
      </c>
      <c r="AT346" s="43">
        <v>0</v>
      </c>
      <c r="AU346" s="43">
        <v>0</v>
      </c>
      <c r="AV346" s="43">
        <v>0</v>
      </c>
      <c r="AW346" s="43">
        <v>0</v>
      </c>
      <c r="AX346" s="43">
        <v>0</v>
      </c>
      <c r="AY346" s="43">
        <v>0</v>
      </c>
      <c r="AZ346" s="43">
        <v>0</v>
      </c>
      <c r="BA346" s="43">
        <v>0</v>
      </c>
      <c r="BB346" s="43">
        <v>0</v>
      </c>
      <c r="BC346" s="43">
        <v>0</v>
      </c>
      <c r="BD346" s="43">
        <v>0</v>
      </c>
      <c r="BE346" s="43">
        <v>0</v>
      </c>
      <c r="BF346" s="43">
        <v>0</v>
      </c>
    </row>
    <row r="347" spans="1:58" ht="14.15" customHeight="1">
      <c r="A347" s="404">
        <f t="shared" si="941"/>
        <v>341</v>
      </c>
      <c r="B347" s="20" t="s">
        <v>214</v>
      </c>
      <c r="C347" s="80">
        <f t="shared" ref="C347:V347" si="942">SUM(C335:C346)</f>
        <v>1641460.8200000231</v>
      </c>
      <c r="D347" s="80">
        <f t="shared" ref="D347:I347" si="943">SUM(D335:D346)</f>
        <v>0</v>
      </c>
      <c r="E347" s="80">
        <f t="shared" si="943"/>
        <v>0</v>
      </c>
      <c r="F347" s="80">
        <f t="shared" si="943"/>
        <v>0</v>
      </c>
      <c r="G347" s="80">
        <f t="shared" si="943"/>
        <v>0</v>
      </c>
      <c r="H347" s="80">
        <f t="shared" si="943"/>
        <v>0</v>
      </c>
      <c r="I347" s="80">
        <f t="shared" si="943"/>
        <v>0</v>
      </c>
      <c r="J347" s="80">
        <f t="shared" si="942"/>
        <v>0</v>
      </c>
      <c r="K347" s="80">
        <f t="shared" ref="K347:U347" si="944">SUM(K335:K346)</f>
        <v>0</v>
      </c>
      <c r="L347" s="80">
        <f t="shared" si="944"/>
        <v>0</v>
      </c>
      <c r="M347" s="80">
        <f t="shared" si="944"/>
        <v>-4174374.15</v>
      </c>
      <c r="N347" s="80">
        <f t="shared" si="944"/>
        <v>0</v>
      </c>
      <c r="O347" s="80">
        <f t="shared" si="944"/>
        <v>0</v>
      </c>
      <c r="P347" s="80">
        <f t="shared" si="944"/>
        <v>0</v>
      </c>
      <c r="Q347" s="80">
        <f t="shared" si="944"/>
        <v>0</v>
      </c>
      <c r="R347" s="80">
        <f t="shared" si="944"/>
        <v>0</v>
      </c>
      <c r="S347" s="80">
        <f t="shared" si="944"/>
        <v>5725020</v>
      </c>
      <c r="T347" s="80">
        <f t="shared" si="944"/>
        <v>0</v>
      </c>
      <c r="U347" s="80">
        <f t="shared" si="944"/>
        <v>88532.610000022934</v>
      </c>
      <c r="V347" s="80">
        <f t="shared" si="942"/>
        <v>0</v>
      </c>
      <c r="W347" s="80">
        <f>SUM(W335:W346)</f>
        <v>0</v>
      </c>
      <c r="X347" s="80">
        <f t="shared" ref="X347:AD347" si="945">SUM(X335:X346)</f>
        <v>0</v>
      </c>
      <c r="Y347" s="80">
        <f>SUM(Y335:Y346)</f>
        <v>0</v>
      </c>
      <c r="Z347" s="80">
        <f t="shared" si="945"/>
        <v>0</v>
      </c>
      <c r="AA347" s="80">
        <f t="shared" si="945"/>
        <v>0</v>
      </c>
      <c r="AB347" s="80">
        <f t="shared" si="945"/>
        <v>0</v>
      </c>
      <c r="AC347" s="80">
        <f t="shared" si="945"/>
        <v>0</v>
      </c>
      <c r="AD347" s="80">
        <f t="shared" si="945"/>
        <v>0</v>
      </c>
      <c r="AE347" s="80">
        <f>SUM(AE335:AE346)</f>
        <v>0</v>
      </c>
      <c r="AF347" s="80">
        <f>SUM(AF335:AF346)</f>
        <v>0</v>
      </c>
      <c r="AG347" s="80">
        <f>SUM(AG335:AG346)</f>
        <v>2282.36</v>
      </c>
      <c r="AH347" s="80">
        <f t="shared" ref="AH347" si="946">SUM(AH335:AH346)</f>
        <v>0</v>
      </c>
      <c r="AI347" s="80">
        <f t="shared" ref="AI347:AL347" si="947">SUM(AI335:AI346)</f>
        <v>0</v>
      </c>
      <c r="AJ347" s="80">
        <f t="shared" si="947"/>
        <v>0</v>
      </c>
      <c r="AK347" s="80">
        <f t="shared" si="947"/>
        <v>0</v>
      </c>
      <c r="AL347" s="80">
        <f t="shared" si="947"/>
        <v>0</v>
      </c>
      <c r="AM347" s="80">
        <f>SUM(AM335:AM346)</f>
        <v>0</v>
      </c>
      <c r="AN347" s="80">
        <f>SUM(AN335:AN346)</f>
        <v>0</v>
      </c>
      <c r="AO347" s="80">
        <f>SUM(AO335:AO346)</f>
        <v>0</v>
      </c>
      <c r="AP347" s="80">
        <f>SUM(AP335:AP346)</f>
        <v>0</v>
      </c>
      <c r="AQ347" s="80">
        <f>SUM(AQ335:AQ346)</f>
        <v>0</v>
      </c>
      <c r="AR347" s="80">
        <f t="shared" ref="AR347" si="948">SUM(AR335:AR346)</f>
        <v>0</v>
      </c>
      <c r="AS347" s="80">
        <f>SUM(AS335:AS346)</f>
        <v>0</v>
      </c>
      <c r="AT347" s="80">
        <f t="shared" ref="AT347" si="949">SUM(AT335:AT346)</f>
        <v>0</v>
      </c>
      <c r="AU347" s="80">
        <f t="shared" ref="AU347" si="950">SUM(AU335:AU346)</f>
        <v>0</v>
      </c>
      <c r="AV347" s="80">
        <f t="shared" ref="AV347" si="951">SUM(AV335:AV346)</f>
        <v>0</v>
      </c>
      <c r="AW347" s="80">
        <f>SUM(AW335:AW346)</f>
        <v>0</v>
      </c>
      <c r="AX347" s="80">
        <f t="shared" ref="AX347" si="952">SUM(AX335:AX346)</f>
        <v>0</v>
      </c>
      <c r="AY347" s="80">
        <f t="shared" ref="AY347:BF347" si="953">SUM(AY335:AY346)</f>
        <v>0</v>
      </c>
      <c r="AZ347" s="80">
        <f t="shared" si="953"/>
        <v>0</v>
      </c>
      <c r="BA347" s="80">
        <f t="shared" si="953"/>
        <v>0</v>
      </c>
      <c r="BB347" s="80">
        <f t="shared" si="953"/>
        <v>0</v>
      </c>
      <c r="BC347" s="80">
        <f t="shared" si="953"/>
        <v>0</v>
      </c>
      <c r="BD347" s="80">
        <f t="shared" si="953"/>
        <v>0</v>
      </c>
      <c r="BE347" s="80">
        <f t="shared" si="953"/>
        <v>0</v>
      </c>
      <c r="BF347" s="80">
        <f t="shared" si="953"/>
        <v>0</v>
      </c>
    </row>
    <row r="348" spans="1:58" ht="14.15" customHeight="1">
      <c r="A348" s="404">
        <f t="shared" si="941"/>
        <v>342</v>
      </c>
      <c r="B348" s="123"/>
      <c r="C348" s="157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</row>
    <row r="349" spans="1:58" ht="14.15" customHeight="1">
      <c r="A349" s="404">
        <f t="shared" si="941"/>
        <v>343</v>
      </c>
      <c r="B349" s="20" t="s">
        <v>215</v>
      </c>
      <c r="C349" s="23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</row>
    <row r="350" spans="1:58" ht="14.15" customHeight="1">
      <c r="A350" s="404">
        <f t="shared" si="941"/>
        <v>344</v>
      </c>
      <c r="B350" s="22" t="s">
        <v>216</v>
      </c>
      <c r="C350" s="38">
        <f t="shared" ref="C350:C356" si="954">SUM(D350:BF350)</f>
        <v>224.86000000000058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224.86000000000058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0">
        <v>0</v>
      </c>
      <c r="AM350" s="10">
        <v>0</v>
      </c>
      <c r="AN350" s="10">
        <v>0</v>
      </c>
      <c r="AO350" s="10">
        <v>0</v>
      </c>
      <c r="AP350" s="10">
        <v>0</v>
      </c>
      <c r="AQ350" s="10">
        <v>0</v>
      </c>
      <c r="AR350" s="10">
        <v>0</v>
      </c>
      <c r="AS350" s="10">
        <v>0</v>
      </c>
      <c r="AT350" s="10">
        <v>0</v>
      </c>
      <c r="AU350" s="10">
        <v>0</v>
      </c>
      <c r="AV350" s="10">
        <v>0</v>
      </c>
      <c r="AW350" s="10">
        <v>0</v>
      </c>
      <c r="AX350" s="10">
        <v>0</v>
      </c>
      <c r="AY350" s="10">
        <v>0</v>
      </c>
      <c r="AZ350" s="10">
        <v>0</v>
      </c>
      <c r="BA350" s="10">
        <v>0</v>
      </c>
      <c r="BB350" s="10">
        <v>0</v>
      </c>
      <c r="BC350" s="10">
        <v>0</v>
      </c>
      <c r="BD350" s="10">
        <v>0</v>
      </c>
      <c r="BE350" s="10">
        <v>0</v>
      </c>
      <c r="BF350" s="10">
        <v>0</v>
      </c>
    </row>
    <row r="351" spans="1:58" ht="14.15" customHeight="1">
      <c r="A351" s="404">
        <f t="shared" si="941"/>
        <v>345</v>
      </c>
      <c r="B351" s="22" t="s">
        <v>217</v>
      </c>
      <c r="C351" s="38">
        <f t="shared" si="954"/>
        <v>3352.6199999999953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3352.6199999999953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0">
        <v>0</v>
      </c>
      <c r="AM351" s="10">
        <v>0</v>
      </c>
      <c r="AN351" s="10">
        <v>0</v>
      </c>
      <c r="AO351" s="10">
        <v>0</v>
      </c>
      <c r="AP351" s="10">
        <v>0</v>
      </c>
      <c r="AQ351" s="10">
        <v>0</v>
      </c>
      <c r="AR351" s="10">
        <v>0</v>
      </c>
      <c r="AS351" s="10">
        <v>0</v>
      </c>
      <c r="AT351" s="10">
        <v>0</v>
      </c>
      <c r="AU351" s="10">
        <v>0</v>
      </c>
      <c r="AV351" s="10">
        <v>0</v>
      </c>
      <c r="AW351" s="10">
        <v>0</v>
      </c>
      <c r="AX351" s="10">
        <v>0</v>
      </c>
      <c r="AY351" s="10">
        <v>0</v>
      </c>
      <c r="AZ351" s="10">
        <v>0</v>
      </c>
      <c r="BA351" s="10">
        <v>0</v>
      </c>
      <c r="BB351" s="10">
        <v>0</v>
      </c>
      <c r="BC351" s="10">
        <v>0</v>
      </c>
      <c r="BD351" s="10">
        <v>0</v>
      </c>
      <c r="BE351" s="10">
        <v>0</v>
      </c>
      <c r="BF351" s="10">
        <v>0</v>
      </c>
    </row>
    <row r="352" spans="1:58" ht="14.15" customHeight="1">
      <c r="A352" s="404">
        <f t="shared" si="941"/>
        <v>346</v>
      </c>
      <c r="B352" s="22" t="s">
        <v>218</v>
      </c>
      <c r="C352" s="38">
        <f t="shared" si="954"/>
        <v>7705.1199999999953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v>0</v>
      </c>
      <c r="N352" s="10">
        <v>0</v>
      </c>
      <c r="O352" s="10">
        <v>0</v>
      </c>
      <c r="P352" s="10">
        <v>0</v>
      </c>
      <c r="Q352" s="10">
        <v>0</v>
      </c>
      <c r="R352" s="10">
        <v>0</v>
      </c>
      <c r="S352" s="10">
        <v>0</v>
      </c>
      <c r="T352" s="10">
        <v>0</v>
      </c>
      <c r="U352" s="10">
        <v>7705.1199999999953</v>
      </c>
      <c r="V352" s="10">
        <v>0</v>
      </c>
      <c r="W352" s="10">
        <v>0</v>
      </c>
      <c r="X352" s="10">
        <v>0</v>
      </c>
      <c r="Y352" s="10">
        <v>0</v>
      </c>
      <c r="Z352" s="10">
        <v>0</v>
      </c>
      <c r="AA352" s="10">
        <v>0</v>
      </c>
      <c r="AB352" s="10">
        <v>0</v>
      </c>
      <c r="AC352" s="10">
        <v>0</v>
      </c>
      <c r="AD352" s="10">
        <v>0</v>
      </c>
      <c r="AE352" s="10">
        <v>0</v>
      </c>
      <c r="AF352" s="10">
        <v>0</v>
      </c>
      <c r="AG352" s="10">
        <v>0</v>
      </c>
      <c r="AH352" s="10">
        <v>0</v>
      </c>
      <c r="AI352" s="10">
        <v>0</v>
      </c>
      <c r="AJ352" s="10">
        <v>0</v>
      </c>
      <c r="AK352" s="10">
        <v>0</v>
      </c>
      <c r="AL352" s="10">
        <v>0</v>
      </c>
      <c r="AM352" s="10">
        <v>0</v>
      </c>
      <c r="AN352" s="10">
        <v>0</v>
      </c>
      <c r="AO352" s="10">
        <v>0</v>
      </c>
      <c r="AP352" s="10">
        <v>0</v>
      </c>
      <c r="AQ352" s="10">
        <v>0</v>
      </c>
      <c r="AR352" s="10">
        <v>0</v>
      </c>
      <c r="AS352" s="10">
        <v>0</v>
      </c>
      <c r="AT352" s="10">
        <v>0</v>
      </c>
      <c r="AU352" s="10">
        <v>0</v>
      </c>
      <c r="AV352" s="10">
        <v>0</v>
      </c>
      <c r="AW352" s="10">
        <v>0</v>
      </c>
      <c r="AX352" s="10">
        <v>0</v>
      </c>
      <c r="AY352" s="10">
        <v>0</v>
      </c>
      <c r="AZ352" s="10">
        <v>0</v>
      </c>
      <c r="BA352" s="10">
        <v>0</v>
      </c>
      <c r="BB352" s="10">
        <v>0</v>
      </c>
      <c r="BC352" s="10">
        <v>0</v>
      </c>
      <c r="BD352" s="10">
        <v>0</v>
      </c>
      <c r="BE352" s="10">
        <v>0</v>
      </c>
      <c r="BF352" s="10">
        <v>0</v>
      </c>
    </row>
    <row r="353" spans="1:58" ht="14.15" customHeight="1">
      <c r="A353" s="404">
        <f t="shared" si="941"/>
        <v>347</v>
      </c>
      <c r="B353" s="22" t="s">
        <v>219</v>
      </c>
      <c r="C353" s="38">
        <f t="shared" si="954"/>
        <v>88581.909999999887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88161.379999999888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-87.77</v>
      </c>
      <c r="AC353" s="10">
        <v>0</v>
      </c>
      <c r="AD353" s="10">
        <v>0</v>
      </c>
      <c r="AE353" s="10">
        <v>0</v>
      </c>
      <c r="AF353" s="10">
        <v>0</v>
      </c>
      <c r="AG353" s="10">
        <v>508.30000000000007</v>
      </c>
      <c r="AH353" s="10">
        <v>0</v>
      </c>
      <c r="AI353" s="10">
        <v>0</v>
      </c>
      <c r="AJ353" s="10">
        <v>0</v>
      </c>
      <c r="AK353" s="10">
        <v>0</v>
      </c>
      <c r="AL353" s="10">
        <v>0</v>
      </c>
      <c r="AM353" s="10">
        <v>0</v>
      </c>
      <c r="AN353" s="10">
        <v>0</v>
      </c>
      <c r="AO353" s="10">
        <v>0</v>
      </c>
      <c r="AP353" s="10">
        <v>0</v>
      </c>
      <c r="AQ353" s="10">
        <v>0</v>
      </c>
      <c r="AR353" s="10">
        <v>0</v>
      </c>
      <c r="AS353" s="10">
        <v>0</v>
      </c>
      <c r="AT353" s="10">
        <v>0</v>
      </c>
      <c r="AU353" s="10">
        <v>0</v>
      </c>
      <c r="AV353" s="10">
        <v>0</v>
      </c>
      <c r="AW353" s="10">
        <v>0</v>
      </c>
      <c r="AX353" s="10">
        <v>0</v>
      </c>
      <c r="AY353" s="10">
        <v>0</v>
      </c>
      <c r="AZ353" s="10">
        <v>0</v>
      </c>
      <c r="BA353" s="10">
        <v>0</v>
      </c>
      <c r="BB353" s="10">
        <v>0</v>
      </c>
      <c r="BC353" s="10">
        <v>0</v>
      </c>
      <c r="BD353" s="10">
        <v>0</v>
      </c>
      <c r="BE353" s="10">
        <v>0</v>
      </c>
      <c r="BF353" s="10">
        <v>0</v>
      </c>
    </row>
    <row r="354" spans="1:58" ht="14.15" customHeight="1">
      <c r="A354" s="404">
        <f t="shared" si="941"/>
        <v>348</v>
      </c>
      <c r="B354" s="22" t="s">
        <v>220</v>
      </c>
      <c r="C354" s="38">
        <f t="shared" si="954"/>
        <v>2.1399999999999864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2.1399999999999864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0">
        <v>0</v>
      </c>
      <c r="AM354" s="10">
        <v>0</v>
      </c>
      <c r="AN354" s="10">
        <v>0</v>
      </c>
      <c r="AO354" s="10">
        <v>0</v>
      </c>
      <c r="AP354" s="10">
        <v>0</v>
      </c>
      <c r="AQ354" s="10">
        <v>0</v>
      </c>
      <c r="AR354" s="10">
        <v>0</v>
      </c>
      <c r="AS354" s="10">
        <v>0</v>
      </c>
      <c r="AT354" s="10">
        <v>0</v>
      </c>
      <c r="AU354" s="10">
        <v>0</v>
      </c>
      <c r="AV354" s="10">
        <v>0</v>
      </c>
      <c r="AW354" s="10">
        <v>0</v>
      </c>
      <c r="AX354" s="10">
        <v>0</v>
      </c>
      <c r="AY354" s="10">
        <v>0</v>
      </c>
      <c r="AZ354" s="10">
        <v>0</v>
      </c>
      <c r="BA354" s="10">
        <v>0</v>
      </c>
      <c r="BB354" s="10">
        <v>0</v>
      </c>
      <c r="BC354" s="10">
        <v>0</v>
      </c>
      <c r="BD354" s="10">
        <v>0</v>
      </c>
      <c r="BE354" s="10">
        <v>0</v>
      </c>
      <c r="BF354" s="10">
        <v>0</v>
      </c>
    </row>
    <row r="355" spans="1:58" ht="14.15" customHeight="1">
      <c r="A355" s="404">
        <f t="shared" si="941"/>
        <v>349</v>
      </c>
      <c r="B355" s="22" t="s">
        <v>221</v>
      </c>
      <c r="C355" s="38">
        <f t="shared" si="954"/>
        <v>138.28000000000065</v>
      </c>
      <c r="D355" s="43">
        <v>0</v>
      </c>
      <c r="E355" s="43">
        <v>0</v>
      </c>
      <c r="F355" s="43">
        <v>0</v>
      </c>
      <c r="G355" s="43">
        <v>0</v>
      </c>
      <c r="H355" s="43">
        <v>0</v>
      </c>
      <c r="I355" s="43">
        <v>0</v>
      </c>
      <c r="J355" s="43">
        <v>0</v>
      </c>
      <c r="K355" s="43">
        <v>0</v>
      </c>
      <c r="L355" s="43">
        <v>0</v>
      </c>
      <c r="M355" s="43">
        <v>0</v>
      </c>
      <c r="N355" s="43">
        <v>0</v>
      </c>
      <c r="O355" s="43">
        <v>0</v>
      </c>
      <c r="P355" s="43">
        <v>0</v>
      </c>
      <c r="Q355" s="43">
        <v>0</v>
      </c>
      <c r="R355" s="43">
        <v>0</v>
      </c>
      <c r="S355" s="43">
        <v>0</v>
      </c>
      <c r="T355" s="43">
        <v>0</v>
      </c>
      <c r="U355" s="43">
        <v>138.28000000000065</v>
      </c>
      <c r="V355" s="43">
        <v>0</v>
      </c>
      <c r="W355" s="43">
        <v>0</v>
      </c>
      <c r="X355" s="43">
        <v>0</v>
      </c>
      <c r="Y355" s="43">
        <v>0</v>
      </c>
      <c r="Z355" s="43">
        <v>0</v>
      </c>
      <c r="AA355" s="43">
        <v>0</v>
      </c>
      <c r="AB355" s="43">
        <v>0</v>
      </c>
      <c r="AC355" s="43">
        <v>0</v>
      </c>
      <c r="AD355" s="43">
        <v>0</v>
      </c>
      <c r="AE355" s="43">
        <v>0</v>
      </c>
      <c r="AF355" s="43">
        <v>0</v>
      </c>
      <c r="AG355" s="43">
        <v>0</v>
      </c>
      <c r="AH355" s="43">
        <v>0</v>
      </c>
      <c r="AI355" s="43">
        <v>0</v>
      </c>
      <c r="AJ355" s="43">
        <v>0</v>
      </c>
      <c r="AK355" s="43">
        <v>0</v>
      </c>
      <c r="AL355" s="43">
        <v>0</v>
      </c>
      <c r="AM355" s="43">
        <v>0</v>
      </c>
      <c r="AN355" s="43">
        <v>0</v>
      </c>
      <c r="AO355" s="43">
        <v>0</v>
      </c>
      <c r="AP355" s="43">
        <v>0</v>
      </c>
      <c r="AQ355" s="43">
        <v>0</v>
      </c>
      <c r="AR355" s="43">
        <v>0</v>
      </c>
      <c r="AS355" s="43">
        <v>0</v>
      </c>
      <c r="AT355" s="43">
        <v>0</v>
      </c>
      <c r="AU355" s="43">
        <v>0</v>
      </c>
      <c r="AV355" s="43">
        <v>0</v>
      </c>
      <c r="AW355" s="43">
        <v>0</v>
      </c>
      <c r="AX355" s="43">
        <v>0</v>
      </c>
      <c r="AY355" s="43">
        <v>0</v>
      </c>
      <c r="AZ355" s="43">
        <v>0</v>
      </c>
      <c r="BA355" s="43">
        <v>0</v>
      </c>
      <c r="BB355" s="43">
        <v>0</v>
      </c>
      <c r="BC355" s="43">
        <v>0</v>
      </c>
      <c r="BD355" s="43">
        <v>0</v>
      </c>
      <c r="BE355" s="43">
        <v>0</v>
      </c>
      <c r="BF355" s="43">
        <v>0</v>
      </c>
    </row>
    <row r="356" spans="1:58" ht="14.15" customHeight="1">
      <c r="A356" s="404">
        <f t="shared" si="941"/>
        <v>350</v>
      </c>
      <c r="B356" s="56" t="s">
        <v>222</v>
      </c>
      <c r="C356" s="38">
        <f t="shared" si="954"/>
        <v>20986.020000000019</v>
      </c>
      <c r="D356" s="43">
        <v>0</v>
      </c>
      <c r="E356" s="43">
        <v>0</v>
      </c>
      <c r="F356" s="43">
        <v>0</v>
      </c>
      <c r="G356" s="43">
        <v>0</v>
      </c>
      <c r="H356" s="43">
        <v>0</v>
      </c>
      <c r="I356" s="43">
        <v>0</v>
      </c>
      <c r="J356" s="43">
        <v>0</v>
      </c>
      <c r="K356" s="43">
        <v>0</v>
      </c>
      <c r="L356" s="43">
        <v>0</v>
      </c>
      <c r="M356" s="43">
        <v>0</v>
      </c>
      <c r="N356" s="43">
        <v>0</v>
      </c>
      <c r="O356" s="43">
        <v>0</v>
      </c>
      <c r="P356" s="43">
        <v>0</v>
      </c>
      <c r="Q356" s="43">
        <v>0</v>
      </c>
      <c r="R356" s="43">
        <v>0</v>
      </c>
      <c r="S356" s="43">
        <v>0</v>
      </c>
      <c r="T356" s="43">
        <v>0</v>
      </c>
      <c r="U356" s="43">
        <v>20986.020000000019</v>
      </c>
      <c r="V356" s="43">
        <v>0</v>
      </c>
      <c r="W356" s="43">
        <v>0</v>
      </c>
      <c r="X356" s="43">
        <v>0</v>
      </c>
      <c r="Y356" s="43">
        <v>0</v>
      </c>
      <c r="Z356" s="43">
        <v>0</v>
      </c>
      <c r="AA356" s="43">
        <v>0</v>
      </c>
      <c r="AB356" s="43">
        <v>0</v>
      </c>
      <c r="AC356" s="43">
        <v>0</v>
      </c>
      <c r="AD356" s="43">
        <v>0</v>
      </c>
      <c r="AE356" s="43">
        <v>0</v>
      </c>
      <c r="AF356" s="43">
        <v>0</v>
      </c>
      <c r="AG356" s="43">
        <v>0</v>
      </c>
      <c r="AH356" s="43">
        <v>0</v>
      </c>
      <c r="AI356" s="43">
        <v>0</v>
      </c>
      <c r="AJ356" s="43">
        <v>0</v>
      </c>
      <c r="AK356" s="43">
        <v>0</v>
      </c>
      <c r="AL356" s="43">
        <v>0</v>
      </c>
      <c r="AM356" s="43">
        <v>0</v>
      </c>
      <c r="AN356" s="43">
        <v>0</v>
      </c>
      <c r="AO356" s="43">
        <v>0</v>
      </c>
      <c r="AP356" s="43">
        <v>0</v>
      </c>
      <c r="AQ356" s="43">
        <v>0</v>
      </c>
      <c r="AR356" s="43">
        <v>0</v>
      </c>
      <c r="AS356" s="43">
        <v>0</v>
      </c>
      <c r="AT356" s="43">
        <v>0</v>
      </c>
      <c r="AU356" s="43">
        <v>0</v>
      </c>
      <c r="AV356" s="43">
        <v>0</v>
      </c>
      <c r="AW356" s="43">
        <v>0</v>
      </c>
      <c r="AX356" s="43">
        <v>0</v>
      </c>
      <c r="AY356" s="43">
        <v>0</v>
      </c>
      <c r="AZ356" s="43">
        <v>0</v>
      </c>
      <c r="BA356" s="43">
        <v>0</v>
      </c>
      <c r="BB356" s="43">
        <v>0</v>
      </c>
      <c r="BC356" s="43">
        <v>0</v>
      </c>
      <c r="BD356" s="43">
        <v>0</v>
      </c>
      <c r="BE356" s="43">
        <v>0</v>
      </c>
      <c r="BF356" s="43">
        <v>0</v>
      </c>
    </row>
    <row r="357" spans="1:58" ht="14.15" customHeight="1">
      <c r="A357" s="404">
        <f t="shared" si="941"/>
        <v>351</v>
      </c>
      <c r="B357" s="20" t="s">
        <v>223</v>
      </c>
      <c r="C357" s="199">
        <f t="shared" ref="C357:V357" si="955">SUM(C350:C356)</f>
        <v>120990.9499999999</v>
      </c>
      <c r="D357" s="199">
        <f t="shared" ref="D357:I357" si="956">SUM(D350:D356)</f>
        <v>0</v>
      </c>
      <c r="E357" s="199">
        <f t="shared" si="956"/>
        <v>0</v>
      </c>
      <c r="F357" s="199">
        <f t="shared" si="956"/>
        <v>0</v>
      </c>
      <c r="G357" s="199">
        <f t="shared" si="956"/>
        <v>0</v>
      </c>
      <c r="H357" s="199">
        <f t="shared" si="956"/>
        <v>0</v>
      </c>
      <c r="I357" s="199">
        <f t="shared" si="956"/>
        <v>0</v>
      </c>
      <c r="J357" s="199">
        <f t="shared" si="955"/>
        <v>0</v>
      </c>
      <c r="K357" s="199">
        <f t="shared" ref="K357:U357" si="957">SUM(K350:K356)</f>
        <v>0</v>
      </c>
      <c r="L357" s="199">
        <f t="shared" si="957"/>
        <v>0</v>
      </c>
      <c r="M357" s="199">
        <f t="shared" si="957"/>
        <v>0</v>
      </c>
      <c r="N357" s="199">
        <f t="shared" si="957"/>
        <v>0</v>
      </c>
      <c r="O357" s="199">
        <f t="shared" si="957"/>
        <v>0</v>
      </c>
      <c r="P357" s="199">
        <f t="shared" si="957"/>
        <v>0</v>
      </c>
      <c r="Q357" s="199">
        <f t="shared" si="957"/>
        <v>0</v>
      </c>
      <c r="R357" s="199">
        <f t="shared" si="957"/>
        <v>0</v>
      </c>
      <c r="S357" s="199">
        <f t="shared" si="957"/>
        <v>0</v>
      </c>
      <c r="T357" s="199">
        <f t="shared" si="957"/>
        <v>0</v>
      </c>
      <c r="U357" s="199">
        <f t="shared" si="957"/>
        <v>120570.4199999999</v>
      </c>
      <c r="V357" s="199">
        <f t="shared" si="955"/>
        <v>0</v>
      </c>
      <c r="W357" s="199">
        <f>SUM(W350:W356)</f>
        <v>0</v>
      </c>
      <c r="X357" s="199">
        <f t="shared" ref="X357:AD357" si="958">SUM(X350:X356)</f>
        <v>0</v>
      </c>
      <c r="Y357" s="199">
        <f>SUM(Y350:Y356)</f>
        <v>0</v>
      </c>
      <c r="Z357" s="199">
        <f t="shared" si="958"/>
        <v>0</v>
      </c>
      <c r="AA357" s="199">
        <f t="shared" si="958"/>
        <v>0</v>
      </c>
      <c r="AB357" s="199">
        <f t="shared" si="958"/>
        <v>-87.77</v>
      </c>
      <c r="AC357" s="199">
        <f t="shared" si="958"/>
        <v>0</v>
      </c>
      <c r="AD357" s="199">
        <f t="shared" si="958"/>
        <v>0</v>
      </c>
      <c r="AE357" s="199">
        <f>SUM(AE350:AE356)</f>
        <v>0</v>
      </c>
      <c r="AF357" s="199">
        <f>SUM(AF350:AF356)</f>
        <v>0</v>
      </c>
      <c r="AG357" s="199">
        <f>SUM(AG350:AG356)</f>
        <v>508.30000000000007</v>
      </c>
      <c r="AH357" s="199">
        <f t="shared" ref="AH357" si="959">SUM(AH350:AH356)</f>
        <v>0</v>
      </c>
      <c r="AI357" s="199">
        <f t="shared" ref="AI357:AL357" si="960">SUM(AI350:AI356)</f>
        <v>0</v>
      </c>
      <c r="AJ357" s="199">
        <f t="shared" si="960"/>
        <v>0</v>
      </c>
      <c r="AK357" s="199">
        <f t="shared" si="960"/>
        <v>0</v>
      </c>
      <c r="AL357" s="199">
        <f t="shared" si="960"/>
        <v>0</v>
      </c>
      <c r="AM357" s="199">
        <f>SUM(AM350:AM356)</f>
        <v>0</v>
      </c>
      <c r="AN357" s="199">
        <f>SUM(AN350:AN356)</f>
        <v>0</v>
      </c>
      <c r="AO357" s="199">
        <f>SUM(AO350:AO356)</f>
        <v>0</v>
      </c>
      <c r="AP357" s="199">
        <f>SUM(AP350:AP356)</f>
        <v>0</v>
      </c>
      <c r="AQ357" s="199">
        <f>SUM(AQ350:AQ356)</f>
        <v>0</v>
      </c>
      <c r="AR357" s="199">
        <f t="shared" ref="AR357" si="961">SUM(AR350:AR356)</f>
        <v>0</v>
      </c>
      <c r="AS357" s="199">
        <f>SUM(AS350:AS356)</f>
        <v>0</v>
      </c>
      <c r="AT357" s="199">
        <f t="shared" ref="AT357" si="962">SUM(AT350:AT356)</f>
        <v>0</v>
      </c>
      <c r="AU357" s="199">
        <f t="shared" ref="AU357" si="963">SUM(AU350:AU356)</f>
        <v>0</v>
      </c>
      <c r="AV357" s="199">
        <f t="shared" ref="AV357" si="964">SUM(AV350:AV356)</f>
        <v>0</v>
      </c>
      <c r="AW357" s="199">
        <f>SUM(AW350:AW356)</f>
        <v>0</v>
      </c>
      <c r="AX357" s="199">
        <f t="shared" ref="AX357" si="965">SUM(AX350:AX356)</f>
        <v>0</v>
      </c>
      <c r="AY357" s="199">
        <f t="shared" ref="AY357:BF357" si="966">SUM(AY350:AY356)</f>
        <v>0</v>
      </c>
      <c r="AZ357" s="199">
        <f t="shared" si="966"/>
        <v>0</v>
      </c>
      <c r="BA357" s="199">
        <f t="shared" si="966"/>
        <v>0</v>
      </c>
      <c r="BB357" s="199">
        <f t="shared" si="966"/>
        <v>0</v>
      </c>
      <c r="BC357" s="199">
        <f t="shared" si="966"/>
        <v>0</v>
      </c>
      <c r="BD357" s="199">
        <f t="shared" si="966"/>
        <v>0</v>
      </c>
      <c r="BE357" s="199">
        <f t="shared" si="966"/>
        <v>0</v>
      </c>
      <c r="BF357" s="199">
        <f t="shared" si="966"/>
        <v>0</v>
      </c>
    </row>
    <row r="358" spans="1:58" ht="14.15" customHeight="1">
      <c r="A358" s="404">
        <f t="shared" si="941"/>
        <v>352</v>
      </c>
      <c r="B358" s="57"/>
      <c r="C358" s="145"/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  <c r="T358" s="145"/>
      <c r="U358" s="145"/>
      <c r="V358" s="145"/>
      <c r="W358" s="145"/>
      <c r="X358" s="145"/>
      <c r="Y358" s="145"/>
      <c r="Z358" s="145"/>
      <c r="AA358" s="145"/>
      <c r="AB358" s="145"/>
      <c r="AC358" s="145"/>
      <c r="AD358" s="145"/>
      <c r="AE358" s="145"/>
      <c r="AF358" s="145"/>
      <c r="AG358" s="145"/>
      <c r="AH358" s="145"/>
      <c r="AI358" s="145"/>
      <c r="AJ358" s="145"/>
      <c r="AK358" s="145"/>
      <c r="AL358" s="145"/>
      <c r="AM358" s="145"/>
      <c r="AN358" s="145"/>
      <c r="AO358" s="145"/>
      <c r="AP358" s="145"/>
      <c r="AQ358" s="145"/>
      <c r="AR358" s="145"/>
      <c r="AS358" s="145"/>
      <c r="AT358" s="145"/>
      <c r="AU358" s="145"/>
      <c r="AV358" s="145"/>
      <c r="AW358" s="145"/>
      <c r="AX358" s="145"/>
      <c r="AY358" s="145"/>
      <c r="AZ358" s="145"/>
      <c r="BA358" s="145"/>
      <c r="BB358" s="145"/>
      <c r="BC358" s="145"/>
      <c r="BD358" s="145"/>
      <c r="BE358" s="145"/>
      <c r="BF358" s="145"/>
    </row>
    <row r="359" spans="1:58" ht="14.15" customHeight="1">
      <c r="A359" s="404">
        <f t="shared" si="941"/>
        <v>353</v>
      </c>
      <c r="B359" s="20" t="s">
        <v>224</v>
      </c>
      <c r="C359" s="162">
        <f t="shared" ref="C359:V359" si="967">C347+C357</f>
        <v>1762451.7700000231</v>
      </c>
      <c r="D359" s="162">
        <f t="shared" ref="D359:I359" si="968">D347+D357</f>
        <v>0</v>
      </c>
      <c r="E359" s="162">
        <f t="shared" si="968"/>
        <v>0</v>
      </c>
      <c r="F359" s="162">
        <f t="shared" si="968"/>
        <v>0</v>
      </c>
      <c r="G359" s="162">
        <f t="shared" si="968"/>
        <v>0</v>
      </c>
      <c r="H359" s="162">
        <f t="shared" si="968"/>
        <v>0</v>
      </c>
      <c r="I359" s="162">
        <f t="shared" si="968"/>
        <v>0</v>
      </c>
      <c r="J359" s="162">
        <f t="shared" si="967"/>
        <v>0</v>
      </c>
      <c r="K359" s="162">
        <f t="shared" ref="K359:U359" si="969">K347+K357</f>
        <v>0</v>
      </c>
      <c r="L359" s="162">
        <f t="shared" si="969"/>
        <v>0</v>
      </c>
      <c r="M359" s="162">
        <f t="shared" si="969"/>
        <v>-4174374.15</v>
      </c>
      <c r="N359" s="162">
        <f t="shared" si="969"/>
        <v>0</v>
      </c>
      <c r="O359" s="162">
        <f t="shared" si="969"/>
        <v>0</v>
      </c>
      <c r="P359" s="162">
        <f t="shared" si="969"/>
        <v>0</v>
      </c>
      <c r="Q359" s="162">
        <f t="shared" si="969"/>
        <v>0</v>
      </c>
      <c r="R359" s="162">
        <f t="shared" si="969"/>
        <v>0</v>
      </c>
      <c r="S359" s="162">
        <f t="shared" si="969"/>
        <v>5725020</v>
      </c>
      <c r="T359" s="162">
        <f t="shared" si="969"/>
        <v>0</v>
      </c>
      <c r="U359" s="162">
        <f t="shared" si="969"/>
        <v>209103.03000002285</v>
      </c>
      <c r="V359" s="162">
        <f t="shared" si="967"/>
        <v>0</v>
      </c>
      <c r="W359" s="162">
        <f>W347+W357</f>
        <v>0</v>
      </c>
      <c r="X359" s="162">
        <f t="shared" ref="X359:AD359" si="970">X347+X357</f>
        <v>0</v>
      </c>
      <c r="Y359" s="162">
        <f>Y347+Y357</f>
        <v>0</v>
      </c>
      <c r="Z359" s="162">
        <f t="shared" si="970"/>
        <v>0</v>
      </c>
      <c r="AA359" s="162">
        <f t="shared" si="970"/>
        <v>0</v>
      </c>
      <c r="AB359" s="162">
        <f t="shared" si="970"/>
        <v>-87.77</v>
      </c>
      <c r="AC359" s="162">
        <f t="shared" si="970"/>
        <v>0</v>
      </c>
      <c r="AD359" s="162">
        <f t="shared" si="970"/>
        <v>0</v>
      </c>
      <c r="AE359" s="162">
        <f>AE347+AE357</f>
        <v>0</v>
      </c>
      <c r="AF359" s="162">
        <f>AF347+AF357</f>
        <v>0</v>
      </c>
      <c r="AG359" s="162">
        <f>AG347+AG357</f>
        <v>2790.6600000000003</v>
      </c>
      <c r="AH359" s="162">
        <f t="shared" ref="AH359" si="971">AH347+AH357</f>
        <v>0</v>
      </c>
      <c r="AI359" s="162">
        <f t="shared" ref="AI359:AL359" si="972">AI347+AI357</f>
        <v>0</v>
      </c>
      <c r="AJ359" s="162">
        <f t="shared" si="972"/>
        <v>0</v>
      </c>
      <c r="AK359" s="162">
        <f t="shared" si="972"/>
        <v>0</v>
      </c>
      <c r="AL359" s="162">
        <f t="shared" si="972"/>
        <v>0</v>
      </c>
      <c r="AM359" s="162">
        <f>AM347+AM357</f>
        <v>0</v>
      </c>
      <c r="AN359" s="162">
        <f>AN347+AN357</f>
        <v>0</v>
      </c>
      <c r="AO359" s="162">
        <f>AO347+AO357</f>
        <v>0</v>
      </c>
      <c r="AP359" s="162">
        <f>AP347+AP357</f>
        <v>0</v>
      </c>
      <c r="AQ359" s="162">
        <f>AQ347+AQ357</f>
        <v>0</v>
      </c>
      <c r="AR359" s="162">
        <f t="shared" ref="AR359" si="973">AR347+AR357</f>
        <v>0</v>
      </c>
      <c r="AS359" s="162">
        <f>AS347+AS357</f>
        <v>0</v>
      </c>
      <c r="AT359" s="162">
        <f t="shared" ref="AT359" si="974">AT347+AT357</f>
        <v>0</v>
      </c>
      <c r="AU359" s="162">
        <f t="shared" ref="AU359" si="975">AU347+AU357</f>
        <v>0</v>
      </c>
      <c r="AV359" s="162">
        <f t="shared" ref="AV359" si="976">AV347+AV357</f>
        <v>0</v>
      </c>
      <c r="AW359" s="162">
        <f>AW347+AW357</f>
        <v>0</v>
      </c>
      <c r="AX359" s="162">
        <f t="shared" ref="AX359" si="977">AX347+AX357</f>
        <v>0</v>
      </c>
      <c r="AY359" s="162">
        <f t="shared" ref="AY359:BF359" si="978">AY347+AY357</f>
        <v>0</v>
      </c>
      <c r="AZ359" s="162">
        <f t="shared" si="978"/>
        <v>0</v>
      </c>
      <c r="BA359" s="162">
        <f t="shared" si="978"/>
        <v>0</v>
      </c>
      <c r="BB359" s="162">
        <f t="shared" si="978"/>
        <v>0</v>
      </c>
      <c r="BC359" s="162">
        <f t="shared" si="978"/>
        <v>0</v>
      </c>
      <c r="BD359" s="162">
        <f t="shared" si="978"/>
        <v>0</v>
      </c>
      <c r="BE359" s="162">
        <f t="shared" si="978"/>
        <v>0</v>
      </c>
      <c r="BF359" s="162">
        <f t="shared" si="978"/>
        <v>0</v>
      </c>
    </row>
    <row r="360" spans="1:58" ht="14.15" customHeight="1">
      <c r="A360" s="404">
        <f t="shared" si="941"/>
        <v>354</v>
      </c>
      <c r="B360" s="123"/>
      <c r="C360" s="157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</row>
    <row r="361" spans="1:58" ht="14.15" customHeight="1">
      <c r="A361" s="404">
        <f t="shared" si="941"/>
        <v>355</v>
      </c>
      <c r="B361" s="13" t="s">
        <v>225</v>
      </c>
      <c r="C361" s="61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</row>
    <row r="362" spans="1:58" ht="14.15" customHeight="1">
      <c r="A362" s="404">
        <f t="shared" si="941"/>
        <v>356</v>
      </c>
      <c r="B362" s="22" t="s">
        <v>226</v>
      </c>
      <c r="C362" s="38">
        <f t="shared" ref="C362:C371" si="979">SUM(D362:BF362)</f>
        <v>29762.210000000166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1452.1800000001676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153.40999999999997</v>
      </c>
      <c r="AC362" s="10">
        <v>0</v>
      </c>
      <c r="AD362" s="10">
        <v>0</v>
      </c>
      <c r="AE362" s="10">
        <v>0</v>
      </c>
      <c r="AF362" s="10">
        <v>0</v>
      </c>
      <c r="AG362" s="10">
        <v>28156.62</v>
      </c>
      <c r="AH362" s="10">
        <v>0</v>
      </c>
      <c r="AI362" s="10">
        <v>0</v>
      </c>
      <c r="AJ362" s="10">
        <v>0</v>
      </c>
      <c r="AK362" s="10">
        <v>0</v>
      </c>
      <c r="AL362" s="10">
        <v>0</v>
      </c>
      <c r="AM362" s="10">
        <v>0</v>
      </c>
      <c r="AN362" s="10">
        <v>0</v>
      </c>
      <c r="AO362" s="10">
        <v>0</v>
      </c>
      <c r="AP362" s="10">
        <v>0</v>
      </c>
      <c r="AQ362" s="10">
        <v>0</v>
      </c>
      <c r="AR362" s="10">
        <v>0</v>
      </c>
      <c r="AS362" s="10">
        <v>0</v>
      </c>
      <c r="AT362" s="10">
        <v>0</v>
      </c>
      <c r="AU362" s="10">
        <v>0</v>
      </c>
      <c r="AV362" s="10">
        <v>0</v>
      </c>
      <c r="AW362" s="10">
        <v>0</v>
      </c>
      <c r="AX362" s="10">
        <v>0</v>
      </c>
      <c r="AY362" s="10">
        <v>0</v>
      </c>
      <c r="AZ362" s="10">
        <v>0</v>
      </c>
      <c r="BA362" s="10">
        <v>0</v>
      </c>
      <c r="BB362" s="10">
        <v>0</v>
      </c>
      <c r="BC362" s="10">
        <v>0</v>
      </c>
      <c r="BD362" s="10">
        <v>0</v>
      </c>
      <c r="BE362" s="10">
        <v>0</v>
      </c>
      <c r="BF362" s="10">
        <v>0</v>
      </c>
    </row>
    <row r="363" spans="1:58" ht="14.15" customHeight="1">
      <c r="A363" s="404">
        <f t="shared" si="941"/>
        <v>357</v>
      </c>
      <c r="B363" s="22" t="s">
        <v>227</v>
      </c>
      <c r="C363" s="38">
        <f t="shared" si="979"/>
        <v>2.7200000000002547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2.7200000000002547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0">
        <v>0</v>
      </c>
      <c r="AM363" s="10">
        <v>0</v>
      </c>
      <c r="AN363" s="10">
        <v>0</v>
      </c>
      <c r="AO363" s="10">
        <v>0</v>
      </c>
      <c r="AP363" s="10">
        <v>0</v>
      </c>
      <c r="AQ363" s="10">
        <v>0</v>
      </c>
      <c r="AR363" s="10">
        <v>0</v>
      </c>
      <c r="AS363" s="10">
        <v>0</v>
      </c>
      <c r="AT363" s="10">
        <v>0</v>
      </c>
      <c r="AU363" s="10">
        <v>0</v>
      </c>
      <c r="AV363" s="10">
        <v>0</v>
      </c>
      <c r="AW363" s="10">
        <v>0</v>
      </c>
      <c r="AX363" s="10">
        <v>0</v>
      </c>
      <c r="AY363" s="10">
        <v>0</v>
      </c>
      <c r="AZ363" s="10">
        <v>0</v>
      </c>
      <c r="BA363" s="10">
        <v>0</v>
      </c>
      <c r="BB363" s="10">
        <v>0</v>
      </c>
      <c r="BC363" s="10">
        <v>0</v>
      </c>
      <c r="BD363" s="10">
        <v>0</v>
      </c>
      <c r="BE363" s="10">
        <v>0</v>
      </c>
      <c r="BF363" s="10">
        <v>0</v>
      </c>
    </row>
    <row r="364" spans="1:58" ht="14.15" customHeight="1">
      <c r="A364" s="404">
        <f t="shared" si="941"/>
        <v>358</v>
      </c>
      <c r="B364" s="22" t="s">
        <v>228</v>
      </c>
      <c r="C364" s="38">
        <f t="shared" si="979"/>
        <v>369.6600000000326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369.6600000000326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0">
        <v>0</v>
      </c>
      <c r="AM364" s="10">
        <v>0</v>
      </c>
      <c r="AN364" s="10">
        <v>0</v>
      </c>
      <c r="AO364" s="10">
        <v>0</v>
      </c>
      <c r="AP364" s="10">
        <v>0</v>
      </c>
      <c r="AQ364" s="10">
        <v>0</v>
      </c>
      <c r="AR364" s="10">
        <v>0</v>
      </c>
      <c r="AS364" s="10">
        <v>0</v>
      </c>
      <c r="AT364" s="10">
        <v>0</v>
      </c>
      <c r="AU364" s="10">
        <v>0</v>
      </c>
      <c r="AV364" s="10">
        <v>0</v>
      </c>
      <c r="AW364" s="10">
        <v>0</v>
      </c>
      <c r="AX364" s="10">
        <v>0</v>
      </c>
      <c r="AY364" s="10">
        <v>0</v>
      </c>
      <c r="AZ364" s="10">
        <v>0</v>
      </c>
      <c r="BA364" s="10">
        <v>0</v>
      </c>
      <c r="BB364" s="10">
        <v>0</v>
      </c>
      <c r="BC364" s="10">
        <v>0</v>
      </c>
      <c r="BD364" s="10">
        <v>0</v>
      </c>
      <c r="BE364" s="10">
        <v>0</v>
      </c>
      <c r="BF364" s="10">
        <v>0</v>
      </c>
    </row>
    <row r="365" spans="1:58" ht="14.15" customHeight="1">
      <c r="A365" s="404">
        <f t="shared" si="941"/>
        <v>359</v>
      </c>
      <c r="B365" s="22" t="s">
        <v>229</v>
      </c>
      <c r="C365" s="38">
        <f t="shared" si="979"/>
        <v>30095.290000000066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723.94000000006054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4626.62</v>
      </c>
      <c r="AC365" s="10">
        <v>0</v>
      </c>
      <c r="AD365" s="10">
        <v>0</v>
      </c>
      <c r="AE365" s="10">
        <v>0</v>
      </c>
      <c r="AF365" s="10">
        <v>0</v>
      </c>
      <c r="AG365" s="10">
        <v>24744.730000000007</v>
      </c>
      <c r="AH365" s="10">
        <v>0</v>
      </c>
      <c r="AI365" s="10">
        <v>0</v>
      </c>
      <c r="AJ365" s="10">
        <v>0</v>
      </c>
      <c r="AK365" s="10">
        <v>0</v>
      </c>
      <c r="AL365" s="10">
        <v>0</v>
      </c>
      <c r="AM365" s="10">
        <v>0</v>
      </c>
      <c r="AN365" s="10">
        <v>0</v>
      </c>
      <c r="AO365" s="10">
        <v>0</v>
      </c>
      <c r="AP365" s="10">
        <v>0</v>
      </c>
      <c r="AQ365" s="10">
        <v>0</v>
      </c>
      <c r="AR365" s="10">
        <v>0</v>
      </c>
      <c r="AS365" s="10">
        <v>0</v>
      </c>
      <c r="AT365" s="10">
        <v>0</v>
      </c>
      <c r="AU365" s="10">
        <v>0</v>
      </c>
      <c r="AV365" s="10">
        <v>0</v>
      </c>
      <c r="AW365" s="10">
        <v>0</v>
      </c>
      <c r="AX365" s="10">
        <v>0</v>
      </c>
      <c r="AY365" s="10">
        <v>0</v>
      </c>
      <c r="AZ365" s="10">
        <v>0</v>
      </c>
      <c r="BA365" s="10">
        <v>0</v>
      </c>
      <c r="BB365" s="10">
        <v>0</v>
      </c>
      <c r="BC365" s="10">
        <v>0</v>
      </c>
      <c r="BD365" s="10">
        <v>0</v>
      </c>
      <c r="BE365" s="10">
        <v>0</v>
      </c>
      <c r="BF365" s="10">
        <v>0</v>
      </c>
    </row>
    <row r="366" spans="1:58" ht="14.15" customHeight="1">
      <c r="A366" s="404">
        <f t="shared" si="941"/>
        <v>360</v>
      </c>
      <c r="B366" s="22" t="s">
        <v>230</v>
      </c>
      <c r="C366" s="38">
        <f t="shared" si="979"/>
        <v>432.5399999999953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362.36999999999534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-3.35</v>
      </c>
      <c r="AC366" s="10">
        <v>0</v>
      </c>
      <c r="AD366" s="10">
        <v>0</v>
      </c>
      <c r="AE366" s="10">
        <v>0</v>
      </c>
      <c r="AF366" s="10">
        <v>0</v>
      </c>
      <c r="AG366" s="10">
        <v>73.52</v>
      </c>
      <c r="AH366" s="10">
        <v>0</v>
      </c>
      <c r="AI366" s="10">
        <v>0</v>
      </c>
      <c r="AJ366" s="10">
        <v>0</v>
      </c>
      <c r="AK366" s="10">
        <v>0</v>
      </c>
      <c r="AL366" s="10">
        <v>0</v>
      </c>
      <c r="AM366" s="10">
        <v>0</v>
      </c>
      <c r="AN366" s="10">
        <v>0</v>
      </c>
      <c r="AO366" s="10">
        <v>0</v>
      </c>
      <c r="AP366" s="10">
        <v>0</v>
      </c>
      <c r="AQ366" s="10">
        <v>0</v>
      </c>
      <c r="AR366" s="10">
        <v>0</v>
      </c>
      <c r="AS366" s="10">
        <v>0</v>
      </c>
      <c r="AT366" s="10">
        <v>0</v>
      </c>
      <c r="AU366" s="10">
        <v>0</v>
      </c>
      <c r="AV366" s="10">
        <v>0</v>
      </c>
      <c r="AW366" s="10">
        <v>0</v>
      </c>
      <c r="AX366" s="10">
        <v>0</v>
      </c>
      <c r="AY366" s="10">
        <v>0</v>
      </c>
      <c r="AZ366" s="10">
        <v>0</v>
      </c>
      <c r="BA366" s="10">
        <v>0</v>
      </c>
      <c r="BB366" s="10">
        <v>0</v>
      </c>
      <c r="BC366" s="10">
        <v>0</v>
      </c>
      <c r="BD366" s="10">
        <v>0</v>
      </c>
      <c r="BE366" s="10">
        <v>0</v>
      </c>
      <c r="BF366" s="10">
        <v>0</v>
      </c>
    </row>
    <row r="367" spans="1:58" ht="14.15" customHeight="1">
      <c r="A367" s="404">
        <f t="shared" si="941"/>
        <v>361</v>
      </c>
      <c r="B367" s="22" t="s">
        <v>231</v>
      </c>
      <c r="C367" s="38">
        <f t="shared" si="979"/>
        <v>561.38000000000022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v>0</v>
      </c>
      <c r="N367" s="10">
        <v>0</v>
      </c>
      <c r="O367" s="10">
        <v>0</v>
      </c>
      <c r="P367" s="10">
        <v>0</v>
      </c>
      <c r="Q367" s="10">
        <v>0</v>
      </c>
      <c r="R367" s="10">
        <v>0</v>
      </c>
      <c r="S367" s="10">
        <v>0</v>
      </c>
      <c r="T367" s="10">
        <v>0</v>
      </c>
      <c r="U367" s="10">
        <v>33.180000000000291</v>
      </c>
      <c r="V367" s="10">
        <v>0</v>
      </c>
      <c r="W367" s="10">
        <v>0</v>
      </c>
      <c r="X367" s="10">
        <v>0</v>
      </c>
      <c r="Y367" s="10">
        <v>0</v>
      </c>
      <c r="Z367" s="10">
        <v>0</v>
      </c>
      <c r="AA367" s="10">
        <v>0</v>
      </c>
      <c r="AB367" s="10">
        <v>56.46</v>
      </c>
      <c r="AC367" s="10">
        <v>0</v>
      </c>
      <c r="AD367" s="10">
        <v>0</v>
      </c>
      <c r="AE367" s="10">
        <v>0</v>
      </c>
      <c r="AF367" s="10">
        <v>0</v>
      </c>
      <c r="AG367" s="10">
        <v>471.73999999999995</v>
      </c>
      <c r="AH367" s="10">
        <v>0</v>
      </c>
      <c r="AI367" s="10">
        <v>0</v>
      </c>
      <c r="AJ367" s="10">
        <v>0</v>
      </c>
      <c r="AK367" s="10">
        <v>0</v>
      </c>
      <c r="AL367" s="10">
        <v>0</v>
      </c>
      <c r="AM367" s="10">
        <v>0</v>
      </c>
      <c r="AN367" s="10">
        <v>0</v>
      </c>
      <c r="AO367" s="10">
        <v>0</v>
      </c>
      <c r="AP367" s="10">
        <v>0</v>
      </c>
      <c r="AQ367" s="10">
        <v>0</v>
      </c>
      <c r="AR367" s="10">
        <v>0</v>
      </c>
      <c r="AS367" s="10">
        <v>0</v>
      </c>
      <c r="AT367" s="10">
        <v>0</v>
      </c>
      <c r="AU367" s="10">
        <v>0</v>
      </c>
      <c r="AV367" s="10">
        <v>0</v>
      </c>
      <c r="AW367" s="10">
        <v>0</v>
      </c>
      <c r="AX367" s="10">
        <v>0</v>
      </c>
      <c r="AY367" s="10">
        <v>0</v>
      </c>
      <c r="AZ367" s="10">
        <v>0</v>
      </c>
      <c r="BA367" s="10">
        <v>0</v>
      </c>
      <c r="BB367" s="10">
        <v>0</v>
      </c>
      <c r="BC367" s="10">
        <v>0</v>
      </c>
      <c r="BD367" s="10">
        <v>0</v>
      </c>
      <c r="BE367" s="10">
        <v>0</v>
      </c>
      <c r="BF367" s="10">
        <v>0</v>
      </c>
    </row>
    <row r="368" spans="1:58" ht="14.15" customHeight="1">
      <c r="A368" s="404">
        <f t="shared" si="941"/>
        <v>362</v>
      </c>
      <c r="B368" s="22" t="s">
        <v>232</v>
      </c>
      <c r="C368" s="38">
        <f t="shared" si="979"/>
        <v>139907.47999999992</v>
      </c>
      <c r="D368" s="10">
        <v>0</v>
      </c>
      <c r="E368" s="10">
        <v>0</v>
      </c>
      <c r="F368" s="10">
        <v>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0">
        <v>0</v>
      </c>
      <c r="N368" s="10">
        <v>0</v>
      </c>
      <c r="O368" s="10">
        <v>0</v>
      </c>
      <c r="P368" s="10">
        <v>0</v>
      </c>
      <c r="Q368" s="10">
        <v>0</v>
      </c>
      <c r="R368" s="10">
        <v>0</v>
      </c>
      <c r="S368" s="10">
        <v>0</v>
      </c>
      <c r="T368" s="10">
        <v>0</v>
      </c>
      <c r="U368" s="10">
        <v>1216.4099999999162</v>
      </c>
      <c r="V368" s="10">
        <v>0</v>
      </c>
      <c r="W368" s="10">
        <v>0</v>
      </c>
      <c r="X368" s="10">
        <v>0</v>
      </c>
      <c r="Y368" s="10">
        <v>0</v>
      </c>
      <c r="Z368" s="10">
        <v>0</v>
      </c>
      <c r="AA368" s="10">
        <v>0</v>
      </c>
      <c r="AB368" s="10">
        <v>7349.5899999999983</v>
      </c>
      <c r="AC368" s="10">
        <v>0</v>
      </c>
      <c r="AD368" s="10">
        <v>0</v>
      </c>
      <c r="AE368" s="10">
        <v>0</v>
      </c>
      <c r="AF368" s="10">
        <v>0</v>
      </c>
      <c r="AG368" s="10">
        <v>131880.88</v>
      </c>
      <c r="AH368" s="10">
        <v>-539.4</v>
      </c>
      <c r="AI368" s="10">
        <v>0</v>
      </c>
      <c r="AJ368" s="10">
        <v>0</v>
      </c>
      <c r="AK368" s="10">
        <v>0</v>
      </c>
      <c r="AL368" s="10">
        <v>0</v>
      </c>
      <c r="AM368" s="10">
        <v>0</v>
      </c>
      <c r="AN368" s="10">
        <v>0</v>
      </c>
      <c r="AO368" s="10">
        <v>0</v>
      </c>
      <c r="AP368" s="10">
        <v>0</v>
      </c>
      <c r="AQ368" s="10">
        <v>0</v>
      </c>
      <c r="AR368" s="10">
        <v>0</v>
      </c>
      <c r="AS368" s="10">
        <v>0</v>
      </c>
      <c r="AT368" s="10">
        <v>0</v>
      </c>
      <c r="AU368" s="10">
        <v>0</v>
      </c>
      <c r="AV368" s="10">
        <v>0</v>
      </c>
      <c r="AW368" s="10">
        <v>0</v>
      </c>
      <c r="AX368" s="10">
        <v>0</v>
      </c>
      <c r="AY368" s="10">
        <v>0</v>
      </c>
      <c r="AZ368" s="10">
        <v>0</v>
      </c>
      <c r="BA368" s="10">
        <v>0</v>
      </c>
      <c r="BB368" s="10">
        <v>0</v>
      </c>
      <c r="BC368" s="10">
        <v>0</v>
      </c>
      <c r="BD368" s="10">
        <v>0</v>
      </c>
      <c r="BE368" s="10">
        <v>0</v>
      </c>
      <c r="BF368" s="10">
        <v>0</v>
      </c>
    </row>
    <row r="369" spans="1:58" ht="14.15" customHeight="1">
      <c r="A369" s="404">
        <f t="shared" si="941"/>
        <v>363</v>
      </c>
      <c r="B369" s="22" t="s">
        <v>233</v>
      </c>
      <c r="C369" s="38">
        <f t="shared" si="979"/>
        <v>17927.960000000014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159.14000000001397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101.84000000000003</v>
      </c>
      <c r="AC369" s="10">
        <v>0</v>
      </c>
      <c r="AD369" s="10">
        <v>0</v>
      </c>
      <c r="AE369" s="10">
        <v>0</v>
      </c>
      <c r="AF369" s="10">
        <v>0</v>
      </c>
      <c r="AG369" s="10">
        <v>17666.98</v>
      </c>
      <c r="AH369" s="10">
        <v>0</v>
      </c>
      <c r="AI369" s="10">
        <v>0</v>
      </c>
      <c r="AJ369" s="10">
        <v>0</v>
      </c>
      <c r="AK369" s="10">
        <v>0</v>
      </c>
      <c r="AL369" s="10">
        <v>0</v>
      </c>
      <c r="AM369" s="10">
        <v>0</v>
      </c>
      <c r="AN369" s="10">
        <v>0</v>
      </c>
      <c r="AO369" s="10">
        <v>0</v>
      </c>
      <c r="AP369" s="10">
        <v>0</v>
      </c>
      <c r="AQ369" s="10">
        <v>0</v>
      </c>
      <c r="AR369" s="10">
        <v>0</v>
      </c>
      <c r="AS369" s="10">
        <v>0</v>
      </c>
      <c r="AT369" s="10">
        <v>0</v>
      </c>
      <c r="AU369" s="10">
        <v>0</v>
      </c>
      <c r="AV369" s="10">
        <v>0</v>
      </c>
      <c r="AW369" s="10">
        <v>0</v>
      </c>
      <c r="AX369" s="10">
        <v>0</v>
      </c>
      <c r="AY369" s="10">
        <v>0</v>
      </c>
      <c r="AZ369" s="10">
        <v>0</v>
      </c>
      <c r="BA369" s="10">
        <v>0</v>
      </c>
      <c r="BB369" s="10">
        <v>0</v>
      </c>
      <c r="BC369" s="10">
        <v>0</v>
      </c>
      <c r="BD369" s="10">
        <v>0</v>
      </c>
      <c r="BE369" s="10">
        <v>0</v>
      </c>
      <c r="BF369" s="10">
        <v>0</v>
      </c>
    </row>
    <row r="370" spans="1:58" s="21" customFormat="1" ht="14.15" customHeight="1">
      <c r="A370" s="404">
        <f t="shared" si="941"/>
        <v>364</v>
      </c>
      <c r="B370" s="22" t="s">
        <v>234</v>
      </c>
      <c r="C370" s="38">
        <f t="shared" si="979"/>
        <v>-1947796.9309999996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5777.3990000002086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12582.77</v>
      </c>
      <c r="AC370" s="10">
        <v>0</v>
      </c>
      <c r="AD370" s="10">
        <v>0</v>
      </c>
      <c r="AE370" s="10">
        <v>0</v>
      </c>
      <c r="AF370" s="10">
        <v>-2257483</v>
      </c>
      <c r="AG370" s="10">
        <v>295154.60000000003</v>
      </c>
      <c r="AH370" s="10">
        <v>-3828.7</v>
      </c>
      <c r="AI370" s="10">
        <v>0</v>
      </c>
      <c r="AJ370" s="10">
        <v>0</v>
      </c>
      <c r="AK370" s="10">
        <v>0</v>
      </c>
      <c r="AL370" s="10">
        <v>0</v>
      </c>
      <c r="AM370" s="10">
        <v>0</v>
      </c>
      <c r="AN370" s="10">
        <v>0</v>
      </c>
      <c r="AO370" s="10">
        <v>0</v>
      </c>
      <c r="AP370" s="10">
        <v>0</v>
      </c>
      <c r="AQ370" s="10">
        <v>0</v>
      </c>
      <c r="AR370" s="10">
        <v>0</v>
      </c>
      <c r="AS370" s="10">
        <v>0</v>
      </c>
      <c r="AT370" s="10">
        <v>0</v>
      </c>
      <c r="AU370" s="10">
        <v>0</v>
      </c>
      <c r="AV370" s="10">
        <v>0</v>
      </c>
      <c r="AW370" s="10">
        <v>0</v>
      </c>
      <c r="AX370" s="10">
        <v>0</v>
      </c>
      <c r="AY370" s="10">
        <v>0</v>
      </c>
      <c r="AZ370" s="10">
        <v>0</v>
      </c>
      <c r="BA370" s="10">
        <v>0</v>
      </c>
      <c r="BB370" s="10">
        <v>0</v>
      </c>
      <c r="BC370" s="10">
        <v>0</v>
      </c>
      <c r="BD370" s="10">
        <v>0</v>
      </c>
      <c r="BE370" s="10">
        <v>0</v>
      </c>
      <c r="BF370" s="10">
        <v>0</v>
      </c>
    </row>
    <row r="371" spans="1:58" s="21" customFormat="1" ht="14.15" customHeight="1">
      <c r="A371" s="404">
        <f t="shared" si="941"/>
        <v>365</v>
      </c>
      <c r="B371" s="56" t="s">
        <v>235</v>
      </c>
      <c r="C371" s="38">
        <f t="shared" si="979"/>
        <v>22253.229999999909</v>
      </c>
      <c r="D371" s="43">
        <v>0</v>
      </c>
      <c r="E371" s="43">
        <v>0</v>
      </c>
      <c r="F371" s="43">
        <v>0</v>
      </c>
      <c r="G371" s="43">
        <v>0</v>
      </c>
      <c r="H371" s="43">
        <v>0</v>
      </c>
      <c r="I371" s="43">
        <v>0</v>
      </c>
      <c r="J371" s="43">
        <v>0</v>
      </c>
      <c r="K371" s="43">
        <v>0</v>
      </c>
      <c r="L371" s="43">
        <v>0</v>
      </c>
      <c r="M371" s="43">
        <v>0</v>
      </c>
      <c r="N371" s="43">
        <v>0</v>
      </c>
      <c r="O371" s="43">
        <v>0</v>
      </c>
      <c r="P371" s="43">
        <v>0</v>
      </c>
      <c r="Q371" s="43">
        <v>0</v>
      </c>
      <c r="R371" s="43">
        <v>0</v>
      </c>
      <c r="S371" s="43">
        <v>0</v>
      </c>
      <c r="T371" s="43">
        <v>21148.080000000002</v>
      </c>
      <c r="U371" s="43">
        <v>1105.1499999999069</v>
      </c>
      <c r="V371" s="43">
        <v>0</v>
      </c>
      <c r="W371" s="43">
        <v>0</v>
      </c>
      <c r="X371" s="43">
        <v>0</v>
      </c>
      <c r="Y371" s="43">
        <v>0</v>
      </c>
      <c r="Z371" s="43">
        <v>0</v>
      </c>
      <c r="AA371" s="43">
        <v>0</v>
      </c>
      <c r="AB371" s="43">
        <v>0</v>
      </c>
      <c r="AC371" s="43">
        <v>0</v>
      </c>
      <c r="AD371" s="43">
        <v>0</v>
      </c>
      <c r="AE371" s="43">
        <v>0</v>
      </c>
      <c r="AF371" s="43">
        <v>0</v>
      </c>
      <c r="AG371" s="43">
        <v>0</v>
      </c>
      <c r="AH371" s="43">
        <v>0</v>
      </c>
      <c r="AI371" s="43">
        <v>0</v>
      </c>
      <c r="AJ371" s="43">
        <v>0</v>
      </c>
      <c r="AK371" s="43">
        <v>0</v>
      </c>
      <c r="AL371" s="43">
        <v>0</v>
      </c>
      <c r="AM371" s="43">
        <v>0</v>
      </c>
      <c r="AN371" s="43">
        <v>0</v>
      </c>
      <c r="AO371" s="43">
        <v>0</v>
      </c>
      <c r="AP371" s="43">
        <v>0</v>
      </c>
      <c r="AQ371" s="43">
        <v>0</v>
      </c>
      <c r="AR371" s="43">
        <v>0</v>
      </c>
      <c r="AS371" s="43">
        <v>0</v>
      </c>
      <c r="AT371" s="43">
        <v>0</v>
      </c>
      <c r="AU371" s="43">
        <v>0</v>
      </c>
      <c r="AV371" s="43">
        <v>0</v>
      </c>
      <c r="AW371" s="43">
        <v>0</v>
      </c>
      <c r="AX371" s="43">
        <v>0</v>
      </c>
      <c r="AY371" s="43">
        <v>0</v>
      </c>
      <c r="AZ371" s="43">
        <v>0</v>
      </c>
      <c r="BA371" s="43">
        <v>0</v>
      </c>
      <c r="BB371" s="43">
        <v>0</v>
      </c>
      <c r="BC371" s="43">
        <v>0</v>
      </c>
      <c r="BD371" s="43">
        <v>0</v>
      </c>
      <c r="BE371" s="43">
        <v>0</v>
      </c>
      <c r="BF371" s="43">
        <v>0</v>
      </c>
    </row>
    <row r="372" spans="1:58" ht="14.15" customHeight="1">
      <c r="A372" s="404">
        <f t="shared" si="941"/>
        <v>366</v>
      </c>
      <c r="B372" s="20" t="s">
        <v>490</v>
      </c>
      <c r="C372" s="80">
        <f t="shared" ref="C372:V372" si="980">SUM(C362:C371)</f>
        <v>-1706484.4609999994</v>
      </c>
      <c r="D372" s="80">
        <f t="shared" ref="D372:I372" si="981">SUM(D362:D371)</f>
        <v>0</v>
      </c>
      <c r="E372" s="80">
        <f t="shared" si="981"/>
        <v>0</v>
      </c>
      <c r="F372" s="80">
        <f t="shared" si="981"/>
        <v>0</v>
      </c>
      <c r="G372" s="80">
        <f t="shared" si="981"/>
        <v>0</v>
      </c>
      <c r="H372" s="80">
        <f t="shared" si="981"/>
        <v>0</v>
      </c>
      <c r="I372" s="80">
        <f t="shared" si="981"/>
        <v>0</v>
      </c>
      <c r="J372" s="80">
        <f t="shared" si="980"/>
        <v>0</v>
      </c>
      <c r="K372" s="80">
        <f t="shared" ref="K372:U372" si="982">SUM(K362:K371)</f>
        <v>0</v>
      </c>
      <c r="L372" s="80">
        <f t="shared" si="982"/>
        <v>0</v>
      </c>
      <c r="M372" s="80">
        <f t="shared" si="982"/>
        <v>0</v>
      </c>
      <c r="N372" s="80">
        <f t="shared" si="982"/>
        <v>0</v>
      </c>
      <c r="O372" s="80">
        <f t="shared" si="982"/>
        <v>0</v>
      </c>
      <c r="P372" s="80">
        <f t="shared" si="982"/>
        <v>0</v>
      </c>
      <c r="Q372" s="80">
        <f t="shared" si="982"/>
        <v>0</v>
      </c>
      <c r="R372" s="80">
        <f t="shared" si="982"/>
        <v>0</v>
      </c>
      <c r="S372" s="80">
        <f t="shared" si="982"/>
        <v>0</v>
      </c>
      <c r="T372" s="80">
        <f t="shared" si="982"/>
        <v>21148.080000000002</v>
      </c>
      <c r="U372" s="80">
        <f t="shared" si="982"/>
        <v>11202.149000000303</v>
      </c>
      <c r="V372" s="80">
        <f t="shared" si="980"/>
        <v>0</v>
      </c>
      <c r="W372" s="80">
        <f>SUM(W362:W371)</f>
        <v>0</v>
      </c>
      <c r="X372" s="80">
        <f t="shared" ref="X372:AD372" si="983">SUM(X362:X371)</f>
        <v>0</v>
      </c>
      <c r="Y372" s="80">
        <f>SUM(Y362:Y371)</f>
        <v>0</v>
      </c>
      <c r="Z372" s="80">
        <f t="shared" si="983"/>
        <v>0</v>
      </c>
      <c r="AA372" s="80">
        <f t="shared" si="983"/>
        <v>0</v>
      </c>
      <c r="AB372" s="80">
        <f t="shared" si="983"/>
        <v>24867.339999999997</v>
      </c>
      <c r="AC372" s="80">
        <f t="shared" si="983"/>
        <v>0</v>
      </c>
      <c r="AD372" s="80">
        <f t="shared" si="983"/>
        <v>0</v>
      </c>
      <c r="AE372" s="80">
        <f>SUM(AE362:AE371)</f>
        <v>0</v>
      </c>
      <c r="AF372" s="80">
        <f>SUM(AF362:AF371)</f>
        <v>-2257483</v>
      </c>
      <c r="AG372" s="80">
        <f>SUM(AG362:AG371)</f>
        <v>498149.07000000007</v>
      </c>
      <c r="AH372" s="80">
        <f t="shared" ref="AH372" si="984">SUM(AH362:AH371)</f>
        <v>-4368.0999999999995</v>
      </c>
      <c r="AI372" s="80">
        <f t="shared" ref="AI372:AL372" si="985">SUM(AI362:AI371)</f>
        <v>0</v>
      </c>
      <c r="AJ372" s="80">
        <f t="shared" si="985"/>
        <v>0</v>
      </c>
      <c r="AK372" s="80">
        <f t="shared" si="985"/>
        <v>0</v>
      </c>
      <c r="AL372" s="80">
        <f t="shared" si="985"/>
        <v>0</v>
      </c>
      <c r="AM372" s="80">
        <f>SUM(AM362:AM371)</f>
        <v>0</v>
      </c>
      <c r="AN372" s="80">
        <f>SUM(AN362:AN371)</f>
        <v>0</v>
      </c>
      <c r="AO372" s="80">
        <f>SUM(AO362:AO371)</f>
        <v>0</v>
      </c>
      <c r="AP372" s="80">
        <f>SUM(AP362:AP371)</f>
        <v>0</v>
      </c>
      <c r="AQ372" s="80">
        <f>SUM(AQ362:AQ371)</f>
        <v>0</v>
      </c>
      <c r="AR372" s="80">
        <f t="shared" ref="AR372" si="986">SUM(AR362:AR371)</f>
        <v>0</v>
      </c>
      <c r="AS372" s="80">
        <f>SUM(AS362:AS371)</f>
        <v>0</v>
      </c>
      <c r="AT372" s="80">
        <f t="shared" ref="AT372" si="987">SUM(AT362:AT371)</f>
        <v>0</v>
      </c>
      <c r="AU372" s="80">
        <f t="shared" ref="AU372" si="988">SUM(AU362:AU371)</f>
        <v>0</v>
      </c>
      <c r="AV372" s="80">
        <f t="shared" ref="AV372" si="989">SUM(AV362:AV371)</f>
        <v>0</v>
      </c>
      <c r="AW372" s="80">
        <f>SUM(AW362:AW371)</f>
        <v>0</v>
      </c>
      <c r="AX372" s="80">
        <f t="shared" ref="AX372" si="990">SUM(AX362:AX371)</f>
        <v>0</v>
      </c>
      <c r="AY372" s="80">
        <f t="shared" ref="AY372:BF372" si="991">SUM(AY362:AY371)</f>
        <v>0</v>
      </c>
      <c r="AZ372" s="80">
        <f t="shared" si="991"/>
        <v>0</v>
      </c>
      <c r="BA372" s="80">
        <f t="shared" si="991"/>
        <v>0</v>
      </c>
      <c r="BB372" s="80">
        <f t="shared" si="991"/>
        <v>0</v>
      </c>
      <c r="BC372" s="80">
        <f t="shared" si="991"/>
        <v>0</v>
      </c>
      <c r="BD372" s="80">
        <f t="shared" si="991"/>
        <v>0</v>
      </c>
      <c r="BE372" s="80">
        <f t="shared" si="991"/>
        <v>0</v>
      </c>
      <c r="BF372" s="80">
        <f t="shared" si="991"/>
        <v>0</v>
      </c>
    </row>
    <row r="373" spans="1:58" ht="14.15" customHeight="1">
      <c r="A373" s="404">
        <f t="shared" si="941"/>
        <v>367</v>
      </c>
      <c r="B373" s="157"/>
      <c r="C373" s="157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</row>
    <row r="374" spans="1:58" ht="14.15" customHeight="1">
      <c r="A374" s="404">
        <f t="shared" si="941"/>
        <v>368</v>
      </c>
      <c r="B374" s="22" t="s">
        <v>236</v>
      </c>
      <c r="C374" s="38">
        <f t="shared" ref="C374:C384" si="992">SUM(D374:BF374)</f>
        <v>3680.16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56.819999999999709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48.920000000000016</v>
      </c>
      <c r="AC374" s="10">
        <v>0</v>
      </c>
      <c r="AD374" s="10">
        <v>0</v>
      </c>
      <c r="AE374" s="10">
        <v>0</v>
      </c>
      <c r="AF374" s="10">
        <v>0</v>
      </c>
      <c r="AG374" s="10">
        <v>3574.42</v>
      </c>
      <c r="AH374" s="10">
        <v>0</v>
      </c>
      <c r="AI374" s="10">
        <v>0</v>
      </c>
      <c r="AJ374" s="10">
        <v>0</v>
      </c>
      <c r="AK374" s="10">
        <v>0</v>
      </c>
      <c r="AL374" s="10">
        <v>0</v>
      </c>
      <c r="AM374" s="10">
        <v>0</v>
      </c>
      <c r="AN374" s="10">
        <v>0</v>
      </c>
      <c r="AO374" s="10">
        <v>0</v>
      </c>
      <c r="AP374" s="10">
        <v>0</v>
      </c>
      <c r="AQ374" s="10">
        <v>0</v>
      </c>
      <c r="AR374" s="10">
        <v>0</v>
      </c>
      <c r="AS374" s="10">
        <v>0</v>
      </c>
      <c r="AT374" s="10">
        <v>0</v>
      </c>
      <c r="AU374" s="10">
        <v>0</v>
      </c>
      <c r="AV374" s="10">
        <v>0</v>
      </c>
      <c r="AW374" s="10">
        <v>0</v>
      </c>
      <c r="AX374" s="10">
        <v>0</v>
      </c>
      <c r="AY374" s="10">
        <v>0</v>
      </c>
      <c r="AZ374" s="10">
        <v>0</v>
      </c>
      <c r="BA374" s="10">
        <v>0</v>
      </c>
      <c r="BB374" s="10">
        <v>0</v>
      </c>
      <c r="BC374" s="10">
        <v>0</v>
      </c>
      <c r="BD374" s="10">
        <v>0</v>
      </c>
      <c r="BE374" s="10">
        <v>0</v>
      </c>
      <c r="BF374" s="10">
        <v>0</v>
      </c>
    </row>
    <row r="375" spans="1:58" ht="14.15" customHeight="1">
      <c r="A375" s="404">
        <f t="shared" si="941"/>
        <v>369</v>
      </c>
      <c r="B375" s="22" t="s">
        <v>237</v>
      </c>
      <c r="C375" s="38">
        <f t="shared" si="992"/>
        <v>14.81000000000131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14.81000000000131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0">
        <v>0</v>
      </c>
      <c r="AM375" s="10">
        <v>0</v>
      </c>
      <c r="AN375" s="10">
        <v>0</v>
      </c>
      <c r="AO375" s="10">
        <v>0</v>
      </c>
      <c r="AP375" s="10">
        <v>0</v>
      </c>
      <c r="AQ375" s="10">
        <v>0</v>
      </c>
      <c r="AR375" s="10">
        <v>0</v>
      </c>
      <c r="AS375" s="10">
        <v>0</v>
      </c>
      <c r="AT375" s="10">
        <v>0</v>
      </c>
      <c r="AU375" s="10">
        <v>0</v>
      </c>
      <c r="AV375" s="10">
        <v>0</v>
      </c>
      <c r="AW375" s="10">
        <v>0</v>
      </c>
      <c r="AX375" s="10">
        <v>0</v>
      </c>
      <c r="AY375" s="10">
        <v>0</v>
      </c>
      <c r="AZ375" s="10">
        <v>0</v>
      </c>
      <c r="BA375" s="10">
        <v>0</v>
      </c>
      <c r="BB375" s="10">
        <v>0</v>
      </c>
      <c r="BC375" s="10">
        <v>0</v>
      </c>
      <c r="BD375" s="10">
        <v>0</v>
      </c>
      <c r="BE375" s="10">
        <v>0</v>
      </c>
      <c r="BF375" s="10">
        <v>0</v>
      </c>
    </row>
    <row r="376" spans="1:58" ht="13.15" customHeight="1">
      <c r="A376" s="404">
        <f t="shared" si="941"/>
        <v>370</v>
      </c>
      <c r="B376" s="22" t="s">
        <v>238</v>
      </c>
      <c r="C376" s="38">
        <f t="shared" si="992"/>
        <v>1025.5799999999813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952.97999999998137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72.599999999999994</v>
      </c>
      <c r="AH376" s="10">
        <v>0</v>
      </c>
      <c r="AI376" s="10">
        <v>0</v>
      </c>
      <c r="AJ376" s="10">
        <v>0</v>
      </c>
      <c r="AK376" s="10">
        <v>0</v>
      </c>
      <c r="AL376" s="10">
        <v>0</v>
      </c>
      <c r="AM376" s="10">
        <v>0</v>
      </c>
      <c r="AN376" s="10">
        <v>0</v>
      </c>
      <c r="AO376" s="10">
        <v>0</v>
      </c>
      <c r="AP376" s="10">
        <v>0</v>
      </c>
      <c r="AQ376" s="10">
        <v>0</v>
      </c>
      <c r="AR376" s="10">
        <v>0</v>
      </c>
      <c r="AS376" s="10">
        <v>0</v>
      </c>
      <c r="AT376" s="10">
        <v>0</v>
      </c>
      <c r="AU376" s="10">
        <v>0</v>
      </c>
      <c r="AV376" s="10">
        <v>0</v>
      </c>
      <c r="AW376" s="10">
        <v>0</v>
      </c>
      <c r="AX376" s="10">
        <v>0</v>
      </c>
      <c r="AY376" s="10">
        <v>0</v>
      </c>
      <c r="AZ376" s="10">
        <v>0</v>
      </c>
      <c r="BA376" s="10">
        <v>0</v>
      </c>
      <c r="BB376" s="10">
        <v>0</v>
      </c>
      <c r="BC376" s="10">
        <v>0</v>
      </c>
      <c r="BD376" s="10">
        <v>0</v>
      </c>
      <c r="BE376" s="10">
        <v>0</v>
      </c>
      <c r="BF376" s="10">
        <v>0</v>
      </c>
    </row>
    <row r="377" spans="1:58" ht="14.15" customHeight="1">
      <c r="A377" s="404">
        <f t="shared" si="941"/>
        <v>371</v>
      </c>
      <c r="B377" s="22" t="s">
        <v>239</v>
      </c>
      <c r="C377" s="38">
        <f t="shared" si="992"/>
        <v>1043496.0479999976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29276.737999998033</v>
      </c>
      <c r="V377" s="10">
        <v>0</v>
      </c>
      <c r="W377" s="10">
        <v>0</v>
      </c>
      <c r="X377" s="10">
        <v>215408.01999999955</v>
      </c>
      <c r="Y377" s="10">
        <v>0</v>
      </c>
      <c r="Z377" s="10">
        <v>0</v>
      </c>
      <c r="AA377" s="10">
        <v>0</v>
      </c>
      <c r="AB377" s="10">
        <v>70770.919999999984</v>
      </c>
      <c r="AC377" s="10">
        <v>0</v>
      </c>
      <c r="AD377" s="10">
        <v>0</v>
      </c>
      <c r="AE377" s="10">
        <v>0</v>
      </c>
      <c r="AF377" s="10">
        <v>0</v>
      </c>
      <c r="AG377" s="10">
        <v>728040.37</v>
      </c>
      <c r="AH377" s="10">
        <v>0</v>
      </c>
      <c r="AI377" s="10">
        <v>0</v>
      </c>
      <c r="AJ377" s="10">
        <v>0</v>
      </c>
      <c r="AK377" s="10">
        <v>0</v>
      </c>
      <c r="AL377" s="10">
        <v>0</v>
      </c>
      <c r="AM377" s="10">
        <v>0</v>
      </c>
      <c r="AN377" s="10">
        <v>0</v>
      </c>
      <c r="AO377" s="10">
        <v>0</v>
      </c>
      <c r="AP377" s="10">
        <v>0</v>
      </c>
      <c r="AQ377" s="10">
        <v>0</v>
      </c>
      <c r="AR377" s="10">
        <v>0</v>
      </c>
      <c r="AS377" s="10">
        <v>0</v>
      </c>
      <c r="AT377" s="10">
        <v>0</v>
      </c>
      <c r="AU377" s="10">
        <v>0</v>
      </c>
      <c r="AV377" s="10">
        <v>0</v>
      </c>
      <c r="AW377" s="10">
        <v>0</v>
      </c>
      <c r="AX377" s="10">
        <v>0</v>
      </c>
      <c r="AY377" s="10">
        <v>0</v>
      </c>
      <c r="AZ377" s="10">
        <v>0</v>
      </c>
      <c r="BA377" s="10">
        <v>0</v>
      </c>
      <c r="BB377" s="10">
        <v>0</v>
      </c>
      <c r="BC377" s="10">
        <v>0</v>
      </c>
      <c r="BD377" s="10">
        <v>0</v>
      </c>
      <c r="BE377" s="10">
        <v>0</v>
      </c>
      <c r="BF377" s="10">
        <v>0</v>
      </c>
    </row>
    <row r="378" spans="1:58" ht="12.75" customHeight="1">
      <c r="A378" s="404">
        <f t="shared" si="941"/>
        <v>372</v>
      </c>
      <c r="B378" s="22" t="s">
        <v>319</v>
      </c>
      <c r="C378" s="38">
        <f t="shared" si="992"/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0">
        <v>0</v>
      </c>
      <c r="AM378" s="10">
        <v>0</v>
      </c>
      <c r="AN378" s="10">
        <v>0</v>
      </c>
      <c r="AO378" s="10">
        <v>0</v>
      </c>
      <c r="AP378" s="10">
        <v>0</v>
      </c>
      <c r="AQ378" s="10">
        <v>0</v>
      </c>
      <c r="AR378" s="10">
        <v>0</v>
      </c>
      <c r="AS378" s="10">
        <v>0</v>
      </c>
      <c r="AT378" s="10">
        <v>0</v>
      </c>
      <c r="AU378" s="10">
        <v>0</v>
      </c>
      <c r="AV378" s="10">
        <v>0</v>
      </c>
      <c r="AW378" s="10">
        <v>0</v>
      </c>
      <c r="AX378" s="10">
        <v>0</v>
      </c>
      <c r="AY378" s="10">
        <v>0</v>
      </c>
      <c r="AZ378" s="10">
        <v>0</v>
      </c>
      <c r="BA378" s="10">
        <v>0</v>
      </c>
      <c r="BB378" s="10">
        <v>0</v>
      </c>
      <c r="BC378" s="10">
        <v>0</v>
      </c>
      <c r="BD378" s="10">
        <v>0</v>
      </c>
      <c r="BE378" s="10">
        <v>0</v>
      </c>
      <c r="BF378" s="10">
        <v>0</v>
      </c>
    </row>
    <row r="379" spans="1:58" ht="14.15" customHeight="1">
      <c r="A379" s="404">
        <f t="shared" si="941"/>
        <v>373</v>
      </c>
      <c r="B379" s="22" t="s">
        <v>240</v>
      </c>
      <c r="C379" s="38">
        <f t="shared" si="992"/>
        <v>-6159560.7300000004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401.07000000000698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0">
        <v>0</v>
      </c>
      <c r="AM379" s="10">
        <v>0</v>
      </c>
      <c r="AN379" s="10">
        <v>0</v>
      </c>
      <c r="AO379" s="10">
        <v>0</v>
      </c>
      <c r="AP379" s="10">
        <v>0</v>
      </c>
      <c r="AQ379" s="10">
        <v>0</v>
      </c>
      <c r="AR379" s="10">
        <v>0</v>
      </c>
      <c r="AS379" s="10">
        <v>0</v>
      </c>
      <c r="AT379" s="10">
        <v>0</v>
      </c>
      <c r="AU379" s="10">
        <v>0</v>
      </c>
      <c r="AV379" s="10">
        <v>-6159961.8000000007</v>
      </c>
      <c r="AW379" s="10">
        <v>0</v>
      </c>
      <c r="AX379" s="10">
        <v>0</v>
      </c>
      <c r="AY379" s="10">
        <v>0</v>
      </c>
      <c r="AZ379" s="10">
        <v>0</v>
      </c>
      <c r="BA379" s="10">
        <v>0</v>
      </c>
      <c r="BB379" s="10">
        <v>0</v>
      </c>
      <c r="BC379" s="10">
        <v>0</v>
      </c>
      <c r="BD379" s="10">
        <v>0</v>
      </c>
      <c r="BE379" s="10">
        <v>0</v>
      </c>
      <c r="BF379" s="10">
        <v>0</v>
      </c>
    </row>
    <row r="380" spans="1:58" ht="14.15" customHeight="1">
      <c r="A380" s="404">
        <f t="shared" si="941"/>
        <v>374</v>
      </c>
      <c r="B380" s="22" t="s">
        <v>241</v>
      </c>
      <c r="C380" s="38">
        <f t="shared" si="992"/>
        <v>774.66999999999985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34.069999999999709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-81.28</v>
      </c>
      <c r="AC380" s="10">
        <v>0</v>
      </c>
      <c r="AD380" s="10">
        <v>0</v>
      </c>
      <c r="AE380" s="10">
        <v>0</v>
      </c>
      <c r="AF380" s="10">
        <v>0</v>
      </c>
      <c r="AG380" s="10">
        <v>821.88000000000011</v>
      </c>
      <c r="AH380" s="10">
        <v>0</v>
      </c>
      <c r="AI380" s="10">
        <v>0</v>
      </c>
      <c r="AJ380" s="10">
        <v>0</v>
      </c>
      <c r="AK380" s="10">
        <v>0</v>
      </c>
      <c r="AL380" s="10">
        <v>0</v>
      </c>
      <c r="AM380" s="10">
        <v>0</v>
      </c>
      <c r="AN380" s="10">
        <v>0</v>
      </c>
      <c r="AO380" s="10">
        <v>0</v>
      </c>
      <c r="AP380" s="10">
        <v>0</v>
      </c>
      <c r="AQ380" s="10">
        <v>0</v>
      </c>
      <c r="AR380" s="10">
        <v>0</v>
      </c>
      <c r="AS380" s="10">
        <v>0</v>
      </c>
      <c r="AT380" s="10">
        <v>0</v>
      </c>
      <c r="AU380" s="10">
        <v>0</v>
      </c>
      <c r="AV380" s="10">
        <v>0</v>
      </c>
      <c r="AW380" s="10">
        <v>0</v>
      </c>
      <c r="AX380" s="10">
        <v>0</v>
      </c>
      <c r="AY380" s="10">
        <v>0</v>
      </c>
      <c r="AZ380" s="10">
        <v>0</v>
      </c>
      <c r="BA380" s="10">
        <v>0</v>
      </c>
      <c r="BB380" s="10">
        <v>0</v>
      </c>
      <c r="BC380" s="10">
        <v>0</v>
      </c>
      <c r="BD380" s="10">
        <v>0</v>
      </c>
      <c r="BE380" s="10">
        <v>0</v>
      </c>
      <c r="BF380" s="10">
        <v>0</v>
      </c>
    </row>
    <row r="381" spans="1:58" ht="14.15" customHeight="1">
      <c r="A381" s="404">
        <f t="shared" si="941"/>
        <v>375</v>
      </c>
      <c r="B381" s="22" t="s">
        <v>242</v>
      </c>
      <c r="C381" s="38">
        <f t="shared" si="992"/>
        <v>385.67000000000053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7.4000000000005457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-25.47</v>
      </c>
      <c r="AC381" s="10">
        <v>0</v>
      </c>
      <c r="AD381" s="10">
        <v>0</v>
      </c>
      <c r="AE381" s="10">
        <v>0</v>
      </c>
      <c r="AF381" s="10">
        <v>0</v>
      </c>
      <c r="AG381" s="10">
        <v>403.74</v>
      </c>
      <c r="AH381" s="10">
        <v>0</v>
      </c>
      <c r="AI381" s="10">
        <v>0</v>
      </c>
      <c r="AJ381" s="10">
        <v>0</v>
      </c>
      <c r="AK381" s="10">
        <v>0</v>
      </c>
      <c r="AL381" s="10">
        <v>0</v>
      </c>
      <c r="AM381" s="10">
        <v>0</v>
      </c>
      <c r="AN381" s="10">
        <v>0</v>
      </c>
      <c r="AO381" s="10">
        <v>0</v>
      </c>
      <c r="AP381" s="10">
        <v>0</v>
      </c>
      <c r="AQ381" s="10">
        <v>0</v>
      </c>
      <c r="AR381" s="10">
        <v>0</v>
      </c>
      <c r="AS381" s="10">
        <v>0</v>
      </c>
      <c r="AT381" s="10">
        <v>0</v>
      </c>
      <c r="AU381" s="10">
        <v>0</v>
      </c>
      <c r="AV381" s="10">
        <v>0</v>
      </c>
      <c r="AW381" s="10">
        <v>0</v>
      </c>
      <c r="AX381" s="10">
        <v>0</v>
      </c>
      <c r="AY381" s="10">
        <v>0</v>
      </c>
      <c r="AZ381" s="10">
        <v>0</v>
      </c>
      <c r="BA381" s="10">
        <v>0</v>
      </c>
      <c r="BB381" s="10">
        <v>0</v>
      </c>
      <c r="BC381" s="10">
        <v>0</v>
      </c>
      <c r="BD381" s="10">
        <v>0</v>
      </c>
      <c r="BE381" s="10">
        <v>0</v>
      </c>
      <c r="BF381" s="10">
        <v>0</v>
      </c>
    </row>
    <row r="382" spans="1:58" s="21" customFormat="1" ht="14.15" customHeight="1">
      <c r="A382" s="404">
        <f t="shared" si="941"/>
        <v>376</v>
      </c>
      <c r="B382" s="22" t="s">
        <v>243</v>
      </c>
      <c r="C382" s="38">
        <f t="shared" si="992"/>
        <v>439.25000000000028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7.9700000000002547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-13.55</v>
      </c>
      <c r="AC382" s="10">
        <v>0</v>
      </c>
      <c r="AD382" s="10">
        <v>0</v>
      </c>
      <c r="AE382" s="10">
        <v>0</v>
      </c>
      <c r="AF382" s="10">
        <v>0</v>
      </c>
      <c r="AG382" s="10">
        <v>444.83000000000004</v>
      </c>
      <c r="AH382" s="10">
        <v>0</v>
      </c>
      <c r="AI382" s="10">
        <v>0</v>
      </c>
      <c r="AJ382" s="10">
        <v>0</v>
      </c>
      <c r="AK382" s="10">
        <v>0</v>
      </c>
      <c r="AL382" s="10">
        <v>0</v>
      </c>
      <c r="AM382" s="10">
        <v>0</v>
      </c>
      <c r="AN382" s="10">
        <v>0</v>
      </c>
      <c r="AO382" s="10">
        <v>0</v>
      </c>
      <c r="AP382" s="10">
        <v>0</v>
      </c>
      <c r="AQ382" s="10">
        <v>0</v>
      </c>
      <c r="AR382" s="10">
        <v>0</v>
      </c>
      <c r="AS382" s="10">
        <v>0</v>
      </c>
      <c r="AT382" s="10">
        <v>0</v>
      </c>
      <c r="AU382" s="10">
        <v>0</v>
      </c>
      <c r="AV382" s="10">
        <v>0</v>
      </c>
      <c r="AW382" s="10">
        <v>0</v>
      </c>
      <c r="AX382" s="10">
        <v>0</v>
      </c>
      <c r="AY382" s="10">
        <v>0</v>
      </c>
      <c r="AZ382" s="10">
        <v>0</v>
      </c>
      <c r="BA382" s="10">
        <v>0</v>
      </c>
      <c r="BB382" s="10">
        <v>0</v>
      </c>
      <c r="BC382" s="10">
        <v>0</v>
      </c>
      <c r="BD382" s="10">
        <v>0</v>
      </c>
      <c r="BE382" s="10">
        <v>0</v>
      </c>
      <c r="BF382" s="10">
        <v>0</v>
      </c>
    </row>
    <row r="383" spans="1:58" ht="14.15" customHeight="1">
      <c r="A383" s="404">
        <f t="shared" si="941"/>
        <v>377</v>
      </c>
      <c r="B383" s="22" t="s">
        <v>244</v>
      </c>
      <c r="C383" s="38">
        <f t="shared" si="992"/>
        <v>6075.9300000000039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v>0</v>
      </c>
      <c r="N383" s="10">
        <v>0</v>
      </c>
      <c r="O383" s="10">
        <v>0</v>
      </c>
      <c r="P383" s="10">
        <v>0</v>
      </c>
      <c r="Q383" s="10">
        <v>0</v>
      </c>
      <c r="R383" s="10">
        <v>0</v>
      </c>
      <c r="S383" s="10">
        <v>0</v>
      </c>
      <c r="T383" s="10">
        <v>0</v>
      </c>
      <c r="U383" s="10">
        <v>41.770000000004075</v>
      </c>
      <c r="V383" s="10">
        <v>0</v>
      </c>
      <c r="W383" s="10">
        <v>0</v>
      </c>
      <c r="X383" s="10">
        <v>0</v>
      </c>
      <c r="Y383" s="10">
        <v>0</v>
      </c>
      <c r="Z383" s="10">
        <v>0</v>
      </c>
      <c r="AA383" s="10">
        <v>0</v>
      </c>
      <c r="AB383" s="10">
        <v>374.66999999999996</v>
      </c>
      <c r="AC383" s="10">
        <v>0</v>
      </c>
      <c r="AD383" s="10">
        <v>0</v>
      </c>
      <c r="AE383" s="10">
        <v>0</v>
      </c>
      <c r="AF383" s="10">
        <v>0</v>
      </c>
      <c r="AG383" s="10">
        <v>5659.49</v>
      </c>
      <c r="AH383" s="10">
        <v>0</v>
      </c>
      <c r="AI383" s="10">
        <v>0</v>
      </c>
      <c r="AJ383" s="10">
        <v>0</v>
      </c>
      <c r="AK383" s="10">
        <v>0</v>
      </c>
      <c r="AL383" s="10">
        <v>0</v>
      </c>
      <c r="AM383" s="10">
        <v>0</v>
      </c>
      <c r="AN383" s="10">
        <v>0</v>
      </c>
      <c r="AO383" s="10">
        <v>0</v>
      </c>
      <c r="AP383" s="10">
        <v>0</v>
      </c>
      <c r="AQ383" s="10">
        <v>0</v>
      </c>
      <c r="AR383" s="10">
        <v>0</v>
      </c>
      <c r="AS383" s="10">
        <v>0</v>
      </c>
      <c r="AT383" s="10">
        <v>0</v>
      </c>
      <c r="AU383" s="10">
        <v>0</v>
      </c>
      <c r="AV383" s="10">
        <v>0</v>
      </c>
      <c r="AW383" s="10">
        <v>0</v>
      </c>
      <c r="AX383" s="10">
        <v>0</v>
      </c>
      <c r="AY383" s="10">
        <v>0</v>
      </c>
      <c r="AZ383" s="10">
        <v>0</v>
      </c>
      <c r="BA383" s="10">
        <v>0</v>
      </c>
      <c r="BB383" s="10">
        <v>0</v>
      </c>
      <c r="BC383" s="10">
        <v>0</v>
      </c>
      <c r="BD383" s="10">
        <v>0</v>
      </c>
      <c r="BE383" s="10">
        <v>0</v>
      </c>
      <c r="BF383" s="10">
        <v>0</v>
      </c>
    </row>
    <row r="384" spans="1:58" ht="14.15" customHeight="1">
      <c r="A384" s="404">
        <f t="shared" si="941"/>
        <v>378</v>
      </c>
      <c r="B384" s="56" t="s">
        <v>245</v>
      </c>
      <c r="C384" s="38">
        <f t="shared" si="992"/>
        <v>48.58000000000029</v>
      </c>
      <c r="D384" s="43">
        <v>0</v>
      </c>
      <c r="E384" s="43">
        <v>0</v>
      </c>
      <c r="F384" s="43">
        <v>0</v>
      </c>
      <c r="G384" s="43">
        <v>0</v>
      </c>
      <c r="H384" s="43">
        <v>0</v>
      </c>
      <c r="I384" s="43">
        <v>0</v>
      </c>
      <c r="J384" s="43">
        <v>0</v>
      </c>
      <c r="K384" s="43">
        <v>0</v>
      </c>
      <c r="L384" s="43">
        <v>0</v>
      </c>
      <c r="M384" s="43">
        <v>0</v>
      </c>
      <c r="N384" s="43">
        <v>0</v>
      </c>
      <c r="O384" s="43">
        <v>0</v>
      </c>
      <c r="P384" s="43">
        <v>0</v>
      </c>
      <c r="Q384" s="43">
        <v>0</v>
      </c>
      <c r="R384" s="43">
        <v>0</v>
      </c>
      <c r="S384" s="43">
        <v>0</v>
      </c>
      <c r="T384" s="43">
        <v>0</v>
      </c>
      <c r="U384" s="43">
        <v>27.430000000000291</v>
      </c>
      <c r="V384" s="43">
        <v>0</v>
      </c>
      <c r="W384" s="43">
        <v>0</v>
      </c>
      <c r="X384" s="43">
        <v>0</v>
      </c>
      <c r="Y384" s="43">
        <v>0</v>
      </c>
      <c r="Z384" s="43">
        <v>0</v>
      </c>
      <c r="AA384" s="43">
        <v>0</v>
      </c>
      <c r="AB384" s="43">
        <v>-2.4900000000000002</v>
      </c>
      <c r="AC384" s="43">
        <v>0</v>
      </c>
      <c r="AD384" s="43">
        <v>0</v>
      </c>
      <c r="AE384" s="43">
        <v>0</v>
      </c>
      <c r="AF384" s="43">
        <v>0</v>
      </c>
      <c r="AG384" s="43">
        <v>23.64</v>
      </c>
      <c r="AH384" s="43">
        <v>0</v>
      </c>
      <c r="AI384" s="43">
        <v>0</v>
      </c>
      <c r="AJ384" s="43">
        <v>0</v>
      </c>
      <c r="AK384" s="43">
        <v>0</v>
      </c>
      <c r="AL384" s="43">
        <v>0</v>
      </c>
      <c r="AM384" s="43">
        <v>0</v>
      </c>
      <c r="AN384" s="43">
        <v>0</v>
      </c>
      <c r="AO384" s="43">
        <v>0</v>
      </c>
      <c r="AP384" s="43">
        <v>0</v>
      </c>
      <c r="AQ384" s="43">
        <v>0</v>
      </c>
      <c r="AR384" s="43">
        <v>0</v>
      </c>
      <c r="AS384" s="43">
        <v>0</v>
      </c>
      <c r="AT384" s="43">
        <v>0</v>
      </c>
      <c r="AU384" s="43">
        <v>0</v>
      </c>
      <c r="AV384" s="43">
        <v>0</v>
      </c>
      <c r="AW384" s="43">
        <v>0</v>
      </c>
      <c r="AX384" s="43">
        <v>0</v>
      </c>
      <c r="AY384" s="43">
        <v>0</v>
      </c>
      <c r="AZ384" s="43">
        <v>0</v>
      </c>
      <c r="BA384" s="43">
        <v>0</v>
      </c>
      <c r="BB384" s="43">
        <v>0</v>
      </c>
      <c r="BC384" s="43">
        <v>0</v>
      </c>
      <c r="BD384" s="43">
        <v>0</v>
      </c>
      <c r="BE384" s="43">
        <v>0</v>
      </c>
      <c r="BF384" s="43">
        <v>0</v>
      </c>
    </row>
    <row r="385" spans="1:58" ht="14.15" customHeight="1">
      <c r="A385" s="404">
        <f t="shared" si="941"/>
        <v>379</v>
      </c>
      <c r="B385" s="20" t="s">
        <v>491</v>
      </c>
      <c r="C385" s="47">
        <f t="shared" ref="C385:V385" si="993">SUM(C374:C384)</f>
        <v>-5103620.0320000034</v>
      </c>
      <c r="D385" s="47">
        <f t="shared" ref="D385:I385" si="994">SUM(D374:D384)</f>
        <v>0</v>
      </c>
      <c r="E385" s="47">
        <f t="shared" si="994"/>
        <v>0</v>
      </c>
      <c r="F385" s="47">
        <f t="shared" si="994"/>
        <v>0</v>
      </c>
      <c r="G385" s="47">
        <f t="shared" si="994"/>
        <v>0</v>
      </c>
      <c r="H385" s="47">
        <f t="shared" si="994"/>
        <v>0</v>
      </c>
      <c r="I385" s="47">
        <f t="shared" si="994"/>
        <v>0</v>
      </c>
      <c r="J385" s="47">
        <f t="shared" si="993"/>
        <v>0</v>
      </c>
      <c r="K385" s="47">
        <f t="shared" ref="K385:U385" si="995">SUM(K374:K384)</f>
        <v>0</v>
      </c>
      <c r="L385" s="47">
        <f t="shared" si="995"/>
        <v>0</v>
      </c>
      <c r="M385" s="47">
        <f t="shared" si="995"/>
        <v>0</v>
      </c>
      <c r="N385" s="47">
        <f t="shared" si="995"/>
        <v>0</v>
      </c>
      <c r="O385" s="47">
        <f t="shared" si="995"/>
        <v>0</v>
      </c>
      <c r="P385" s="47">
        <f t="shared" si="995"/>
        <v>0</v>
      </c>
      <c r="Q385" s="47">
        <f t="shared" si="995"/>
        <v>0</v>
      </c>
      <c r="R385" s="47">
        <f t="shared" si="995"/>
        <v>0</v>
      </c>
      <c r="S385" s="47">
        <f t="shared" si="995"/>
        <v>0</v>
      </c>
      <c r="T385" s="47">
        <f t="shared" si="995"/>
        <v>0</v>
      </c>
      <c r="U385" s="47">
        <f t="shared" si="995"/>
        <v>30821.057999998029</v>
      </c>
      <c r="V385" s="47">
        <f t="shared" si="993"/>
        <v>0</v>
      </c>
      <c r="W385" s="47">
        <f>SUM(W374:W384)</f>
        <v>0</v>
      </c>
      <c r="X385" s="47">
        <f t="shared" ref="X385:AD385" si="996">SUM(X374:X384)</f>
        <v>215408.01999999955</v>
      </c>
      <c r="Y385" s="47">
        <f>SUM(Y374:Y384)</f>
        <v>0</v>
      </c>
      <c r="Z385" s="47">
        <f t="shared" si="996"/>
        <v>0</v>
      </c>
      <c r="AA385" s="47">
        <f t="shared" si="996"/>
        <v>0</v>
      </c>
      <c r="AB385" s="47">
        <f t="shared" si="996"/>
        <v>71071.719999999972</v>
      </c>
      <c r="AC385" s="47">
        <f t="shared" si="996"/>
        <v>0</v>
      </c>
      <c r="AD385" s="47">
        <f t="shared" si="996"/>
        <v>0</v>
      </c>
      <c r="AE385" s="47">
        <f>SUM(AE374:AE384)</f>
        <v>0</v>
      </c>
      <c r="AF385" s="47">
        <f>SUM(AF374:AF384)</f>
        <v>0</v>
      </c>
      <c r="AG385" s="47">
        <f>SUM(AG374:AG384)</f>
        <v>739040.97</v>
      </c>
      <c r="AH385" s="47">
        <f t="shared" ref="AH385" si="997">SUM(AH374:AH384)</f>
        <v>0</v>
      </c>
      <c r="AI385" s="47">
        <f t="shared" ref="AI385:AL385" si="998">SUM(AI374:AI384)</f>
        <v>0</v>
      </c>
      <c r="AJ385" s="47">
        <f t="shared" si="998"/>
        <v>0</v>
      </c>
      <c r="AK385" s="47">
        <f t="shared" si="998"/>
        <v>0</v>
      </c>
      <c r="AL385" s="47">
        <f t="shared" si="998"/>
        <v>0</v>
      </c>
      <c r="AM385" s="47">
        <f>SUM(AM374:AM384)</f>
        <v>0</v>
      </c>
      <c r="AN385" s="47">
        <f>SUM(AN374:AN384)</f>
        <v>0</v>
      </c>
      <c r="AO385" s="47">
        <f>SUM(AO374:AO384)</f>
        <v>0</v>
      </c>
      <c r="AP385" s="47">
        <f>SUM(AP374:AP384)</f>
        <v>0</v>
      </c>
      <c r="AQ385" s="47">
        <f>SUM(AQ374:AQ384)</f>
        <v>0</v>
      </c>
      <c r="AR385" s="47">
        <f t="shared" ref="AR385" si="999">SUM(AR374:AR384)</f>
        <v>0</v>
      </c>
      <c r="AS385" s="47">
        <f>SUM(AS374:AS384)</f>
        <v>0</v>
      </c>
      <c r="AT385" s="47">
        <f t="shared" ref="AT385" si="1000">SUM(AT374:AT384)</f>
        <v>0</v>
      </c>
      <c r="AU385" s="47">
        <f t="shared" ref="AU385" si="1001">SUM(AU374:AU384)</f>
        <v>0</v>
      </c>
      <c r="AV385" s="47">
        <f t="shared" ref="AV385" si="1002">SUM(AV374:AV384)</f>
        <v>-6159961.8000000007</v>
      </c>
      <c r="AW385" s="47">
        <f>SUM(AW374:AW384)</f>
        <v>0</v>
      </c>
      <c r="AX385" s="47">
        <f t="shared" ref="AX385" si="1003">SUM(AX374:AX384)</f>
        <v>0</v>
      </c>
      <c r="AY385" s="47">
        <f t="shared" ref="AY385:BF385" si="1004">SUM(AY374:AY384)</f>
        <v>0</v>
      </c>
      <c r="AZ385" s="47">
        <f t="shared" si="1004"/>
        <v>0</v>
      </c>
      <c r="BA385" s="47">
        <f t="shared" si="1004"/>
        <v>0</v>
      </c>
      <c r="BB385" s="47">
        <f t="shared" si="1004"/>
        <v>0</v>
      </c>
      <c r="BC385" s="47">
        <f t="shared" si="1004"/>
        <v>0</v>
      </c>
      <c r="BD385" s="47">
        <f t="shared" si="1004"/>
        <v>0</v>
      </c>
      <c r="BE385" s="47">
        <f t="shared" si="1004"/>
        <v>0</v>
      </c>
      <c r="BF385" s="47">
        <f t="shared" si="1004"/>
        <v>0</v>
      </c>
    </row>
    <row r="386" spans="1:58" ht="14.15" customHeight="1">
      <c r="A386" s="404">
        <f t="shared" si="941"/>
        <v>380</v>
      </c>
      <c r="B386" s="158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  <c r="AV386" s="64"/>
      <c r="AW386" s="64"/>
      <c r="AX386" s="64"/>
      <c r="AY386" s="64"/>
      <c r="AZ386" s="64"/>
      <c r="BA386" s="64"/>
      <c r="BB386" s="64"/>
      <c r="BC386" s="64"/>
      <c r="BD386" s="64"/>
      <c r="BE386" s="64"/>
      <c r="BF386" s="64"/>
    </row>
    <row r="387" spans="1:58" ht="14.15" customHeight="1">
      <c r="A387" s="404">
        <f t="shared" si="941"/>
        <v>381</v>
      </c>
      <c r="B387" s="20" t="s">
        <v>246</v>
      </c>
      <c r="C387" s="16">
        <f t="shared" ref="C387:V387" si="1005">C372+C385</f>
        <v>-6810104.4930000026</v>
      </c>
      <c r="D387" s="16">
        <f t="shared" ref="D387:I387" si="1006">D372+D385</f>
        <v>0</v>
      </c>
      <c r="E387" s="16">
        <f t="shared" si="1006"/>
        <v>0</v>
      </c>
      <c r="F387" s="16">
        <f t="shared" si="1006"/>
        <v>0</v>
      </c>
      <c r="G387" s="16">
        <f t="shared" si="1006"/>
        <v>0</v>
      </c>
      <c r="H387" s="16">
        <f t="shared" si="1006"/>
        <v>0</v>
      </c>
      <c r="I387" s="16">
        <f t="shared" si="1006"/>
        <v>0</v>
      </c>
      <c r="J387" s="16">
        <f t="shared" si="1005"/>
        <v>0</v>
      </c>
      <c r="K387" s="16">
        <f t="shared" ref="K387:U387" si="1007">K372+K385</f>
        <v>0</v>
      </c>
      <c r="L387" s="16">
        <f t="shared" si="1007"/>
        <v>0</v>
      </c>
      <c r="M387" s="16">
        <f t="shared" si="1007"/>
        <v>0</v>
      </c>
      <c r="N387" s="16">
        <f t="shared" si="1007"/>
        <v>0</v>
      </c>
      <c r="O387" s="16">
        <f t="shared" si="1007"/>
        <v>0</v>
      </c>
      <c r="P387" s="16">
        <f t="shared" si="1007"/>
        <v>0</v>
      </c>
      <c r="Q387" s="16">
        <f t="shared" si="1007"/>
        <v>0</v>
      </c>
      <c r="R387" s="16">
        <f t="shared" si="1007"/>
        <v>0</v>
      </c>
      <c r="S387" s="16">
        <f t="shared" si="1007"/>
        <v>0</v>
      </c>
      <c r="T387" s="16">
        <f t="shared" si="1007"/>
        <v>21148.080000000002</v>
      </c>
      <c r="U387" s="16">
        <f t="shared" si="1007"/>
        <v>42023.206999998336</v>
      </c>
      <c r="V387" s="16">
        <f t="shared" si="1005"/>
        <v>0</v>
      </c>
      <c r="W387" s="16">
        <f>W372+W385</f>
        <v>0</v>
      </c>
      <c r="X387" s="16">
        <f t="shared" ref="X387:AD387" si="1008">X372+X385</f>
        <v>215408.01999999955</v>
      </c>
      <c r="Y387" s="16">
        <f>Y372+Y385</f>
        <v>0</v>
      </c>
      <c r="Z387" s="16">
        <f t="shared" si="1008"/>
        <v>0</v>
      </c>
      <c r="AA387" s="16">
        <f t="shared" si="1008"/>
        <v>0</v>
      </c>
      <c r="AB387" s="16">
        <f t="shared" si="1008"/>
        <v>95939.059999999969</v>
      </c>
      <c r="AC387" s="16">
        <f t="shared" si="1008"/>
        <v>0</v>
      </c>
      <c r="AD387" s="16">
        <f t="shared" si="1008"/>
        <v>0</v>
      </c>
      <c r="AE387" s="16">
        <f>AE372+AE385</f>
        <v>0</v>
      </c>
      <c r="AF387" s="16">
        <f>AF372+AF385</f>
        <v>-2257483</v>
      </c>
      <c r="AG387" s="16">
        <f>AG372+AG385</f>
        <v>1237190.04</v>
      </c>
      <c r="AH387" s="16">
        <f t="shared" ref="AH387" si="1009">AH372+AH385</f>
        <v>-4368.0999999999995</v>
      </c>
      <c r="AI387" s="16">
        <f t="shared" ref="AI387:AL387" si="1010">AI372+AI385</f>
        <v>0</v>
      </c>
      <c r="AJ387" s="16">
        <f t="shared" si="1010"/>
        <v>0</v>
      </c>
      <c r="AK387" s="16">
        <f t="shared" si="1010"/>
        <v>0</v>
      </c>
      <c r="AL387" s="16">
        <f t="shared" si="1010"/>
        <v>0</v>
      </c>
      <c r="AM387" s="16">
        <f>AM372+AM385</f>
        <v>0</v>
      </c>
      <c r="AN387" s="16">
        <f>AN372+AN385</f>
        <v>0</v>
      </c>
      <c r="AO387" s="16">
        <f>AO372+AO385</f>
        <v>0</v>
      </c>
      <c r="AP387" s="16">
        <f>AP372+AP385</f>
        <v>0</v>
      </c>
      <c r="AQ387" s="16">
        <f>AQ372+AQ385</f>
        <v>0</v>
      </c>
      <c r="AR387" s="16">
        <f t="shared" ref="AR387" si="1011">AR372+AR385</f>
        <v>0</v>
      </c>
      <c r="AS387" s="16">
        <f>AS372+AS385</f>
        <v>0</v>
      </c>
      <c r="AT387" s="16">
        <f t="shared" ref="AT387" si="1012">AT372+AT385</f>
        <v>0</v>
      </c>
      <c r="AU387" s="16">
        <f t="shared" ref="AU387" si="1013">AU372+AU385</f>
        <v>0</v>
      </c>
      <c r="AV387" s="16">
        <f t="shared" ref="AV387" si="1014">AV372+AV385</f>
        <v>-6159961.8000000007</v>
      </c>
      <c r="AW387" s="16">
        <f>AW372+AW385</f>
        <v>0</v>
      </c>
      <c r="AX387" s="16">
        <f t="shared" ref="AX387" si="1015">AX372+AX385</f>
        <v>0</v>
      </c>
      <c r="AY387" s="16">
        <f t="shared" ref="AY387:BF387" si="1016">AY372+AY385</f>
        <v>0</v>
      </c>
      <c r="AZ387" s="16">
        <f t="shared" si="1016"/>
        <v>0</v>
      </c>
      <c r="BA387" s="16">
        <f t="shared" si="1016"/>
        <v>0</v>
      </c>
      <c r="BB387" s="16">
        <f t="shared" si="1016"/>
        <v>0</v>
      </c>
      <c r="BC387" s="16">
        <f t="shared" si="1016"/>
        <v>0</v>
      </c>
      <c r="BD387" s="16">
        <f t="shared" si="1016"/>
        <v>0</v>
      </c>
      <c r="BE387" s="16">
        <f t="shared" si="1016"/>
        <v>0</v>
      </c>
      <c r="BF387" s="16">
        <f t="shared" si="1016"/>
        <v>0</v>
      </c>
    </row>
    <row r="388" spans="1:58" ht="14.15" customHeight="1">
      <c r="A388" s="404">
        <f t="shared" si="941"/>
        <v>382</v>
      </c>
      <c r="B388" s="123"/>
      <c r="C388" s="157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</row>
    <row r="389" spans="1:58" ht="14.15" customHeight="1">
      <c r="A389" s="404">
        <f t="shared" si="941"/>
        <v>383</v>
      </c>
      <c r="B389" s="13" t="s">
        <v>247</v>
      </c>
      <c r="C389" s="61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  <c r="BF389" s="43"/>
    </row>
    <row r="390" spans="1:58" ht="14.15" customHeight="1">
      <c r="A390" s="404">
        <f t="shared" si="941"/>
        <v>384</v>
      </c>
      <c r="B390" s="22" t="s">
        <v>248</v>
      </c>
      <c r="C390" s="38">
        <f t="shared" ref="C390:C395" si="1017">SUM(D390:BF390)</f>
        <v>-0.13999999999941792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-0.13999999999941792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0">
        <v>0</v>
      </c>
      <c r="AM390" s="10">
        <v>0</v>
      </c>
      <c r="AN390" s="10">
        <v>0</v>
      </c>
      <c r="AO390" s="10">
        <v>0</v>
      </c>
      <c r="AP390" s="10">
        <v>0</v>
      </c>
      <c r="AQ390" s="10">
        <v>0</v>
      </c>
      <c r="AR390" s="10">
        <v>0</v>
      </c>
      <c r="AS390" s="10">
        <v>0</v>
      </c>
      <c r="AT390" s="10">
        <v>0</v>
      </c>
      <c r="AU390" s="10">
        <v>0</v>
      </c>
      <c r="AV390" s="10">
        <v>0</v>
      </c>
      <c r="AW390" s="10">
        <v>0</v>
      </c>
      <c r="AX390" s="10">
        <v>0</v>
      </c>
      <c r="AY390" s="10">
        <v>0</v>
      </c>
      <c r="AZ390" s="10">
        <v>0</v>
      </c>
      <c r="BA390" s="10">
        <v>0</v>
      </c>
      <c r="BB390" s="10">
        <v>0</v>
      </c>
      <c r="BC390" s="10">
        <v>0</v>
      </c>
      <c r="BD390" s="10">
        <v>0</v>
      </c>
      <c r="BE390" s="10">
        <v>0</v>
      </c>
      <c r="BF390" s="10">
        <v>0</v>
      </c>
    </row>
    <row r="391" spans="1:58" ht="14.15" customHeight="1">
      <c r="A391" s="404">
        <f t="shared" si="941"/>
        <v>385</v>
      </c>
      <c r="B391" s="22" t="s">
        <v>249</v>
      </c>
      <c r="C391" s="38">
        <f t="shared" si="1017"/>
        <v>30898.460000000057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4.440000000060536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5321.99</v>
      </c>
      <c r="AC391" s="10">
        <v>0</v>
      </c>
      <c r="AD391" s="10">
        <v>0</v>
      </c>
      <c r="AE391" s="10">
        <v>0</v>
      </c>
      <c r="AF391" s="10">
        <v>0</v>
      </c>
      <c r="AG391" s="10">
        <v>25572.03</v>
      </c>
      <c r="AH391" s="10">
        <v>0</v>
      </c>
      <c r="AI391" s="10">
        <v>0</v>
      </c>
      <c r="AJ391" s="10">
        <v>0</v>
      </c>
      <c r="AK391" s="10">
        <v>0</v>
      </c>
      <c r="AL391" s="10">
        <v>0</v>
      </c>
      <c r="AM391" s="10">
        <v>0</v>
      </c>
      <c r="AN391" s="10">
        <v>0</v>
      </c>
      <c r="AO391" s="10">
        <v>0</v>
      </c>
      <c r="AP391" s="10">
        <v>0</v>
      </c>
      <c r="AQ391" s="10">
        <v>0</v>
      </c>
      <c r="AR391" s="10">
        <v>0</v>
      </c>
      <c r="AS391" s="10">
        <v>0</v>
      </c>
      <c r="AT391" s="10">
        <v>0</v>
      </c>
      <c r="AU391" s="10">
        <v>0</v>
      </c>
      <c r="AV391" s="10">
        <v>0</v>
      </c>
      <c r="AW391" s="10">
        <v>0</v>
      </c>
      <c r="AX391" s="10">
        <v>0</v>
      </c>
      <c r="AY391" s="10">
        <v>0</v>
      </c>
      <c r="AZ391" s="10">
        <v>0</v>
      </c>
      <c r="BA391" s="10">
        <v>0</v>
      </c>
      <c r="BB391" s="10">
        <v>0</v>
      </c>
      <c r="BC391" s="10">
        <v>0</v>
      </c>
      <c r="BD391" s="10">
        <v>0</v>
      </c>
      <c r="BE391" s="10">
        <v>0</v>
      </c>
      <c r="BF391" s="10">
        <v>0</v>
      </c>
    </row>
    <row r="392" spans="1:58" ht="14.15" customHeight="1">
      <c r="A392" s="404">
        <f t="shared" si="941"/>
        <v>386</v>
      </c>
      <c r="B392" s="22" t="s">
        <v>250</v>
      </c>
      <c r="C392" s="38">
        <f t="shared" si="1017"/>
        <v>78715.400000000067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57.080000000074506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2868.0599999999995</v>
      </c>
      <c r="AC392" s="10">
        <v>0</v>
      </c>
      <c r="AD392" s="10">
        <v>0</v>
      </c>
      <c r="AE392" s="10">
        <v>0</v>
      </c>
      <c r="AF392" s="10">
        <v>0</v>
      </c>
      <c r="AG392" s="10">
        <v>75790.259999999995</v>
      </c>
      <c r="AH392" s="10">
        <v>0</v>
      </c>
      <c r="AI392" s="10">
        <v>0</v>
      </c>
      <c r="AJ392" s="10">
        <v>0</v>
      </c>
      <c r="AK392" s="10">
        <v>0</v>
      </c>
      <c r="AL392" s="10">
        <v>0</v>
      </c>
      <c r="AM392" s="10">
        <v>0</v>
      </c>
      <c r="AN392" s="10">
        <v>0</v>
      </c>
      <c r="AO392" s="10">
        <v>0</v>
      </c>
      <c r="AP392" s="10">
        <v>0</v>
      </c>
      <c r="AQ392" s="10">
        <v>0</v>
      </c>
      <c r="AR392" s="10">
        <v>0</v>
      </c>
      <c r="AS392" s="10">
        <v>0</v>
      </c>
      <c r="AT392" s="10">
        <v>0</v>
      </c>
      <c r="AU392" s="10">
        <v>0</v>
      </c>
      <c r="AV392" s="10">
        <v>0</v>
      </c>
      <c r="AW392" s="10">
        <v>0</v>
      </c>
      <c r="AX392" s="10">
        <v>0</v>
      </c>
      <c r="AY392" s="10">
        <v>0</v>
      </c>
      <c r="AZ392" s="10">
        <v>0</v>
      </c>
      <c r="BA392" s="10">
        <v>0</v>
      </c>
      <c r="BB392" s="10">
        <v>0</v>
      </c>
      <c r="BC392" s="10">
        <v>0</v>
      </c>
      <c r="BD392" s="10">
        <v>0</v>
      </c>
      <c r="BE392" s="10">
        <v>0</v>
      </c>
      <c r="BF392" s="10">
        <v>0</v>
      </c>
    </row>
    <row r="393" spans="1:58" ht="14.15" customHeight="1">
      <c r="A393" s="404">
        <f t="shared" si="941"/>
        <v>387</v>
      </c>
      <c r="B393" s="22" t="s">
        <v>251</v>
      </c>
      <c r="C393" s="38">
        <f t="shared" si="1017"/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0">
        <v>0</v>
      </c>
      <c r="AM393" s="10">
        <v>0</v>
      </c>
      <c r="AN393" s="10">
        <v>0</v>
      </c>
      <c r="AO393" s="10">
        <v>0</v>
      </c>
      <c r="AP393" s="10">
        <v>0</v>
      </c>
      <c r="AQ393" s="10">
        <v>0</v>
      </c>
      <c r="AR393" s="10">
        <v>0</v>
      </c>
      <c r="AS393" s="10">
        <v>0</v>
      </c>
      <c r="AT393" s="10">
        <v>0</v>
      </c>
      <c r="AU393" s="10">
        <v>0</v>
      </c>
      <c r="AV393" s="10">
        <v>0</v>
      </c>
      <c r="AW393" s="10">
        <v>0</v>
      </c>
      <c r="AX393" s="10">
        <v>0</v>
      </c>
      <c r="AY393" s="10">
        <v>0</v>
      </c>
      <c r="AZ393" s="10">
        <v>0</v>
      </c>
      <c r="BA393" s="10">
        <v>0</v>
      </c>
      <c r="BB393" s="10">
        <v>0</v>
      </c>
      <c r="BC393" s="10">
        <v>0</v>
      </c>
      <c r="BD393" s="10">
        <v>0</v>
      </c>
      <c r="BE393" s="10">
        <v>0</v>
      </c>
      <c r="BF393" s="10">
        <v>0</v>
      </c>
    </row>
    <row r="394" spans="1:58" s="21" customFormat="1" ht="14.15" customHeight="1">
      <c r="A394" s="404">
        <f t="shared" si="941"/>
        <v>388</v>
      </c>
      <c r="B394" s="22" t="s">
        <v>252</v>
      </c>
      <c r="C394" s="38">
        <f t="shared" si="1017"/>
        <v>-0.54000000000087311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-0.54000000000087311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0">
        <v>0</v>
      </c>
      <c r="AM394" s="10">
        <v>0</v>
      </c>
      <c r="AN394" s="10">
        <v>0</v>
      </c>
      <c r="AO394" s="10">
        <v>0</v>
      </c>
      <c r="AP394" s="10">
        <v>0</v>
      </c>
      <c r="AQ394" s="10">
        <v>0</v>
      </c>
      <c r="AR394" s="10">
        <v>0</v>
      </c>
      <c r="AS394" s="10">
        <v>0</v>
      </c>
      <c r="AT394" s="10">
        <v>0</v>
      </c>
      <c r="AU394" s="10">
        <v>0</v>
      </c>
      <c r="AV394" s="10">
        <v>0</v>
      </c>
      <c r="AW394" s="10">
        <v>0</v>
      </c>
      <c r="AX394" s="10">
        <v>0</v>
      </c>
      <c r="AY394" s="10">
        <v>0</v>
      </c>
      <c r="AZ394" s="10">
        <v>0</v>
      </c>
      <c r="BA394" s="10">
        <v>0</v>
      </c>
      <c r="BB394" s="10">
        <v>0</v>
      </c>
      <c r="BC394" s="10">
        <v>0</v>
      </c>
      <c r="BD394" s="10">
        <v>0</v>
      </c>
      <c r="BE394" s="10">
        <v>0</v>
      </c>
      <c r="BF394" s="10">
        <v>0</v>
      </c>
    </row>
    <row r="395" spans="1:58" ht="14.15" customHeight="1">
      <c r="A395" s="404">
        <f t="shared" si="941"/>
        <v>389</v>
      </c>
      <c r="B395" s="56" t="s">
        <v>253</v>
      </c>
      <c r="C395" s="38">
        <f t="shared" si="1017"/>
        <v>0.24000000000160071</v>
      </c>
      <c r="D395" s="43">
        <v>0</v>
      </c>
      <c r="E395" s="43">
        <v>0</v>
      </c>
      <c r="F395" s="43">
        <v>0</v>
      </c>
      <c r="G395" s="43">
        <v>0</v>
      </c>
      <c r="H395" s="43">
        <v>0</v>
      </c>
      <c r="I395" s="43">
        <v>0</v>
      </c>
      <c r="J395" s="43">
        <v>0</v>
      </c>
      <c r="K395" s="43">
        <v>0</v>
      </c>
      <c r="L395" s="43">
        <v>0</v>
      </c>
      <c r="M395" s="43">
        <v>0</v>
      </c>
      <c r="N395" s="43">
        <v>0</v>
      </c>
      <c r="O395" s="10">
        <v>0</v>
      </c>
      <c r="P395" s="43">
        <v>0</v>
      </c>
      <c r="Q395" s="43">
        <v>0</v>
      </c>
      <c r="R395" s="43">
        <v>0</v>
      </c>
      <c r="S395" s="43">
        <v>0</v>
      </c>
      <c r="T395" s="43">
        <v>0</v>
      </c>
      <c r="U395" s="43">
        <v>0.24000000000160071</v>
      </c>
      <c r="V395" s="43">
        <v>0</v>
      </c>
      <c r="W395" s="43">
        <v>0</v>
      </c>
      <c r="X395" s="43">
        <v>0</v>
      </c>
      <c r="Y395" s="43">
        <v>0</v>
      </c>
      <c r="Z395" s="43">
        <v>0</v>
      </c>
      <c r="AA395" s="43">
        <v>0</v>
      </c>
      <c r="AB395" s="43">
        <v>0</v>
      </c>
      <c r="AC395" s="43">
        <v>0</v>
      </c>
      <c r="AD395" s="43">
        <v>0</v>
      </c>
      <c r="AE395" s="43">
        <v>0</v>
      </c>
      <c r="AF395" s="43">
        <v>0</v>
      </c>
      <c r="AG395" s="43">
        <v>0</v>
      </c>
      <c r="AH395" s="43">
        <v>0</v>
      </c>
      <c r="AI395" s="43">
        <v>0</v>
      </c>
      <c r="AJ395" s="43">
        <v>0</v>
      </c>
      <c r="AK395" s="43">
        <v>0</v>
      </c>
      <c r="AL395" s="43">
        <v>0</v>
      </c>
      <c r="AM395" s="43">
        <v>0</v>
      </c>
      <c r="AN395" s="43">
        <v>0</v>
      </c>
      <c r="AO395" s="43">
        <v>0</v>
      </c>
      <c r="AP395" s="43">
        <v>0</v>
      </c>
      <c r="AQ395" s="43">
        <v>0</v>
      </c>
      <c r="AR395" s="43">
        <v>0</v>
      </c>
      <c r="AS395" s="43">
        <v>0</v>
      </c>
      <c r="AT395" s="43">
        <v>0</v>
      </c>
      <c r="AU395" s="43">
        <v>0</v>
      </c>
      <c r="AV395" s="43">
        <v>0</v>
      </c>
      <c r="AW395" s="43">
        <v>0</v>
      </c>
      <c r="AX395" s="43">
        <v>0</v>
      </c>
      <c r="AY395" s="43">
        <v>0</v>
      </c>
      <c r="AZ395" s="43">
        <v>0</v>
      </c>
      <c r="BA395" s="43">
        <v>0</v>
      </c>
      <c r="BB395" s="43">
        <v>0</v>
      </c>
      <c r="BC395" s="43">
        <v>0</v>
      </c>
      <c r="BD395" s="43">
        <v>0</v>
      </c>
      <c r="BE395" s="43">
        <v>0</v>
      </c>
      <c r="BF395" s="43">
        <v>0</v>
      </c>
    </row>
    <row r="396" spans="1:58" ht="14.15" customHeight="1">
      <c r="A396" s="404">
        <f t="shared" si="941"/>
        <v>390</v>
      </c>
      <c r="B396" s="20" t="s">
        <v>492</v>
      </c>
      <c r="C396" s="80">
        <f t="shared" ref="C396:V396" si="1018">SUM(C390:C395)</f>
        <v>109613.42000000011</v>
      </c>
      <c r="D396" s="80">
        <f t="shared" ref="D396:I396" si="1019">SUM(D390:D395)</f>
        <v>0</v>
      </c>
      <c r="E396" s="80">
        <f t="shared" si="1019"/>
        <v>0</v>
      </c>
      <c r="F396" s="80">
        <f t="shared" si="1019"/>
        <v>0</v>
      </c>
      <c r="G396" s="80">
        <f t="shared" si="1019"/>
        <v>0</v>
      </c>
      <c r="H396" s="80">
        <f t="shared" si="1019"/>
        <v>0</v>
      </c>
      <c r="I396" s="80">
        <f t="shared" si="1019"/>
        <v>0</v>
      </c>
      <c r="J396" s="80">
        <f t="shared" si="1018"/>
        <v>0</v>
      </c>
      <c r="K396" s="80">
        <f t="shared" ref="K396:U396" si="1020">SUM(K390:K395)</f>
        <v>0</v>
      </c>
      <c r="L396" s="80">
        <f t="shared" si="1020"/>
        <v>0</v>
      </c>
      <c r="M396" s="80">
        <f t="shared" si="1020"/>
        <v>0</v>
      </c>
      <c r="N396" s="80">
        <f t="shared" si="1020"/>
        <v>0</v>
      </c>
      <c r="O396" s="80">
        <f t="shared" si="1020"/>
        <v>0</v>
      </c>
      <c r="P396" s="80">
        <f t="shared" si="1020"/>
        <v>0</v>
      </c>
      <c r="Q396" s="80">
        <f t="shared" si="1020"/>
        <v>0</v>
      </c>
      <c r="R396" s="80">
        <f t="shared" si="1020"/>
        <v>0</v>
      </c>
      <c r="S396" s="80">
        <f t="shared" si="1020"/>
        <v>0</v>
      </c>
      <c r="T396" s="80">
        <f t="shared" si="1020"/>
        <v>0</v>
      </c>
      <c r="U396" s="80">
        <f t="shared" si="1020"/>
        <v>61.080000000136351</v>
      </c>
      <c r="V396" s="80">
        <f t="shared" si="1018"/>
        <v>0</v>
      </c>
      <c r="W396" s="80">
        <f>SUM(W390:W395)</f>
        <v>0</v>
      </c>
      <c r="X396" s="80">
        <f t="shared" ref="X396:AD396" si="1021">SUM(X390:X395)</f>
        <v>0</v>
      </c>
      <c r="Y396" s="80">
        <f>SUM(Y390:Y395)</f>
        <v>0</v>
      </c>
      <c r="Z396" s="80">
        <f t="shared" si="1021"/>
        <v>0</v>
      </c>
      <c r="AA396" s="80">
        <f t="shared" si="1021"/>
        <v>0</v>
      </c>
      <c r="AB396" s="80">
        <f t="shared" si="1021"/>
        <v>8190.0499999999993</v>
      </c>
      <c r="AC396" s="80">
        <f t="shared" si="1021"/>
        <v>0</v>
      </c>
      <c r="AD396" s="80">
        <f t="shared" si="1021"/>
        <v>0</v>
      </c>
      <c r="AE396" s="80">
        <f>SUM(AE390:AE395)</f>
        <v>0</v>
      </c>
      <c r="AF396" s="80">
        <f>SUM(AF390:AF395)</f>
        <v>0</v>
      </c>
      <c r="AG396" s="80">
        <f>SUM(AG390:AG395)</f>
        <v>101362.29</v>
      </c>
      <c r="AH396" s="80">
        <f t="shared" ref="AH396" si="1022">SUM(AH390:AH395)</f>
        <v>0</v>
      </c>
      <c r="AI396" s="80">
        <f t="shared" ref="AI396:AL396" si="1023">SUM(AI390:AI395)</f>
        <v>0</v>
      </c>
      <c r="AJ396" s="80">
        <f t="shared" si="1023"/>
        <v>0</v>
      </c>
      <c r="AK396" s="80">
        <f t="shared" si="1023"/>
        <v>0</v>
      </c>
      <c r="AL396" s="80">
        <f t="shared" si="1023"/>
        <v>0</v>
      </c>
      <c r="AM396" s="80">
        <f>SUM(AM390:AM395)</f>
        <v>0</v>
      </c>
      <c r="AN396" s="80">
        <f>SUM(AN390:AN395)</f>
        <v>0</v>
      </c>
      <c r="AO396" s="80">
        <f>SUM(AO390:AO395)</f>
        <v>0</v>
      </c>
      <c r="AP396" s="80">
        <f>SUM(AP390:AP395)</f>
        <v>0</v>
      </c>
      <c r="AQ396" s="80">
        <f>SUM(AQ390:AQ395)</f>
        <v>0</v>
      </c>
      <c r="AR396" s="80">
        <f t="shared" ref="AR396" si="1024">SUM(AR390:AR395)</f>
        <v>0</v>
      </c>
      <c r="AS396" s="80">
        <f>SUM(AS390:AS395)</f>
        <v>0</v>
      </c>
      <c r="AT396" s="80">
        <f t="shared" ref="AT396" si="1025">SUM(AT390:AT395)</f>
        <v>0</v>
      </c>
      <c r="AU396" s="80">
        <f t="shared" ref="AU396" si="1026">SUM(AU390:AU395)</f>
        <v>0</v>
      </c>
      <c r="AV396" s="80">
        <f t="shared" ref="AV396" si="1027">SUM(AV390:AV395)</f>
        <v>0</v>
      </c>
      <c r="AW396" s="80">
        <f>SUM(AW390:AW395)</f>
        <v>0</v>
      </c>
      <c r="AX396" s="80">
        <f t="shared" ref="AX396" si="1028">SUM(AX390:AX395)</f>
        <v>0</v>
      </c>
      <c r="AY396" s="80">
        <f t="shared" ref="AY396:BF396" si="1029">SUM(AY390:AY395)</f>
        <v>0</v>
      </c>
      <c r="AZ396" s="80">
        <f t="shared" si="1029"/>
        <v>0</v>
      </c>
      <c r="BA396" s="80">
        <f t="shared" si="1029"/>
        <v>0</v>
      </c>
      <c r="BB396" s="80">
        <f t="shared" si="1029"/>
        <v>0</v>
      </c>
      <c r="BC396" s="80">
        <f t="shared" si="1029"/>
        <v>0</v>
      </c>
      <c r="BD396" s="80">
        <f t="shared" si="1029"/>
        <v>0</v>
      </c>
      <c r="BE396" s="80">
        <f t="shared" si="1029"/>
        <v>0</v>
      </c>
      <c r="BF396" s="80">
        <f t="shared" si="1029"/>
        <v>0</v>
      </c>
    </row>
    <row r="397" spans="1:58" ht="14.15" customHeight="1">
      <c r="A397" s="404">
        <f t="shared" si="941"/>
        <v>391</v>
      </c>
      <c r="B397" s="123"/>
      <c r="C397" s="123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</row>
    <row r="398" spans="1:58" ht="14.15" customHeight="1">
      <c r="A398" s="404">
        <f t="shared" si="941"/>
        <v>392</v>
      </c>
      <c r="B398" s="13" t="s">
        <v>254</v>
      </c>
      <c r="C398" s="1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  <c r="BC398" s="43"/>
      <c r="BD398" s="43"/>
      <c r="BE398" s="43"/>
      <c r="BF398" s="43"/>
    </row>
    <row r="399" spans="1:58" ht="14.15" customHeight="1">
      <c r="A399" s="404">
        <f t="shared" si="941"/>
        <v>393</v>
      </c>
      <c r="B399" s="22" t="s">
        <v>255</v>
      </c>
      <c r="C399" s="38">
        <f>SUM(D399:BF399)</f>
        <v>1994.3300000000024</v>
      </c>
      <c r="D399" s="43">
        <v>0</v>
      </c>
      <c r="E399" s="43">
        <v>0</v>
      </c>
      <c r="F399" s="43">
        <v>0</v>
      </c>
      <c r="G399" s="43">
        <v>0</v>
      </c>
      <c r="H399" s="43">
        <v>0</v>
      </c>
      <c r="I399" s="43">
        <v>0</v>
      </c>
      <c r="J399" s="43">
        <v>0</v>
      </c>
      <c r="K399" s="43">
        <v>0</v>
      </c>
      <c r="L399" s="43">
        <v>0</v>
      </c>
      <c r="M399" s="43">
        <v>0</v>
      </c>
      <c r="N399" s="43">
        <v>0</v>
      </c>
      <c r="O399" s="43">
        <v>0</v>
      </c>
      <c r="P399" s="43">
        <v>0</v>
      </c>
      <c r="Q399" s="43">
        <v>0</v>
      </c>
      <c r="R399" s="43">
        <v>0</v>
      </c>
      <c r="S399" s="43">
        <v>0</v>
      </c>
      <c r="T399" s="43">
        <v>0</v>
      </c>
      <c r="U399" s="43">
        <v>0.62000000000261934</v>
      </c>
      <c r="V399" s="43">
        <v>0</v>
      </c>
      <c r="W399" s="43">
        <v>0</v>
      </c>
      <c r="X399" s="43">
        <v>0</v>
      </c>
      <c r="Y399" s="43">
        <v>0</v>
      </c>
      <c r="Z399" s="43">
        <v>0</v>
      </c>
      <c r="AA399" s="43">
        <v>0</v>
      </c>
      <c r="AB399" s="43">
        <v>-21.43</v>
      </c>
      <c r="AC399" s="43">
        <v>0</v>
      </c>
      <c r="AD399" s="43">
        <v>0</v>
      </c>
      <c r="AE399" s="43">
        <v>0</v>
      </c>
      <c r="AF399" s="43">
        <v>0</v>
      </c>
      <c r="AG399" s="43">
        <v>2015.1399999999999</v>
      </c>
      <c r="AH399" s="43">
        <v>0</v>
      </c>
      <c r="AI399" s="43">
        <v>0</v>
      </c>
      <c r="AJ399" s="43">
        <v>0</v>
      </c>
      <c r="AK399" s="43">
        <v>0</v>
      </c>
      <c r="AL399" s="43">
        <v>0</v>
      </c>
      <c r="AM399" s="43">
        <v>0</v>
      </c>
      <c r="AN399" s="43">
        <v>0</v>
      </c>
      <c r="AO399" s="43">
        <v>0</v>
      </c>
      <c r="AP399" s="43">
        <v>0</v>
      </c>
      <c r="AQ399" s="43">
        <v>0</v>
      </c>
      <c r="AR399" s="43">
        <v>0</v>
      </c>
      <c r="AS399" s="43">
        <v>0</v>
      </c>
      <c r="AT399" s="43">
        <v>0</v>
      </c>
      <c r="AU399" s="43">
        <v>0</v>
      </c>
      <c r="AV399" s="43">
        <v>0</v>
      </c>
      <c r="AW399" s="43">
        <v>0</v>
      </c>
      <c r="AX399" s="43">
        <v>0</v>
      </c>
      <c r="AY399" s="43">
        <v>0</v>
      </c>
      <c r="AZ399" s="43">
        <v>0</v>
      </c>
      <c r="BA399" s="43">
        <v>0</v>
      </c>
      <c r="BB399" s="43">
        <v>0</v>
      </c>
      <c r="BC399" s="43">
        <v>0</v>
      </c>
      <c r="BD399" s="43">
        <v>0</v>
      </c>
      <c r="BE399" s="43">
        <v>0</v>
      </c>
      <c r="BF399" s="43">
        <v>0</v>
      </c>
    </row>
    <row r="400" spans="1:58" ht="13.5" customHeight="1">
      <c r="A400" s="404">
        <f t="shared" si="941"/>
        <v>394</v>
      </c>
      <c r="B400" s="22" t="s">
        <v>256</v>
      </c>
      <c r="C400" s="38">
        <f>SUM(D400:BF400)</f>
        <v>-1489654.74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465">
        <v>-515763.11999999994</v>
      </c>
      <c r="O400" s="465">
        <v>-628079.1</v>
      </c>
      <c r="P400" s="465">
        <v>-373893.79</v>
      </c>
      <c r="Q400" s="10">
        <v>0</v>
      </c>
      <c r="R400" s="10">
        <v>0</v>
      </c>
      <c r="S400" s="10">
        <v>0</v>
      </c>
      <c r="T400" s="10">
        <v>0</v>
      </c>
      <c r="U400" s="10">
        <v>20.790000000037253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77.71999999999997</v>
      </c>
      <c r="AC400" s="10">
        <v>0</v>
      </c>
      <c r="AD400" s="10">
        <v>0</v>
      </c>
      <c r="AE400" s="10">
        <v>0</v>
      </c>
      <c r="AF400" s="10">
        <v>0</v>
      </c>
      <c r="AG400" s="10">
        <v>27982.760000000002</v>
      </c>
      <c r="AH400" s="10">
        <v>0</v>
      </c>
      <c r="AI400" s="10">
        <v>0</v>
      </c>
      <c r="AJ400" s="10">
        <v>0</v>
      </c>
      <c r="AK400" s="10">
        <v>0</v>
      </c>
      <c r="AL400" s="10">
        <v>0</v>
      </c>
      <c r="AM400" s="10">
        <v>0</v>
      </c>
      <c r="AN400" s="10">
        <v>0</v>
      </c>
      <c r="AO400" s="10">
        <v>0</v>
      </c>
      <c r="AP400" s="10">
        <v>0</v>
      </c>
      <c r="AQ400" s="10">
        <v>0</v>
      </c>
      <c r="AR400" s="10">
        <v>0</v>
      </c>
      <c r="AS400" s="10">
        <v>0</v>
      </c>
      <c r="AT400" s="10">
        <v>0</v>
      </c>
      <c r="AU400" s="10">
        <v>0</v>
      </c>
      <c r="AV400" s="10">
        <v>0</v>
      </c>
      <c r="AW400" s="10">
        <v>0</v>
      </c>
      <c r="AX400" s="10">
        <v>0</v>
      </c>
      <c r="AY400" s="10">
        <v>0</v>
      </c>
      <c r="AZ400" s="10">
        <v>0</v>
      </c>
      <c r="BA400" s="10">
        <v>0</v>
      </c>
      <c r="BB400" s="10">
        <v>0</v>
      </c>
      <c r="BC400" s="10">
        <v>0</v>
      </c>
      <c r="BD400" s="10">
        <v>0</v>
      </c>
      <c r="BE400" s="10">
        <v>0</v>
      </c>
      <c r="BF400" s="10">
        <v>0</v>
      </c>
    </row>
    <row r="401" spans="1:58" ht="14.15" customHeight="1">
      <c r="A401" s="404">
        <f t="shared" si="941"/>
        <v>395</v>
      </c>
      <c r="B401" s="22" t="s">
        <v>257</v>
      </c>
      <c r="C401" s="38">
        <f>SUM(D401:BF401)</f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v>0</v>
      </c>
      <c r="N401" s="10">
        <v>0</v>
      </c>
      <c r="O401" s="10">
        <v>0</v>
      </c>
      <c r="P401" s="10">
        <v>0</v>
      </c>
      <c r="Q401" s="10">
        <v>0</v>
      </c>
      <c r="R401" s="10">
        <v>0</v>
      </c>
      <c r="S401" s="10">
        <v>0</v>
      </c>
      <c r="T401" s="10">
        <v>0</v>
      </c>
      <c r="U401" s="10">
        <v>0</v>
      </c>
      <c r="V401" s="10">
        <v>0</v>
      </c>
      <c r="W401" s="10">
        <v>0</v>
      </c>
      <c r="X401" s="10">
        <v>0</v>
      </c>
      <c r="Y401" s="10">
        <v>0</v>
      </c>
      <c r="Z401" s="10">
        <v>0</v>
      </c>
      <c r="AA401" s="10">
        <v>0</v>
      </c>
      <c r="AB401" s="10">
        <v>0</v>
      </c>
      <c r="AC401" s="10">
        <v>0</v>
      </c>
      <c r="AD401" s="10">
        <v>0</v>
      </c>
      <c r="AE401" s="10">
        <v>0</v>
      </c>
      <c r="AF401" s="10">
        <v>0</v>
      </c>
      <c r="AG401" s="10">
        <v>0</v>
      </c>
      <c r="AH401" s="10">
        <v>0</v>
      </c>
      <c r="AI401" s="10">
        <v>0</v>
      </c>
      <c r="AJ401" s="10">
        <v>0</v>
      </c>
      <c r="AK401" s="10">
        <v>0</v>
      </c>
      <c r="AL401" s="10">
        <v>0</v>
      </c>
      <c r="AM401" s="10">
        <v>0</v>
      </c>
      <c r="AN401" s="10">
        <v>0</v>
      </c>
      <c r="AO401" s="10">
        <v>0</v>
      </c>
      <c r="AP401" s="10">
        <v>0</v>
      </c>
      <c r="AQ401" s="10">
        <v>0</v>
      </c>
      <c r="AR401" s="10">
        <v>0</v>
      </c>
      <c r="AS401" s="10">
        <v>0</v>
      </c>
      <c r="AT401" s="10">
        <v>0</v>
      </c>
      <c r="AU401" s="10">
        <v>0</v>
      </c>
      <c r="AV401" s="10">
        <v>0</v>
      </c>
      <c r="AW401" s="10">
        <v>0</v>
      </c>
      <c r="AX401" s="10">
        <v>0</v>
      </c>
      <c r="AY401" s="10">
        <v>0</v>
      </c>
      <c r="AZ401" s="10">
        <v>0</v>
      </c>
      <c r="BA401" s="10">
        <v>0</v>
      </c>
      <c r="BB401" s="10">
        <v>0</v>
      </c>
      <c r="BC401" s="10">
        <v>0</v>
      </c>
      <c r="BD401" s="10">
        <v>0</v>
      </c>
      <c r="BE401" s="10">
        <v>0</v>
      </c>
      <c r="BF401" s="10">
        <v>0</v>
      </c>
    </row>
    <row r="402" spans="1:58" ht="14.15" customHeight="1">
      <c r="A402" s="404">
        <f t="shared" si="941"/>
        <v>396</v>
      </c>
      <c r="B402" s="56" t="s">
        <v>258</v>
      </c>
      <c r="C402" s="38">
        <f>SUM(D402:BF402)</f>
        <v>-7886.8900000000012</v>
      </c>
      <c r="D402" s="43">
        <v>0</v>
      </c>
      <c r="E402" s="43">
        <v>0</v>
      </c>
      <c r="F402" s="43">
        <v>0</v>
      </c>
      <c r="G402" s="43">
        <v>0</v>
      </c>
      <c r="H402" s="43">
        <v>0</v>
      </c>
      <c r="I402" s="43">
        <v>0</v>
      </c>
      <c r="J402" s="43">
        <v>0</v>
      </c>
      <c r="K402" s="43">
        <v>0</v>
      </c>
      <c r="L402" s="43">
        <v>0</v>
      </c>
      <c r="M402" s="43">
        <v>0</v>
      </c>
      <c r="N402" s="43">
        <v>0</v>
      </c>
      <c r="O402" s="43">
        <v>0</v>
      </c>
      <c r="P402" s="43">
        <v>0</v>
      </c>
      <c r="Q402" s="43">
        <v>0</v>
      </c>
      <c r="R402" s="43">
        <v>0</v>
      </c>
      <c r="S402" s="43">
        <v>0</v>
      </c>
      <c r="T402" s="43">
        <v>0</v>
      </c>
      <c r="U402" s="43">
        <v>0.59999999999854481</v>
      </c>
      <c r="V402" s="43">
        <v>0</v>
      </c>
      <c r="W402" s="43">
        <v>0</v>
      </c>
      <c r="X402" s="43">
        <v>0</v>
      </c>
      <c r="Y402" s="43">
        <v>0</v>
      </c>
      <c r="Z402" s="43">
        <v>0</v>
      </c>
      <c r="AA402" s="43">
        <v>0</v>
      </c>
      <c r="AB402" s="43">
        <v>0</v>
      </c>
      <c r="AC402" s="43">
        <v>0</v>
      </c>
      <c r="AD402" s="43">
        <v>0</v>
      </c>
      <c r="AE402" s="43">
        <v>0</v>
      </c>
      <c r="AF402" s="43">
        <v>0</v>
      </c>
      <c r="AG402" s="43">
        <v>0</v>
      </c>
      <c r="AH402" s="43">
        <v>-7887.49</v>
      </c>
      <c r="AI402" s="43">
        <v>0</v>
      </c>
      <c r="AJ402" s="43">
        <v>0</v>
      </c>
      <c r="AK402" s="43">
        <v>0</v>
      </c>
      <c r="AL402" s="43">
        <v>0</v>
      </c>
      <c r="AM402" s="43">
        <v>0</v>
      </c>
      <c r="AN402" s="43">
        <v>0</v>
      </c>
      <c r="AO402" s="43">
        <v>0</v>
      </c>
      <c r="AP402" s="43">
        <v>0</v>
      </c>
      <c r="AQ402" s="43">
        <v>0</v>
      </c>
      <c r="AR402" s="43">
        <v>0</v>
      </c>
      <c r="AS402" s="43">
        <v>0</v>
      </c>
      <c r="AT402" s="43">
        <v>0</v>
      </c>
      <c r="AU402" s="43">
        <v>0</v>
      </c>
      <c r="AV402" s="43">
        <v>0</v>
      </c>
      <c r="AW402" s="43">
        <v>0</v>
      </c>
      <c r="AX402" s="43">
        <v>0</v>
      </c>
      <c r="AY402" s="43">
        <v>0</v>
      </c>
      <c r="AZ402" s="43">
        <v>0</v>
      </c>
      <c r="BA402" s="43">
        <v>0</v>
      </c>
      <c r="BB402" s="43">
        <v>0</v>
      </c>
      <c r="BC402" s="43">
        <v>0</v>
      </c>
      <c r="BD402" s="43">
        <v>0</v>
      </c>
      <c r="BE402" s="43">
        <v>0</v>
      </c>
      <c r="BF402" s="43">
        <v>0</v>
      </c>
    </row>
    <row r="403" spans="1:58" ht="14.15" customHeight="1">
      <c r="A403" s="404">
        <f t="shared" si="941"/>
        <v>397</v>
      </c>
      <c r="B403" s="20" t="s">
        <v>493</v>
      </c>
      <c r="C403" s="80">
        <f t="shared" ref="C403:V403" si="1030">SUM(C399:C402)</f>
        <v>-1495547.2999999998</v>
      </c>
      <c r="D403" s="80">
        <f t="shared" ref="D403:I403" si="1031">SUM(D399:D402)</f>
        <v>0</v>
      </c>
      <c r="E403" s="80">
        <f t="shared" si="1031"/>
        <v>0</v>
      </c>
      <c r="F403" s="80">
        <f t="shared" si="1031"/>
        <v>0</v>
      </c>
      <c r="G403" s="80">
        <f t="shared" si="1031"/>
        <v>0</v>
      </c>
      <c r="H403" s="80">
        <f t="shared" si="1031"/>
        <v>0</v>
      </c>
      <c r="I403" s="80">
        <f t="shared" si="1031"/>
        <v>0</v>
      </c>
      <c r="J403" s="80">
        <f t="shared" si="1030"/>
        <v>0</v>
      </c>
      <c r="K403" s="80">
        <f t="shared" ref="K403:U403" si="1032">SUM(K399:K402)</f>
        <v>0</v>
      </c>
      <c r="L403" s="80">
        <f t="shared" si="1032"/>
        <v>0</v>
      </c>
      <c r="M403" s="80">
        <f t="shared" si="1032"/>
        <v>0</v>
      </c>
      <c r="N403" s="80">
        <f t="shared" si="1032"/>
        <v>-515763.11999999994</v>
      </c>
      <c r="O403" s="80">
        <f t="shared" si="1032"/>
        <v>-628079.1</v>
      </c>
      <c r="P403" s="80">
        <f t="shared" si="1032"/>
        <v>-373893.79</v>
      </c>
      <c r="Q403" s="80">
        <f t="shared" si="1032"/>
        <v>0</v>
      </c>
      <c r="R403" s="80">
        <f t="shared" si="1032"/>
        <v>0</v>
      </c>
      <c r="S403" s="80">
        <f t="shared" si="1032"/>
        <v>0</v>
      </c>
      <c r="T403" s="80">
        <f t="shared" si="1032"/>
        <v>0</v>
      </c>
      <c r="U403" s="80">
        <f t="shared" si="1032"/>
        <v>22.010000000038417</v>
      </c>
      <c r="V403" s="80">
        <f t="shared" si="1030"/>
        <v>0</v>
      </c>
      <c r="W403" s="80">
        <f>SUM(W399:W402)</f>
        <v>0</v>
      </c>
      <c r="X403" s="80">
        <f t="shared" ref="X403:AD403" si="1033">SUM(X399:X402)</f>
        <v>0</v>
      </c>
      <c r="Y403" s="80">
        <f>SUM(Y399:Y402)</f>
        <v>0</v>
      </c>
      <c r="Z403" s="80">
        <f t="shared" si="1033"/>
        <v>0</v>
      </c>
      <c r="AA403" s="80">
        <f t="shared" si="1033"/>
        <v>0</v>
      </c>
      <c r="AB403" s="80">
        <f t="shared" si="1033"/>
        <v>56.289999999999971</v>
      </c>
      <c r="AC403" s="80">
        <f t="shared" si="1033"/>
        <v>0</v>
      </c>
      <c r="AD403" s="80">
        <f t="shared" si="1033"/>
        <v>0</v>
      </c>
      <c r="AE403" s="80">
        <f>SUM(AE399:AE402)</f>
        <v>0</v>
      </c>
      <c r="AF403" s="80">
        <f>SUM(AF399:AF402)</f>
        <v>0</v>
      </c>
      <c r="AG403" s="80">
        <f>SUM(AG399:AG402)</f>
        <v>29997.9</v>
      </c>
      <c r="AH403" s="80">
        <f t="shared" ref="AH403" si="1034">SUM(AH399:AH402)</f>
        <v>-7887.49</v>
      </c>
      <c r="AI403" s="80">
        <f t="shared" ref="AI403:AL403" si="1035">SUM(AI399:AI402)</f>
        <v>0</v>
      </c>
      <c r="AJ403" s="80">
        <f t="shared" si="1035"/>
        <v>0</v>
      </c>
      <c r="AK403" s="80">
        <f t="shared" si="1035"/>
        <v>0</v>
      </c>
      <c r="AL403" s="80">
        <f t="shared" si="1035"/>
        <v>0</v>
      </c>
      <c r="AM403" s="80">
        <f>SUM(AM399:AM402)</f>
        <v>0</v>
      </c>
      <c r="AN403" s="80">
        <f>SUM(AN399:AN402)</f>
        <v>0</v>
      </c>
      <c r="AO403" s="80">
        <f>SUM(AO399:AO402)</f>
        <v>0</v>
      </c>
      <c r="AP403" s="80">
        <f>SUM(AP399:AP402)</f>
        <v>0</v>
      </c>
      <c r="AQ403" s="80">
        <f>SUM(AQ399:AQ402)</f>
        <v>0</v>
      </c>
      <c r="AR403" s="80">
        <f t="shared" ref="AR403" si="1036">SUM(AR399:AR402)</f>
        <v>0</v>
      </c>
      <c r="AS403" s="80">
        <f>SUM(AS399:AS402)</f>
        <v>0</v>
      </c>
      <c r="AT403" s="80">
        <f t="shared" ref="AT403" si="1037">SUM(AT399:AT402)</f>
        <v>0</v>
      </c>
      <c r="AU403" s="80">
        <f t="shared" ref="AU403" si="1038">SUM(AU399:AU402)</f>
        <v>0</v>
      </c>
      <c r="AV403" s="80">
        <f t="shared" ref="AV403" si="1039">SUM(AV399:AV402)</f>
        <v>0</v>
      </c>
      <c r="AW403" s="80">
        <f>SUM(AW399:AW402)</f>
        <v>0</v>
      </c>
      <c r="AX403" s="80">
        <f t="shared" ref="AX403" si="1040">SUM(AX399:AX402)</f>
        <v>0</v>
      </c>
      <c r="AY403" s="80">
        <f t="shared" ref="AY403:BF403" si="1041">SUM(AY399:AY402)</f>
        <v>0</v>
      </c>
      <c r="AZ403" s="80">
        <f t="shared" si="1041"/>
        <v>0</v>
      </c>
      <c r="BA403" s="80">
        <f t="shared" si="1041"/>
        <v>0</v>
      </c>
      <c r="BB403" s="80">
        <f t="shared" si="1041"/>
        <v>0</v>
      </c>
      <c r="BC403" s="80">
        <f t="shared" si="1041"/>
        <v>0</v>
      </c>
      <c r="BD403" s="80">
        <f t="shared" si="1041"/>
        <v>0</v>
      </c>
      <c r="BE403" s="80">
        <f t="shared" si="1041"/>
        <v>0</v>
      </c>
      <c r="BF403" s="80">
        <f t="shared" si="1041"/>
        <v>0</v>
      </c>
    </row>
    <row r="404" spans="1:58" ht="14.15" customHeight="1">
      <c r="A404" s="404">
        <f t="shared" si="941"/>
        <v>398</v>
      </c>
      <c r="B404" s="123"/>
      <c r="C404" s="123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</row>
    <row r="405" spans="1:58" ht="14.15" customHeight="1">
      <c r="A405" s="404">
        <f t="shared" ref="A405:A468" si="1042">+A404+1</f>
        <v>399</v>
      </c>
      <c r="B405" s="13" t="s">
        <v>259</v>
      </c>
      <c r="C405" s="1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  <c r="BE405" s="43"/>
      <c r="BF405" s="43"/>
    </row>
    <row r="406" spans="1:58" ht="14.15" customHeight="1">
      <c r="A406" s="404">
        <f t="shared" si="1042"/>
        <v>400</v>
      </c>
      <c r="B406" s="22" t="s">
        <v>260</v>
      </c>
      <c r="C406" s="38">
        <f>SUM(D406:BF406)</f>
        <v>0</v>
      </c>
      <c r="D406" s="43">
        <v>0</v>
      </c>
      <c r="E406" s="43">
        <v>0</v>
      </c>
      <c r="F406" s="43">
        <v>0</v>
      </c>
      <c r="G406" s="43">
        <v>0</v>
      </c>
      <c r="H406" s="43">
        <v>0</v>
      </c>
      <c r="I406" s="43">
        <v>0</v>
      </c>
      <c r="J406" s="43">
        <v>0</v>
      </c>
      <c r="K406" s="43">
        <v>0</v>
      </c>
      <c r="L406" s="43">
        <v>0</v>
      </c>
      <c r="M406" s="43">
        <v>0</v>
      </c>
      <c r="N406" s="43">
        <v>0</v>
      </c>
      <c r="O406" s="43">
        <v>0</v>
      </c>
      <c r="P406" s="43">
        <v>0</v>
      </c>
      <c r="Q406" s="43">
        <v>0</v>
      </c>
      <c r="R406" s="43">
        <v>0</v>
      </c>
      <c r="S406" s="43">
        <v>0</v>
      </c>
      <c r="T406" s="43">
        <v>0</v>
      </c>
      <c r="U406" s="43">
        <v>0</v>
      </c>
      <c r="V406" s="43">
        <v>0</v>
      </c>
      <c r="W406" s="43">
        <v>0</v>
      </c>
      <c r="X406" s="43">
        <v>0</v>
      </c>
      <c r="Y406" s="43">
        <v>0</v>
      </c>
      <c r="Z406" s="43">
        <v>0</v>
      </c>
      <c r="AA406" s="43">
        <v>0</v>
      </c>
      <c r="AB406" s="43">
        <v>0</v>
      </c>
      <c r="AC406" s="43">
        <v>0</v>
      </c>
      <c r="AD406" s="43">
        <v>0</v>
      </c>
      <c r="AE406" s="43">
        <v>0</v>
      </c>
      <c r="AF406" s="43">
        <v>0</v>
      </c>
      <c r="AG406" s="43">
        <v>0</v>
      </c>
      <c r="AH406" s="43">
        <v>0</v>
      </c>
      <c r="AI406" s="43">
        <v>0</v>
      </c>
      <c r="AJ406" s="43">
        <v>0</v>
      </c>
      <c r="AK406" s="43">
        <v>0</v>
      </c>
      <c r="AL406" s="43">
        <v>0</v>
      </c>
      <c r="AM406" s="43">
        <v>0</v>
      </c>
      <c r="AN406" s="43">
        <v>0</v>
      </c>
      <c r="AO406" s="43">
        <v>0</v>
      </c>
      <c r="AP406" s="43">
        <v>0</v>
      </c>
      <c r="AQ406" s="43">
        <v>0</v>
      </c>
      <c r="AR406" s="43">
        <v>0</v>
      </c>
      <c r="AS406" s="43">
        <v>0</v>
      </c>
      <c r="AT406" s="43">
        <v>0</v>
      </c>
      <c r="AU406" s="43">
        <v>0</v>
      </c>
      <c r="AV406" s="43">
        <v>0</v>
      </c>
      <c r="AW406" s="43">
        <v>0</v>
      </c>
      <c r="AX406" s="43">
        <v>0</v>
      </c>
      <c r="AY406" s="43">
        <v>0</v>
      </c>
      <c r="AZ406" s="43">
        <v>0</v>
      </c>
      <c r="BA406" s="43">
        <v>0</v>
      </c>
      <c r="BB406" s="43">
        <v>0</v>
      </c>
      <c r="BC406" s="43">
        <v>0</v>
      </c>
      <c r="BD406" s="43">
        <v>0</v>
      </c>
      <c r="BE406" s="43">
        <v>0</v>
      </c>
      <c r="BF406" s="43">
        <v>0</v>
      </c>
    </row>
    <row r="407" spans="1:58" ht="14.15" customHeight="1">
      <c r="A407" s="404">
        <f t="shared" si="1042"/>
        <v>401</v>
      </c>
      <c r="B407" s="22" t="s">
        <v>261</v>
      </c>
      <c r="C407" s="38">
        <f>SUM(D407:BF407)</f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0">
        <v>0</v>
      </c>
      <c r="AM407" s="10">
        <v>0</v>
      </c>
      <c r="AN407" s="10">
        <v>0</v>
      </c>
      <c r="AO407" s="10">
        <v>0</v>
      </c>
      <c r="AP407" s="10">
        <v>0</v>
      </c>
      <c r="AQ407" s="10">
        <v>0</v>
      </c>
      <c r="AR407" s="10">
        <v>0</v>
      </c>
      <c r="AS407" s="10">
        <v>0</v>
      </c>
      <c r="AT407" s="10">
        <v>0</v>
      </c>
      <c r="AU407" s="10">
        <v>0</v>
      </c>
      <c r="AV407" s="10">
        <v>0</v>
      </c>
      <c r="AW407" s="10">
        <v>0</v>
      </c>
      <c r="AX407" s="10">
        <v>0</v>
      </c>
      <c r="AY407" s="10">
        <v>0</v>
      </c>
      <c r="AZ407" s="10">
        <v>0</v>
      </c>
      <c r="BA407" s="10">
        <v>0</v>
      </c>
      <c r="BB407" s="10">
        <v>0</v>
      </c>
      <c r="BC407" s="10">
        <v>0</v>
      </c>
      <c r="BD407" s="10">
        <v>0</v>
      </c>
      <c r="BE407" s="10">
        <v>0</v>
      </c>
      <c r="BF407" s="10">
        <v>0</v>
      </c>
    </row>
    <row r="408" spans="1:58" ht="14.15" customHeight="1">
      <c r="A408" s="404">
        <f t="shared" si="1042"/>
        <v>402</v>
      </c>
      <c r="B408" s="22" t="s">
        <v>262</v>
      </c>
      <c r="C408" s="38">
        <f>SUM(D408:BF408)</f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0">
        <v>0</v>
      </c>
      <c r="AM408" s="10">
        <v>0</v>
      </c>
      <c r="AN408" s="10">
        <v>0</v>
      </c>
      <c r="AO408" s="10">
        <v>0</v>
      </c>
      <c r="AP408" s="10">
        <v>0</v>
      </c>
      <c r="AQ408" s="10">
        <v>0</v>
      </c>
      <c r="AR408" s="10">
        <v>0</v>
      </c>
      <c r="AS408" s="10">
        <v>0</v>
      </c>
      <c r="AT408" s="10">
        <v>0</v>
      </c>
      <c r="AU408" s="10">
        <v>0</v>
      </c>
      <c r="AV408" s="10">
        <v>0</v>
      </c>
      <c r="AW408" s="10">
        <v>0</v>
      </c>
      <c r="AX408" s="10">
        <v>0</v>
      </c>
      <c r="AY408" s="10">
        <v>0</v>
      </c>
      <c r="AZ408" s="10">
        <v>0</v>
      </c>
      <c r="BA408" s="10">
        <v>0</v>
      </c>
      <c r="BB408" s="10">
        <v>0</v>
      </c>
      <c r="BC408" s="10">
        <v>0</v>
      </c>
      <c r="BD408" s="10">
        <v>0</v>
      </c>
      <c r="BE408" s="10">
        <v>0</v>
      </c>
      <c r="BF408" s="10">
        <v>0</v>
      </c>
    </row>
    <row r="409" spans="1:58" ht="14.15" customHeight="1">
      <c r="A409" s="404">
        <f t="shared" si="1042"/>
        <v>403</v>
      </c>
      <c r="B409" s="56" t="s">
        <v>263</v>
      </c>
      <c r="C409" s="38">
        <f>SUM(D409:BF409)</f>
        <v>0</v>
      </c>
      <c r="D409" s="43">
        <v>0</v>
      </c>
      <c r="E409" s="43">
        <v>0</v>
      </c>
      <c r="F409" s="43">
        <v>0</v>
      </c>
      <c r="G409" s="43">
        <v>0</v>
      </c>
      <c r="H409" s="43">
        <v>0</v>
      </c>
      <c r="I409" s="43">
        <v>0</v>
      </c>
      <c r="J409" s="43">
        <v>0</v>
      </c>
      <c r="K409" s="43">
        <v>0</v>
      </c>
      <c r="L409" s="43">
        <v>0</v>
      </c>
      <c r="M409" s="43">
        <v>0</v>
      </c>
      <c r="N409" s="43">
        <v>0</v>
      </c>
      <c r="O409" s="43">
        <v>0</v>
      </c>
      <c r="P409" s="43">
        <v>0</v>
      </c>
      <c r="Q409" s="43">
        <v>0</v>
      </c>
      <c r="R409" s="43">
        <v>0</v>
      </c>
      <c r="S409" s="43">
        <v>0</v>
      </c>
      <c r="T409" s="43">
        <v>0</v>
      </c>
      <c r="U409" s="43">
        <v>0</v>
      </c>
      <c r="V409" s="43">
        <v>0</v>
      </c>
      <c r="W409" s="43">
        <v>0</v>
      </c>
      <c r="X409" s="43">
        <v>0</v>
      </c>
      <c r="Y409" s="43">
        <v>0</v>
      </c>
      <c r="Z409" s="43">
        <v>0</v>
      </c>
      <c r="AA409" s="43">
        <v>0</v>
      </c>
      <c r="AB409" s="43">
        <v>0</v>
      </c>
      <c r="AC409" s="43">
        <v>0</v>
      </c>
      <c r="AD409" s="43">
        <v>0</v>
      </c>
      <c r="AE409" s="43">
        <v>0</v>
      </c>
      <c r="AF409" s="43">
        <v>0</v>
      </c>
      <c r="AG409" s="43">
        <v>0</v>
      </c>
      <c r="AH409" s="43">
        <v>0</v>
      </c>
      <c r="AI409" s="43">
        <v>0</v>
      </c>
      <c r="AJ409" s="43">
        <v>0</v>
      </c>
      <c r="AK409" s="43">
        <v>0</v>
      </c>
      <c r="AL409" s="43">
        <v>0</v>
      </c>
      <c r="AM409" s="43">
        <v>0</v>
      </c>
      <c r="AN409" s="43">
        <v>0</v>
      </c>
      <c r="AO409" s="43">
        <v>0</v>
      </c>
      <c r="AP409" s="43">
        <v>0</v>
      </c>
      <c r="AQ409" s="43">
        <v>0</v>
      </c>
      <c r="AR409" s="43">
        <v>0</v>
      </c>
      <c r="AS409" s="43">
        <v>0</v>
      </c>
      <c r="AT409" s="43">
        <v>0</v>
      </c>
      <c r="AU409" s="43">
        <v>0</v>
      </c>
      <c r="AV409" s="43">
        <v>0</v>
      </c>
      <c r="AW409" s="43">
        <v>0</v>
      </c>
      <c r="AX409" s="43">
        <v>0</v>
      </c>
      <c r="AY409" s="43">
        <v>0</v>
      </c>
      <c r="AZ409" s="43">
        <v>0</v>
      </c>
      <c r="BA409" s="43">
        <v>0</v>
      </c>
      <c r="BB409" s="43">
        <v>0</v>
      </c>
      <c r="BC409" s="43">
        <v>0</v>
      </c>
      <c r="BD409" s="43">
        <v>0</v>
      </c>
      <c r="BE409" s="43">
        <v>0</v>
      </c>
      <c r="BF409" s="43">
        <v>0</v>
      </c>
    </row>
    <row r="410" spans="1:58" ht="14.15" customHeight="1">
      <c r="A410" s="404">
        <f t="shared" si="1042"/>
        <v>404</v>
      </c>
      <c r="B410" s="20" t="s">
        <v>494</v>
      </c>
      <c r="C410" s="80">
        <f t="shared" ref="C410:V410" si="1043">SUM(C405:C409)</f>
        <v>0</v>
      </c>
      <c r="D410" s="80">
        <f t="shared" ref="D410:I410" si="1044">SUM(D405:D409)</f>
        <v>0</v>
      </c>
      <c r="E410" s="80">
        <f t="shared" si="1044"/>
        <v>0</v>
      </c>
      <c r="F410" s="80">
        <f t="shared" si="1044"/>
        <v>0</v>
      </c>
      <c r="G410" s="80">
        <f t="shared" si="1044"/>
        <v>0</v>
      </c>
      <c r="H410" s="80">
        <f t="shared" si="1044"/>
        <v>0</v>
      </c>
      <c r="I410" s="80">
        <f t="shared" si="1044"/>
        <v>0</v>
      </c>
      <c r="J410" s="80">
        <f t="shared" si="1043"/>
        <v>0</v>
      </c>
      <c r="K410" s="80">
        <f t="shared" ref="K410:U410" si="1045">SUM(K405:K409)</f>
        <v>0</v>
      </c>
      <c r="L410" s="80">
        <f t="shared" si="1045"/>
        <v>0</v>
      </c>
      <c r="M410" s="80">
        <f t="shared" si="1045"/>
        <v>0</v>
      </c>
      <c r="N410" s="80">
        <f t="shared" si="1045"/>
        <v>0</v>
      </c>
      <c r="O410" s="80">
        <f t="shared" si="1045"/>
        <v>0</v>
      </c>
      <c r="P410" s="80">
        <f t="shared" si="1045"/>
        <v>0</v>
      </c>
      <c r="Q410" s="80">
        <f t="shared" si="1045"/>
        <v>0</v>
      </c>
      <c r="R410" s="80">
        <f t="shared" si="1045"/>
        <v>0</v>
      </c>
      <c r="S410" s="80">
        <f t="shared" si="1045"/>
        <v>0</v>
      </c>
      <c r="T410" s="80">
        <f t="shared" si="1045"/>
        <v>0</v>
      </c>
      <c r="U410" s="80">
        <f t="shared" si="1045"/>
        <v>0</v>
      </c>
      <c r="V410" s="80">
        <f t="shared" si="1043"/>
        <v>0</v>
      </c>
      <c r="W410" s="80">
        <f>SUM(W405:W409)</f>
        <v>0</v>
      </c>
      <c r="X410" s="80">
        <f t="shared" ref="X410:AD410" si="1046">SUM(X405:X409)</f>
        <v>0</v>
      </c>
      <c r="Y410" s="80">
        <f>SUM(Y405:Y409)</f>
        <v>0</v>
      </c>
      <c r="Z410" s="80">
        <f t="shared" si="1046"/>
        <v>0</v>
      </c>
      <c r="AA410" s="80">
        <f t="shared" si="1046"/>
        <v>0</v>
      </c>
      <c r="AB410" s="80">
        <f t="shared" si="1046"/>
        <v>0</v>
      </c>
      <c r="AC410" s="80">
        <f t="shared" si="1046"/>
        <v>0</v>
      </c>
      <c r="AD410" s="80">
        <f t="shared" si="1046"/>
        <v>0</v>
      </c>
      <c r="AE410" s="80">
        <f>SUM(AE405:AE409)</f>
        <v>0</v>
      </c>
      <c r="AF410" s="80">
        <f>SUM(AF405:AF409)</f>
        <v>0</v>
      </c>
      <c r="AG410" s="80">
        <f>SUM(AG405:AG409)</f>
        <v>0</v>
      </c>
      <c r="AH410" s="80">
        <f t="shared" ref="AH410" si="1047">SUM(AH405:AH409)</f>
        <v>0</v>
      </c>
      <c r="AI410" s="80">
        <f t="shared" ref="AI410:AL410" si="1048">SUM(AI405:AI409)</f>
        <v>0</v>
      </c>
      <c r="AJ410" s="80">
        <f t="shared" si="1048"/>
        <v>0</v>
      </c>
      <c r="AK410" s="80">
        <f t="shared" si="1048"/>
        <v>0</v>
      </c>
      <c r="AL410" s="80">
        <f t="shared" si="1048"/>
        <v>0</v>
      </c>
      <c r="AM410" s="80">
        <f>SUM(AM405:AM409)</f>
        <v>0</v>
      </c>
      <c r="AN410" s="80">
        <f>SUM(AN405:AN409)</f>
        <v>0</v>
      </c>
      <c r="AO410" s="80">
        <f>SUM(AO405:AO409)</f>
        <v>0</v>
      </c>
      <c r="AP410" s="80">
        <f>SUM(AP405:AP409)</f>
        <v>0</v>
      </c>
      <c r="AQ410" s="80">
        <f>SUM(AQ405:AQ409)</f>
        <v>0</v>
      </c>
      <c r="AR410" s="80">
        <f t="shared" ref="AR410" si="1049">SUM(AR405:AR409)</f>
        <v>0</v>
      </c>
      <c r="AS410" s="80">
        <f>SUM(AS405:AS409)</f>
        <v>0</v>
      </c>
      <c r="AT410" s="80">
        <f t="shared" ref="AT410" si="1050">SUM(AT405:AT409)</f>
        <v>0</v>
      </c>
      <c r="AU410" s="80">
        <f t="shared" ref="AU410" si="1051">SUM(AU405:AU409)</f>
        <v>0</v>
      </c>
      <c r="AV410" s="80">
        <f t="shared" ref="AV410" si="1052">SUM(AV405:AV409)</f>
        <v>0</v>
      </c>
      <c r="AW410" s="80">
        <f>SUM(AW405:AW409)</f>
        <v>0</v>
      </c>
      <c r="AX410" s="80">
        <f t="shared" ref="AX410" si="1053">SUM(AX405:AX409)</f>
        <v>0</v>
      </c>
      <c r="AY410" s="80">
        <f t="shared" ref="AY410:BF410" si="1054">SUM(AY405:AY409)</f>
        <v>0</v>
      </c>
      <c r="AZ410" s="80">
        <f t="shared" si="1054"/>
        <v>0</v>
      </c>
      <c r="BA410" s="80">
        <f t="shared" si="1054"/>
        <v>0</v>
      </c>
      <c r="BB410" s="80">
        <f t="shared" si="1054"/>
        <v>0</v>
      </c>
      <c r="BC410" s="80">
        <f t="shared" si="1054"/>
        <v>0</v>
      </c>
      <c r="BD410" s="80">
        <f t="shared" si="1054"/>
        <v>0</v>
      </c>
      <c r="BE410" s="80">
        <f t="shared" si="1054"/>
        <v>0</v>
      </c>
      <c r="BF410" s="80">
        <f t="shared" si="1054"/>
        <v>0</v>
      </c>
    </row>
    <row r="411" spans="1:58" ht="14.15" customHeight="1">
      <c r="A411" s="404">
        <f t="shared" si="1042"/>
        <v>405</v>
      </c>
      <c r="B411" s="123"/>
      <c r="C411" s="123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</row>
    <row r="412" spans="1:58" ht="14.15" customHeight="1">
      <c r="A412" s="404">
        <f t="shared" si="1042"/>
        <v>406</v>
      </c>
      <c r="B412" s="13" t="s">
        <v>264</v>
      </c>
      <c r="C412" s="1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  <c r="BE412" s="43"/>
      <c r="BF412" s="43"/>
    </row>
    <row r="413" spans="1:58" ht="14.15" customHeight="1">
      <c r="A413" s="404">
        <f t="shared" si="1042"/>
        <v>407</v>
      </c>
      <c r="B413" s="22" t="s">
        <v>265</v>
      </c>
      <c r="C413" s="38">
        <f t="shared" ref="C413:C426" si="1055">SUM(D413:BF413)</f>
        <v>447411.36999999895</v>
      </c>
      <c r="D413" s="43">
        <v>0</v>
      </c>
      <c r="E413" s="43">
        <v>0</v>
      </c>
      <c r="F413" s="43">
        <v>0</v>
      </c>
      <c r="G413" s="43">
        <v>0</v>
      </c>
      <c r="H413" s="43">
        <v>0</v>
      </c>
      <c r="I413" s="43">
        <v>0</v>
      </c>
      <c r="J413" s="65">
        <v>0</v>
      </c>
      <c r="K413" s="43">
        <v>0</v>
      </c>
      <c r="L413" s="43">
        <v>0</v>
      </c>
      <c r="M413" s="43">
        <v>0</v>
      </c>
      <c r="N413" s="43">
        <v>0</v>
      </c>
      <c r="O413" s="65">
        <v>0</v>
      </c>
      <c r="P413" s="65">
        <v>0</v>
      </c>
      <c r="Q413" s="43">
        <v>0</v>
      </c>
      <c r="R413" s="43">
        <v>0</v>
      </c>
      <c r="S413" s="43">
        <v>0</v>
      </c>
      <c r="T413" s="43">
        <v>0</v>
      </c>
      <c r="U413" s="43">
        <v>169194.37999999896</v>
      </c>
      <c r="V413" s="43">
        <v>0</v>
      </c>
      <c r="W413" s="65">
        <v>0</v>
      </c>
      <c r="X413" s="43">
        <v>0</v>
      </c>
      <c r="Y413" s="65">
        <v>0</v>
      </c>
      <c r="Z413" s="43">
        <v>0</v>
      </c>
      <c r="AA413" s="43">
        <v>0</v>
      </c>
      <c r="AB413" s="43">
        <v>748.18000000000006</v>
      </c>
      <c r="AC413" s="43">
        <v>0</v>
      </c>
      <c r="AD413" s="43">
        <v>0</v>
      </c>
      <c r="AE413" s="43">
        <v>0</v>
      </c>
      <c r="AF413" s="43">
        <v>-87305</v>
      </c>
      <c r="AG413" s="43">
        <v>364773.81</v>
      </c>
      <c r="AH413" s="65">
        <v>0</v>
      </c>
      <c r="AI413" s="43">
        <v>0</v>
      </c>
      <c r="AJ413" s="43">
        <v>0</v>
      </c>
      <c r="AK413" s="43">
        <v>0</v>
      </c>
      <c r="AL413" s="65">
        <v>0</v>
      </c>
      <c r="AM413" s="43">
        <v>0</v>
      </c>
      <c r="AN413" s="43">
        <v>0</v>
      </c>
      <c r="AO413" s="43">
        <v>0</v>
      </c>
      <c r="AP413" s="43">
        <v>0</v>
      </c>
      <c r="AQ413" s="43">
        <v>0</v>
      </c>
      <c r="AR413" s="43">
        <v>0</v>
      </c>
      <c r="AS413" s="43">
        <v>0</v>
      </c>
      <c r="AT413" s="43">
        <v>0</v>
      </c>
      <c r="AU413" s="43">
        <v>0</v>
      </c>
      <c r="AV413" s="43">
        <v>0</v>
      </c>
      <c r="AW413" s="43">
        <v>0</v>
      </c>
      <c r="AX413" s="43">
        <v>0</v>
      </c>
      <c r="AY413" s="43">
        <v>0</v>
      </c>
      <c r="AZ413" s="43">
        <v>0</v>
      </c>
      <c r="BA413" s="43">
        <v>0</v>
      </c>
      <c r="BB413" s="43">
        <v>0</v>
      </c>
      <c r="BC413" s="43">
        <v>0</v>
      </c>
      <c r="BD413" s="43">
        <v>0</v>
      </c>
      <c r="BE413" s="43">
        <v>0</v>
      </c>
      <c r="BF413" s="43">
        <v>0</v>
      </c>
    </row>
    <row r="414" spans="1:58" ht="14.15" customHeight="1">
      <c r="A414" s="404">
        <f t="shared" si="1042"/>
        <v>408</v>
      </c>
      <c r="B414" s="22" t="s">
        <v>266</v>
      </c>
      <c r="C414" s="38">
        <f t="shared" si="1055"/>
        <v>8023.5199999999859</v>
      </c>
      <c r="D414" s="43">
        <v>0</v>
      </c>
      <c r="E414" s="43">
        <v>0</v>
      </c>
      <c r="F414" s="43">
        <v>0</v>
      </c>
      <c r="G414" s="43">
        <v>0</v>
      </c>
      <c r="H414" s="43">
        <v>0</v>
      </c>
      <c r="I414" s="43">
        <v>0</v>
      </c>
      <c r="J414" s="65">
        <v>0</v>
      </c>
      <c r="K414" s="43">
        <v>0</v>
      </c>
      <c r="L414" s="43">
        <v>0</v>
      </c>
      <c r="M414" s="43">
        <v>0</v>
      </c>
      <c r="N414" s="43">
        <v>0</v>
      </c>
      <c r="O414" s="65">
        <v>0</v>
      </c>
      <c r="P414" s="65">
        <v>0</v>
      </c>
      <c r="Q414" s="43">
        <v>0</v>
      </c>
      <c r="R414" s="43">
        <v>0</v>
      </c>
      <c r="S414" s="43">
        <v>0</v>
      </c>
      <c r="T414" s="43">
        <v>0</v>
      </c>
      <c r="U414" s="43">
        <v>11917.109999999986</v>
      </c>
      <c r="V414" s="43">
        <v>0</v>
      </c>
      <c r="W414" s="65">
        <v>0</v>
      </c>
      <c r="X414" s="43">
        <v>0</v>
      </c>
      <c r="Y414" s="65">
        <v>0</v>
      </c>
      <c r="Z414" s="43">
        <v>0</v>
      </c>
      <c r="AA414" s="43">
        <v>0</v>
      </c>
      <c r="AB414" s="43">
        <v>2048.14</v>
      </c>
      <c r="AC414" s="43">
        <v>0</v>
      </c>
      <c r="AD414" s="43">
        <v>0</v>
      </c>
      <c r="AE414" s="43">
        <v>0</v>
      </c>
      <c r="AF414" s="43">
        <v>0</v>
      </c>
      <c r="AG414" s="43">
        <v>0</v>
      </c>
      <c r="AH414" s="65">
        <v>-5941.73</v>
      </c>
      <c r="AI414" s="43">
        <v>0</v>
      </c>
      <c r="AJ414" s="43">
        <v>0</v>
      </c>
      <c r="AK414" s="43">
        <v>0</v>
      </c>
      <c r="AL414" s="65">
        <v>0</v>
      </c>
      <c r="AM414" s="43">
        <v>0</v>
      </c>
      <c r="AN414" s="43">
        <v>0</v>
      </c>
      <c r="AO414" s="43">
        <v>0</v>
      </c>
      <c r="AP414" s="43">
        <v>0</v>
      </c>
      <c r="AQ414" s="43">
        <v>0</v>
      </c>
      <c r="AR414" s="43">
        <v>0</v>
      </c>
      <c r="AS414" s="43">
        <v>0</v>
      </c>
      <c r="AT414" s="43">
        <v>0</v>
      </c>
      <c r="AU414" s="43">
        <v>0</v>
      </c>
      <c r="AV414" s="43">
        <v>0</v>
      </c>
      <c r="AW414" s="43">
        <v>0</v>
      </c>
      <c r="AX414" s="43">
        <v>0</v>
      </c>
      <c r="AY414" s="43">
        <v>0</v>
      </c>
      <c r="AZ414" s="43">
        <v>0</v>
      </c>
      <c r="BA414" s="43">
        <v>0</v>
      </c>
      <c r="BB414" s="43">
        <v>0</v>
      </c>
      <c r="BC414" s="43">
        <v>0</v>
      </c>
      <c r="BD414" s="43">
        <v>0</v>
      </c>
      <c r="BE414" s="43">
        <v>0</v>
      </c>
      <c r="BF414" s="43">
        <v>0</v>
      </c>
    </row>
    <row r="415" spans="1:58" ht="14.15" customHeight="1">
      <c r="A415" s="404">
        <f t="shared" si="1042"/>
        <v>409</v>
      </c>
      <c r="B415" s="22" t="s">
        <v>267</v>
      </c>
      <c r="C415" s="38">
        <f t="shared" si="1055"/>
        <v>-73495.830399999904</v>
      </c>
      <c r="D415" s="43">
        <v>0</v>
      </c>
      <c r="E415" s="43">
        <v>0</v>
      </c>
      <c r="F415" s="43">
        <v>0</v>
      </c>
      <c r="G415" s="43">
        <v>0</v>
      </c>
      <c r="H415" s="43">
        <v>0</v>
      </c>
      <c r="I415" s="43">
        <v>0</v>
      </c>
      <c r="J415" s="65">
        <v>0</v>
      </c>
      <c r="K415" s="43">
        <v>0</v>
      </c>
      <c r="L415" s="43">
        <v>0</v>
      </c>
      <c r="M415" s="43">
        <v>0</v>
      </c>
      <c r="N415" s="43">
        <v>0</v>
      </c>
      <c r="O415" s="65">
        <v>0</v>
      </c>
      <c r="P415" s="65">
        <v>0</v>
      </c>
      <c r="Q415" s="43">
        <v>0</v>
      </c>
      <c r="R415" s="43">
        <v>0</v>
      </c>
      <c r="S415" s="43">
        <v>0</v>
      </c>
      <c r="T415" s="43">
        <v>0</v>
      </c>
      <c r="U415" s="43">
        <v>-24095.380399999907</v>
      </c>
      <c r="V415" s="43">
        <v>0</v>
      </c>
      <c r="W415" s="65">
        <v>0</v>
      </c>
      <c r="X415" s="43">
        <v>0</v>
      </c>
      <c r="Y415" s="65">
        <v>0</v>
      </c>
      <c r="Z415" s="43">
        <v>0</v>
      </c>
      <c r="AA415" s="43">
        <v>0</v>
      </c>
      <c r="AB415" s="43">
        <v>0</v>
      </c>
      <c r="AC415" s="43">
        <v>0</v>
      </c>
      <c r="AD415" s="43">
        <v>0</v>
      </c>
      <c r="AE415" s="43">
        <v>0</v>
      </c>
      <c r="AF415" s="43">
        <v>0</v>
      </c>
      <c r="AG415" s="43">
        <v>-49400.45</v>
      </c>
      <c r="AH415" s="65">
        <v>0</v>
      </c>
      <c r="AI415" s="43">
        <v>0</v>
      </c>
      <c r="AJ415" s="43">
        <v>0</v>
      </c>
      <c r="AK415" s="43">
        <v>0</v>
      </c>
      <c r="AL415" s="65">
        <v>0</v>
      </c>
      <c r="AM415" s="43">
        <v>0</v>
      </c>
      <c r="AN415" s="43">
        <v>0</v>
      </c>
      <c r="AO415" s="43">
        <v>0</v>
      </c>
      <c r="AP415" s="43">
        <v>0</v>
      </c>
      <c r="AQ415" s="43">
        <v>0</v>
      </c>
      <c r="AR415" s="43">
        <v>0</v>
      </c>
      <c r="AS415" s="43">
        <v>0</v>
      </c>
      <c r="AT415" s="43">
        <v>0</v>
      </c>
      <c r="AU415" s="43">
        <v>0</v>
      </c>
      <c r="AV415" s="43">
        <v>0</v>
      </c>
      <c r="AW415" s="43">
        <v>0</v>
      </c>
      <c r="AX415" s="43">
        <v>0</v>
      </c>
      <c r="AY415" s="43">
        <v>0</v>
      </c>
      <c r="AZ415" s="43">
        <v>0</v>
      </c>
      <c r="BA415" s="43">
        <v>0</v>
      </c>
      <c r="BB415" s="43">
        <v>0</v>
      </c>
      <c r="BC415" s="43">
        <v>0</v>
      </c>
      <c r="BD415" s="43">
        <v>0</v>
      </c>
      <c r="BE415" s="43">
        <v>0</v>
      </c>
      <c r="BF415" s="43">
        <v>0</v>
      </c>
    </row>
    <row r="416" spans="1:58" s="21" customFormat="1" ht="14.15" customHeight="1">
      <c r="A416" s="404">
        <f t="shared" si="1042"/>
        <v>410</v>
      </c>
      <c r="B416" s="22" t="s">
        <v>268</v>
      </c>
      <c r="C416" s="38">
        <f t="shared" si="1055"/>
        <v>83201.191360000521</v>
      </c>
      <c r="D416" s="10">
        <v>0</v>
      </c>
      <c r="E416" s="10">
        <v>0</v>
      </c>
      <c r="F416" s="10">
        <v>0</v>
      </c>
      <c r="G416" s="10">
        <v>0</v>
      </c>
      <c r="H416" s="10">
        <v>0</v>
      </c>
      <c r="I416" s="10">
        <v>0</v>
      </c>
      <c r="J416" s="38">
        <v>0</v>
      </c>
      <c r="K416" s="10">
        <v>0</v>
      </c>
      <c r="L416" s="10">
        <v>0</v>
      </c>
      <c r="M416" s="10">
        <v>0</v>
      </c>
      <c r="N416" s="10">
        <v>0</v>
      </c>
      <c r="O416" s="38">
        <v>0</v>
      </c>
      <c r="P416" s="38">
        <v>0</v>
      </c>
      <c r="Q416" s="10">
        <v>0</v>
      </c>
      <c r="R416" s="10">
        <v>0</v>
      </c>
      <c r="S416" s="10">
        <v>0</v>
      </c>
      <c r="T416" s="10">
        <v>0</v>
      </c>
      <c r="U416" s="10">
        <v>83201.191360000521</v>
      </c>
      <c r="V416" s="10">
        <v>0</v>
      </c>
      <c r="W416" s="38">
        <v>0</v>
      </c>
      <c r="X416" s="10">
        <v>0</v>
      </c>
      <c r="Y416" s="38">
        <v>0</v>
      </c>
      <c r="Z416" s="10">
        <v>0</v>
      </c>
      <c r="AA416" s="10">
        <v>0</v>
      </c>
      <c r="AB416" s="10">
        <v>0</v>
      </c>
      <c r="AC416" s="10">
        <v>0</v>
      </c>
      <c r="AD416" s="10">
        <v>0</v>
      </c>
      <c r="AE416" s="10">
        <v>0</v>
      </c>
      <c r="AF416" s="10">
        <v>0</v>
      </c>
      <c r="AG416" s="43">
        <v>0</v>
      </c>
      <c r="AH416" s="38">
        <v>0</v>
      </c>
      <c r="AI416" s="10">
        <v>0</v>
      </c>
      <c r="AJ416" s="10">
        <v>0</v>
      </c>
      <c r="AK416" s="10">
        <v>0</v>
      </c>
      <c r="AL416" s="38">
        <v>0</v>
      </c>
      <c r="AM416" s="10">
        <v>0</v>
      </c>
      <c r="AN416" s="10">
        <v>0</v>
      </c>
      <c r="AO416" s="10">
        <v>0</v>
      </c>
      <c r="AP416" s="10">
        <v>0</v>
      </c>
      <c r="AQ416" s="10">
        <v>0</v>
      </c>
      <c r="AR416" s="10">
        <v>0</v>
      </c>
      <c r="AS416" s="10">
        <v>0</v>
      </c>
      <c r="AT416" s="10">
        <v>0</v>
      </c>
      <c r="AU416" s="10">
        <v>0</v>
      </c>
      <c r="AV416" s="10">
        <v>0</v>
      </c>
      <c r="AW416" s="10">
        <v>0</v>
      </c>
      <c r="AX416" s="10">
        <v>0</v>
      </c>
      <c r="AY416" s="10">
        <v>0</v>
      </c>
      <c r="AZ416" s="10">
        <v>0</v>
      </c>
      <c r="BA416" s="10">
        <v>0</v>
      </c>
      <c r="BB416" s="10">
        <v>0</v>
      </c>
      <c r="BC416" s="10">
        <v>0</v>
      </c>
      <c r="BD416" s="10">
        <v>0</v>
      </c>
      <c r="BE416" s="10">
        <v>0</v>
      </c>
      <c r="BF416" s="10">
        <v>0</v>
      </c>
    </row>
    <row r="417" spans="1:58" s="21" customFormat="1" ht="14.15" customHeight="1">
      <c r="A417" s="404">
        <f t="shared" si="1042"/>
        <v>411</v>
      </c>
      <c r="B417" s="22" t="s">
        <v>269</v>
      </c>
      <c r="C417" s="38">
        <f t="shared" si="1055"/>
        <v>15569.017660000129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38">
        <v>0</v>
      </c>
      <c r="K417" s="10">
        <v>0</v>
      </c>
      <c r="L417" s="10">
        <v>0</v>
      </c>
      <c r="M417" s="10">
        <v>0</v>
      </c>
      <c r="N417" s="10">
        <v>0</v>
      </c>
      <c r="O417" s="38">
        <v>0</v>
      </c>
      <c r="P417" s="38">
        <v>0</v>
      </c>
      <c r="Q417" s="10">
        <v>0</v>
      </c>
      <c r="R417" s="10">
        <v>0</v>
      </c>
      <c r="S417" s="10">
        <v>0</v>
      </c>
      <c r="T417" s="10">
        <v>0</v>
      </c>
      <c r="U417" s="10">
        <v>15569.017660000129</v>
      </c>
      <c r="V417" s="10">
        <v>0</v>
      </c>
      <c r="W417" s="38">
        <v>0</v>
      </c>
      <c r="X417" s="10">
        <v>0</v>
      </c>
      <c r="Y417" s="38">
        <v>0</v>
      </c>
      <c r="Z417" s="10">
        <v>0</v>
      </c>
      <c r="AA417" s="10">
        <v>0</v>
      </c>
      <c r="AB417" s="10">
        <v>0</v>
      </c>
      <c r="AC417" s="10">
        <v>0</v>
      </c>
      <c r="AD417" s="10">
        <v>0</v>
      </c>
      <c r="AE417" s="10">
        <v>0</v>
      </c>
      <c r="AF417" s="10">
        <v>0</v>
      </c>
      <c r="AG417" s="43">
        <v>0</v>
      </c>
      <c r="AH417" s="38">
        <v>0</v>
      </c>
      <c r="AI417" s="10">
        <v>0</v>
      </c>
      <c r="AJ417" s="10">
        <v>0</v>
      </c>
      <c r="AK417" s="10">
        <v>0</v>
      </c>
      <c r="AL417" s="38">
        <v>0</v>
      </c>
      <c r="AM417" s="10">
        <v>0</v>
      </c>
      <c r="AN417" s="10">
        <v>0</v>
      </c>
      <c r="AO417" s="10">
        <v>0</v>
      </c>
      <c r="AP417" s="10">
        <v>0</v>
      </c>
      <c r="AQ417" s="10">
        <v>0</v>
      </c>
      <c r="AR417" s="10">
        <v>0</v>
      </c>
      <c r="AS417" s="10">
        <v>0</v>
      </c>
      <c r="AT417" s="10">
        <v>0</v>
      </c>
      <c r="AU417" s="10">
        <v>0</v>
      </c>
      <c r="AV417" s="10">
        <v>0</v>
      </c>
      <c r="AW417" s="10">
        <v>0</v>
      </c>
      <c r="AX417" s="10">
        <v>0</v>
      </c>
      <c r="AY417" s="10">
        <v>0</v>
      </c>
      <c r="AZ417" s="10">
        <v>0</v>
      </c>
      <c r="BA417" s="10">
        <v>0</v>
      </c>
      <c r="BB417" s="10">
        <v>0</v>
      </c>
      <c r="BC417" s="10">
        <v>0</v>
      </c>
      <c r="BD417" s="10">
        <v>0</v>
      </c>
      <c r="BE417" s="10">
        <v>0</v>
      </c>
      <c r="BF417" s="10">
        <v>0</v>
      </c>
    </row>
    <row r="418" spans="1:58" s="21" customFormat="1" ht="14.15" customHeight="1">
      <c r="A418" s="404">
        <f t="shared" si="1042"/>
        <v>412</v>
      </c>
      <c r="B418" s="22" t="s">
        <v>270</v>
      </c>
      <c r="C418" s="38">
        <f t="shared" si="1055"/>
        <v>26505.988320000004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65">
        <v>0</v>
      </c>
      <c r="K418" s="10">
        <v>0</v>
      </c>
      <c r="L418" s="10">
        <v>0</v>
      </c>
      <c r="M418" s="10">
        <v>0</v>
      </c>
      <c r="N418" s="10">
        <v>0</v>
      </c>
      <c r="O418" s="65">
        <v>0</v>
      </c>
      <c r="P418" s="65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26505.988320000004</v>
      </c>
      <c r="V418" s="10">
        <v>0</v>
      </c>
      <c r="W418" s="65">
        <v>0</v>
      </c>
      <c r="X418" s="10">
        <v>0</v>
      </c>
      <c r="Y418" s="65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43">
        <v>0</v>
      </c>
      <c r="AH418" s="65">
        <v>0</v>
      </c>
      <c r="AI418" s="10">
        <v>0</v>
      </c>
      <c r="AJ418" s="10">
        <v>0</v>
      </c>
      <c r="AK418" s="10">
        <v>0</v>
      </c>
      <c r="AL418" s="65">
        <v>0</v>
      </c>
      <c r="AM418" s="10">
        <v>0</v>
      </c>
      <c r="AN418" s="10">
        <v>0</v>
      </c>
      <c r="AO418" s="10">
        <v>0</v>
      </c>
      <c r="AP418" s="10">
        <v>0</v>
      </c>
      <c r="AQ418" s="10">
        <v>0</v>
      </c>
      <c r="AR418" s="10">
        <v>0</v>
      </c>
      <c r="AS418" s="10">
        <v>0</v>
      </c>
      <c r="AT418" s="10">
        <v>0</v>
      </c>
      <c r="AU418" s="10">
        <v>0</v>
      </c>
      <c r="AV418" s="10">
        <v>0</v>
      </c>
      <c r="AW418" s="10">
        <v>0</v>
      </c>
      <c r="AX418" s="10">
        <v>0</v>
      </c>
      <c r="AY418" s="10">
        <v>0</v>
      </c>
      <c r="AZ418" s="10">
        <v>0</v>
      </c>
      <c r="BA418" s="10">
        <v>0</v>
      </c>
      <c r="BB418" s="10">
        <v>0</v>
      </c>
      <c r="BC418" s="10">
        <v>0</v>
      </c>
      <c r="BD418" s="10">
        <v>0</v>
      </c>
      <c r="BE418" s="10">
        <v>0</v>
      </c>
      <c r="BF418" s="10">
        <v>0</v>
      </c>
    </row>
    <row r="419" spans="1:58" s="21" customFormat="1" ht="14.15" customHeight="1">
      <c r="A419" s="404">
        <f t="shared" si="1042"/>
        <v>413</v>
      </c>
      <c r="B419" s="22" t="s">
        <v>271</v>
      </c>
      <c r="C419" s="38">
        <f t="shared" si="1055"/>
        <v>3382692.5685336012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65">
        <v>0</v>
      </c>
      <c r="K419" s="10">
        <v>0</v>
      </c>
      <c r="L419" s="10">
        <v>0</v>
      </c>
      <c r="M419" s="10">
        <v>0</v>
      </c>
      <c r="N419" s="10">
        <v>0</v>
      </c>
      <c r="O419" s="65">
        <v>0</v>
      </c>
      <c r="P419" s="65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13949.767300000065</v>
      </c>
      <c r="V419" s="10">
        <v>0</v>
      </c>
      <c r="W419" s="65">
        <v>0</v>
      </c>
      <c r="X419" s="10">
        <v>0</v>
      </c>
      <c r="Y419" s="65">
        <v>0</v>
      </c>
      <c r="Z419" s="10">
        <v>0</v>
      </c>
      <c r="AA419" s="10">
        <v>0</v>
      </c>
      <c r="AB419" s="10">
        <v>0</v>
      </c>
      <c r="AC419" s="10">
        <v>4985006.8612336004</v>
      </c>
      <c r="AD419" s="10">
        <v>-61787</v>
      </c>
      <c r="AE419" s="10">
        <v>0</v>
      </c>
      <c r="AF419" s="10">
        <v>0</v>
      </c>
      <c r="AG419" s="43">
        <v>0</v>
      </c>
      <c r="AH419" s="65">
        <v>-5974.06</v>
      </c>
      <c r="AI419" s="10">
        <v>0</v>
      </c>
      <c r="AJ419" s="10">
        <v>0</v>
      </c>
      <c r="AK419" s="10">
        <v>0</v>
      </c>
      <c r="AL419" s="65">
        <v>0</v>
      </c>
      <c r="AM419" s="10">
        <v>0</v>
      </c>
      <c r="AN419" s="10">
        <v>0</v>
      </c>
      <c r="AO419" s="10">
        <v>0</v>
      </c>
      <c r="AP419" s="10">
        <v>0</v>
      </c>
      <c r="AQ419" s="10">
        <v>0</v>
      </c>
      <c r="AR419" s="10">
        <v>-1689276</v>
      </c>
      <c r="AS419" s="10">
        <v>140773</v>
      </c>
      <c r="AT419" s="10">
        <v>0</v>
      </c>
      <c r="AU419" s="10">
        <v>0</v>
      </c>
      <c r="AV419" s="10">
        <v>0</v>
      </c>
      <c r="AW419" s="10">
        <v>0</v>
      </c>
      <c r="AX419" s="10">
        <v>0</v>
      </c>
      <c r="AY419" s="10">
        <v>0</v>
      </c>
      <c r="AZ419" s="10">
        <v>0</v>
      </c>
      <c r="BA419" s="10">
        <v>0</v>
      </c>
      <c r="BB419" s="10">
        <v>0</v>
      </c>
      <c r="BC419" s="10">
        <v>0</v>
      </c>
      <c r="BD419" s="10">
        <v>0</v>
      </c>
      <c r="BE419" s="10">
        <v>0</v>
      </c>
      <c r="BF419" s="10">
        <v>0</v>
      </c>
    </row>
    <row r="420" spans="1:58" ht="14.15" customHeight="1">
      <c r="A420" s="404">
        <f t="shared" si="1042"/>
        <v>414</v>
      </c>
      <c r="B420" s="83" t="s">
        <v>272</v>
      </c>
      <c r="C420" s="38">
        <f t="shared" si="1055"/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65">
        <v>0</v>
      </c>
      <c r="K420" s="10">
        <v>0</v>
      </c>
      <c r="L420" s="10">
        <v>0</v>
      </c>
      <c r="M420" s="10">
        <v>0</v>
      </c>
      <c r="N420" s="10">
        <v>0</v>
      </c>
      <c r="O420" s="65">
        <v>0</v>
      </c>
      <c r="P420" s="65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65">
        <v>0</v>
      </c>
      <c r="X420" s="10">
        <v>0</v>
      </c>
      <c r="Y420" s="65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43">
        <v>0</v>
      </c>
      <c r="AH420" s="65">
        <v>0</v>
      </c>
      <c r="AI420" s="10">
        <v>0</v>
      </c>
      <c r="AJ420" s="10">
        <v>0</v>
      </c>
      <c r="AK420" s="10">
        <v>0</v>
      </c>
      <c r="AL420" s="65">
        <v>0</v>
      </c>
      <c r="AM420" s="10">
        <v>0</v>
      </c>
      <c r="AN420" s="10">
        <v>0</v>
      </c>
      <c r="AO420" s="10">
        <v>0</v>
      </c>
      <c r="AP420" s="10">
        <v>0</v>
      </c>
      <c r="AQ420" s="10">
        <v>0</v>
      </c>
      <c r="AR420" s="10">
        <v>0</v>
      </c>
      <c r="AS420" s="10">
        <v>0</v>
      </c>
      <c r="AT420" s="10">
        <v>0</v>
      </c>
      <c r="AU420" s="10">
        <v>0</v>
      </c>
      <c r="AV420" s="10">
        <v>0</v>
      </c>
      <c r="AW420" s="10">
        <v>0</v>
      </c>
      <c r="AX420" s="10">
        <v>0</v>
      </c>
      <c r="AY420" s="10">
        <v>0</v>
      </c>
      <c r="AZ420" s="10">
        <v>0</v>
      </c>
      <c r="BA420" s="10">
        <v>0</v>
      </c>
      <c r="BB420" s="10">
        <v>0</v>
      </c>
      <c r="BC420" s="10">
        <v>0</v>
      </c>
      <c r="BD420" s="10">
        <v>0</v>
      </c>
      <c r="BE420" s="10">
        <v>0</v>
      </c>
      <c r="BF420" s="10">
        <v>0</v>
      </c>
    </row>
    <row r="421" spans="1:58" ht="13.5" customHeight="1">
      <c r="A421" s="404">
        <f t="shared" si="1042"/>
        <v>415</v>
      </c>
      <c r="B421" s="22" t="s">
        <v>273</v>
      </c>
      <c r="C421" s="38">
        <f t="shared" si="1055"/>
        <v>2275.9874199999904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38">
        <v>0</v>
      </c>
      <c r="K421" s="10">
        <v>0</v>
      </c>
      <c r="L421" s="10">
        <v>0</v>
      </c>
      <c r="M421" s="10">
        <v>0</v>
      </c>
      <c r="N421" s="10">
        <v>0</v>
      </c>
      <c r="O421" s="38">
        <v>0</v>
      </c>
      <c r="P421" s="38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2275.9874199999904</v>
      </c>
      <c r="V421" s="10">
        <v>0</v>
      </c>
      <c r="W421" s="38">
        <v>0</v>
      </c>
      <c r="X421" s="10">
        <v>0</v>
      </c>
      <c r="Y421" s="38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43">
        <v>0</v>
      </c>
      <c r="AH421" s="38">
        <v>0</v>
      </c>
      <c r="AI421" s="10">
        <v>0</v>
      </c>
      <c r="AJ421" s="10">
        <v>0</v>
      </c>
      <c r="AK421" s="10">
        <v>0</v>
      </c>
      <c r="AL421" s="38">
        <v>0</v>
      </c>
      <c r="AM421" s="10">
        <v>0</v>
      </c>
      <c r="AN421" s="10">
        <v>0</v>
      </c>
      <c r="AO421" s="10">
        <v>0</v>
      </c>
      <c r="AP421" s="10">
        <v>0</v>
      </c>
      <c r="AQ421" s="10">
        <v>0</v>
      </c>
      <c r="AR421" s="10">
        <v>0</v>
      </c>
      <c r="AS421" s="10">
        <v>0</v>
      </c>
      <c r="AT421" s="10">
        <v>0</v>
      </c>
      <c r="AU421" s="10">
        <v>0</v>
      </c>
      <c r="AV421" s="10">
        <v>0</v>
      </c>
      <c r="AW421" s="10">
        <v>0</v>
      </c>
      <c r="AX421" s="10">
        <v>0</v>
      </c>
      <c r="AY421" s="10">
        <v>0</v>
      </c>
      <c r="AZ421" s="10">
        <v>0</v>
      </c>
      <c r="BA421" s="10">
        <v>0</v>
      </c>
      <c r="BB421" s="10">
        <v>0</v>
      </c>
      <c r="BC421" s="10">
        <v>0</v>
      </c>
      <c r="BD421" s="10">
        <v>0</v>
      </c>
      <c r="BE421" s="10">
        <v>0</v>
      </c>
      <c r="BF421" s="10">
        <v>0</v>
      </c>
    </row>
    <row r="422" spans="1:58" ht="14.15" customHeight="1">
      <c r="A422" s="404">
        <f t="shared" si="1042"/>
        <v>416</v>
      </c>
      <c r="B422" s="22" t="s">
        <v>274</v>
      </c>
      <c r="C422" s="38">
        <f t="shared" si="1055"/>
        <v>114528.90999999992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38">
        <v>0</v>
      </c>
      <c r="K422" s="10">
        <v>0</v>
      </c>
      <c r="L422" s="10">
        <v>0</v>
      </c>
      <c r="M422" s="10">
        <v>0</v>
      </c>
      <c r="N422" s="10">
        <v>0</v>
      </c>
      <c r="O422" s="38">
        <v>0</v>
      </c>
      <c r="P422" s="38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0.18999999994412065</v>
      </c>
      <c r="V422" s="10">
        <v>0</v>
      </c>
      <c r="W422" s="38">
        <v>0</v>
      </c>
      <c r="X422" s="10">
        <v>0</v>
      </c>
      <c r="Y422" s="38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43">
        <v>0</v>
      </c>
      <c r="AH422" s="38">
        <v>0</v>
      </c>
      <c r="AI422" s="10">
        <v>0</v>
      </c>
      <c r="AJ422" s="10">
        <v>0</v>
      </c>
      <c r="AK422" s="10">
        <v>0</v>
      </c>
      <c r="AL422" s="38">
        <v>114528.71999999997</v>
      </c>
      <c r="AM422" s="10">
        <v>0</v>
      </c>
      <c r="AN422" s="10">
        <v>0</v>
      </c>
      <c r="AO422" s="10">
        <v>0</v>
      </c>
      <c r="AP422" s="10">
        <v>0</v>
      </c>
      <c r="AQ422" s="10">
        <v>0</v>
      </c>
      <c r="AR422" s="10">
        <v>0</v>
      </c>
      <c r="AS422" s="10">
        <v>0</v>
      </c>
      <c r="AT422" s="10">
        <v>0</v>
      </c>
      <c r="AU422" s="10">
        <v>0</v>
      </c>
      <c r="AV422" s="10">
        <v>0</v>
      </c>
      <c r="AW422" s="10">
        <v>0</v>
      </c>
      <c r="AX422" s="10">
        <v>0</v>
      </c>
      <c r="AY422" s="10">
        <v>0</v>
      </c>
      <c r="AZ422" s="10">
        <v>0</v>
      </c>
      <c r="BA422" s="10">
        <v>0</v>
      </c>
      <c r="BB422" s="10">
        <v>0</v>
      </c>
      <c r="BC422" s="10">
        <v>0</v>
      </c>
      <c r="BD422" s="10">
        <v>0</v>
      </c>
      <c r="BE422" s="10">
        <v>0</v>
      </c>
      <c r="BF422" s="10">
        <v>0</v>
      </c>
    </row>
    <row r="423" spans="1:58" ht="14.15" customHeight="1">
      <c r="A423" s="404">
        <f t="shared" si="1042"/>
        <v>417</v>
      </c>
      <c r="B423" s="22" t="s">
        <v>320</v>
      </c>
      <c r="C423" s="38">
        <f t="shared" si="1055"/>
        <v>262407.95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65">
        <v>0</v>
      </c>
      <c r="K423" s="10">
        <v>0</v>
      </c>
      <c r="L423" s="10">
        <v>0</v>
      </c>
      <c r="M423" s="10">
        <v>0</v>
      </c>
      <c r="N423" s="10">
        <v>0</v>
      </c>
      <c r="O423" s="65">
        <v>0</v>
      </c>
      <c r="P423" s="65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65">
        <v>0</v>
      </c>
      <c r="X423" s="10">
        <v>0</v>
      </c>
      <c r="Y423" s="65">
        <v>0</v>
      </c>
      <c r="Z423" s="10">
        <v>241938.96000000002</v>
      </c>
      <c r="AA423" s="10">
        <v>0</v>
      </c>
      <c r="AB423" s="10">
        <v>61.78</v>
      </c>
      <c r="AC423" s="10">
        <v>0</v>
      </c>
      <c r="AD423" s="10">
        <v>0</v>
      </c>
      <c r="AE423" s="10">
        <v>0</v>
      </c>
      <c r="AF423" s="10">
        <v>0</v>
      </c>
      <c r="AG423" s="43">
        <v>20407.21</v>
      </c>
      <c r="AH423" s="65">
        <v>0</v>
      </c>
      <c r="AI423" s="10">
        <v>0</v>
      </c>
      <c r="AJ423" s="10">
        <v>0</v>
      </c>
      <c r="AK423" s="10">
        <v>0</v>
      </c>
      <c r="AL423" s="65">
        <v>0</v>
      </c>
      <c r="AM423" s="10">
        <v>0</v>
      </c>
      <c r="AN423" s="10">
        <v>0</v>
      </c>
      <c r="AO423" s="10">
        <v>0</v>
      </c>
      <c r="AP423" s="10">
        <v>0</v>
      </c>
      <c r="AQ423" s="10">
        <v>0</v>
      </c>
      <c r="AR423" s="10">
        <v>0</v>
      </c>
      <c r="AS423" s="10">
        <v>0</v>
      </c>
      <c r="AT423" s="10">
        <v>0</v>
      </c>
      <c r="AU423" s="10">
        <v>0</v>
      </c>
      <c r="AV423" s="10">
        <v>0</v>
      </c>
      <c r="AW423" s="10">
        <v>0</v>
      </c>
      <c r="AX423" s="10">
        <v>0</v>
      </c>
      <c r="AY423" s="10">
        <v>0</v>
      </c>
      <c r="AZ423" s="10">
        <v>0</v>
      </c>
      <c r="BA423" s="10">
        <v>0</v>
      </c>
      <c r="BB423" s="10">
        <v>0</v>
      </c>
      <c r="BC423" s="10">
        <v>0</v>
      </c>
      <c r="BD423" s="10">
        <v>0</v>
      </c>
      <c r="BE423" s="10">
        <v>0</v>
      </c>
      <c r="BF423" s="10">
        <v>0</v>
      </c>
    </row>
    <row r="424" spans="1:58" ht="14.15" customHeight="1">
      <c r="A424" s="404">
        <f t="shared" si="1042"/>
        <v>418</v>
      </c>
      <c r="B424" s="22" t="s">
        <v>275</v>
      </c>
      <c r="C424" s="38">
        <f t="shared" si="1055"/>
        <v>-52701.833559999999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65">
        <v>0</v>
      </c>
      <c r="K424" s="10">
        <v>0</v>
      </c>
      <c r="L424" s="10">
        <v>0</v>
      </c>
      <c r="M424" s="10">
        <v>0</v>
      </c>
      <c r="N424" s="10">
        <v>0</v>
      </c>
      <c r="O424" s="65">
        <v>0</v>
      </c>
      <c r="P424" s="65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1474.6964399999997</v>
      </c>
      <c r="V424" s="10">
        <v>0</v>
      </c>
      <c r="W424" s="65">
        <v>0</v>
      </c>
      <c r="X424" s="10">
        <v>0</v>
      </c>
      <c r="Y424" s="65">
        <v>0</v>
      </c>
      <c r="Z424" s="10">
        <v>0</v>
      </c>
      <c r="AA424" s="10">
        <v>-54803.77</v>
      </c>
      <c r="AB424" s="10">
        <v>627.2399999999999</v>
      </c>
      <c r="AC424" s="10">
        <v>0</v>
      </c>
      <c r="AD424" s="10">
        <v>0</v>
      </c>
      <c r="AE424" s="10">
        <v>0</v>
      </c>
      <c r="AF424" s="10">
        <v>0</v>
      </c>
      <c r="AG424" s="43">
        <v>0</v>
      </c>
      <c r="AH424" s="65">
        <v>0</v>
      </c>
      <c r="AI424" s="10">
        <v>0</v>
      </c>
      <c r="AJ424" s="10">
        <v>0</v>
      </c>
      <c r="AK424" s="10">
        <v>0</v>
      </c>
      <c r="AL424" s="65">
        <v>0</v>
      </c>
      <c r="AM424" s="10">
        <v>0</v>
      </c>
      <c r="AN424" s="10">
        <v>0</v>
      </c>
      <c r="AO424" s="10">
        <v>0</v>
      </c>
      <c r="AP424" s="10">
        <v>0</v>
      </c>
      <c r="AQ424" s="10">
        <v>0</v>
      </c>
      <c r="AR424" s="10">
        <v>0</v>
      </c>
      <c r="AS424" s="10">
        <v>0</v>
      </c>
      <c r="AT424" s="10">
        <v>0</v>
      </c>
      <c r="AU424" s="10">
        <v>0</v>
      </c>
      <c r="AV424" s="10">
        <v>0</v>
      </c>
      <c r="AW424" s="10">
        <v>0</v>
      </c>
      <c r="AX424" s="10">
        <v>0</v>
      </c>
      <c r="AY424" s="10">
        <v>0</v>
      </c>
      <c r="AZ424" s="10">
        <v>0</v>
      </c>
      <c r="BA424" s="10">
        <v>0</v>
      </c>
      <c r="BB424" s="10">
        <v>0</v>
      </c>
      <c r="BC424" s="10">
        <v>0</v>
      </c>
      <c r="BD424" s="10">
        <v>0</v>
      </c>
      <c r="BE424" s="10">
        <v>0</v>
      </c>
      <c r="BF424" s="10">
        <v>0</v>
      </c>
    </row>
    <row r="425" spans="1:58" ht="14.15" customHeight="1">
      <c r="A425" s="404">
        <f t="shared" si="1042"/>
        <v>419</v>
      </c>
      <c r="B425" s="22" t="s">
        <v>276</v>
      </c>
      <c r="C425" s="38">
        <f t="shared" si="1055"/>
        <v>9056.6872000000203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65">
        <v>0</v>
      </c>
      <c r="K425" s="10">
        <v>0</v>
      </c>
      <c r="L425" s="10">
        <v>0</v>
      </c>
      <c r="M425" s="10">
        <v>0</v>
      </c>
      <c r="N425" s="10">
        <v>0</v>
      </c>
      <c r="O425" s="65">
        <v>0</v>
      </c>
      <c r="P425" s="65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8291.2872000000207</v>
      </c>
      <c r="V425" s="10">
        <v>0</v>
      </c>
      <c r="W425" s="65">
        <v>0</v>
      </c>
      <c r="X425" s="10">
        <v>0</v>
      </c>
      <c r="Y425" s="65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43">
        <v>765.40000000000009</v>
      </c>
      <c r="AH425" s="65">
        <v>0</v>
      </c>
      <c r="AI425" s="10">
        <v>0</v>
      </c>
      <c r="AJ425" s="10">
        <v>0</v>
      </c>
      <c r="AK425" s="10">
        <v>0</v>
      </c>
      <c r="AL425" s="65">
        <v>0</v>
      </c>
      <c r="AM425" s="10">
        <v>0</v>
      </c>
      <c r="AN425" s="10">
        <v>0</v>
      </c>
      <c r="AO425" s="10">
        <v>0</v>
      </c>
      <c r="AP425" s="10">
        <v>0</v>
      </c>
      <c r="AQ425" s="10">
        <v>0</v>
      </c>
      <c r="AR425" s="10">
        <v>0</v>
      </c>
      <c r="AS425" s="10">
        <v>0</v>
      </c>
      <c r="AT425" s="10">
        <v>0</v>
      </c>
      <c r="AU425" s="10">
        <v>0</v>
      </c>
      <c r="AV425" s="10">
        <v>0</v>
      </c>
      <c r="AW425" s="10">
        <v>0</v>
      </c>
      <c r="AX425" s="10">
        <v>0</v>
      </c>
      <c r="AY425" s="10">
        <v>0</v>
      </c>
      <c r="AZ425" s="10">
        <v>0</v>
      </c>
      <c r="BA425" s="10">
        <v>0</v>
      </c>
      <c r="BB425" s="10">
        <v>0</v>
      </c>
      <c r="BC425" s="10">
        <v>0</v>
      </c>
      <c r="BD425" s="10">
        <v>0</v>
      </c>
      <c r="BE425" s="10">
        <v>0</v>
      </c>
      <c r="BF425" s="10">
        <v>0</v>
      </c>
    </row>
    <row r="426" spans="1:58" ht="14.15" customHeight="1">
      <c r="A426" s="404">
        <f t="shared" si="1042"/>
        <v>420</v>
      </c>
      <c r="B426" s="56" t="s">
        <v>277</v>
      </c>
      <c r="C426" s="38">
        <f t="shared" si="1055"/>
        <v>-175.95000000000346</v>
      </c>
      <c r="D426" s="43">
        <v>0</v>
      </c>
      <c r="E426" s="43">
        <v>0</v>
      </c>
      <c r="F426" s="43">
        <v>0</v>
      </c>
      <c r="G426" s="43">
        <v>0</v>
      </c>
      <c r="H426" s="43">
        <v>0</v>
      </c>
      <c r="I426" s="43">
        <v>0</v>
      </c>
      <c r="J426" s="197">
        <v>0</v>
      </c>
      <c r="K426" s="43">
        <v>0</v>
      </c>
      <c r="L426" s="43">
        <v>0</v>
      </c>
      <c r="M426" s="43">
        <v>0</v>
      </c>
      <c r="N426" s="43">
        <v>0</v>
      </c>
      <c r="O426" s="197">
        <v>0</v>
      </c>
      <c r="P426" s="197">
        <v>0</v>
      </c>
      <c r="Q426" s="43">
        <v>0</v>
      </c>
      <c r="R426" s="43">
        <v>0</v>
      </c>
      <c r="S426" s="43">
        <v>0</v>
      </c>
      <c r="T426" s="43">
        <v>0</v>
      </c>
      <c r="U426" s="43">
        <v>972.83999999999651</v>
      </c>
      <c r="V426" s="43">
        <v>0</v>
      </c>
      <c r="W426" s="197">
        <v>0</v>
      </c>
      <c r="X426" s="43">
        <v>0</v>
      </c>
      <c r="Y426" s="197">
        <v>0</v>
      </c>
      <c r="Z426" s="43">
        <v>0</v>
      </c>
      <c r="AA426" s="43">
        <v>0</v>
      </c>
      <c r="AB426" s="43">
        <v>-1148.79</v>
      </c>
      <c r="AC426" s="43">
        <v>0</v>
      </c>
      <c r="AD426" s="43">
        <v>0</v>
      </c>
      <c r="AE426" s="43">
        <v>0</v>
      </c>
      <c r="AF426" s="43">
        <v>0</v>
      </c>
      <c r="AG426" s="43">
        <v>0</v>
      </c>
      <c r="AH426" s="197">
        <v>0</v>
      </c>
      <c r="AI426" s="43">
        <v>0</v>
      </c>
      <c r="AJ426" s="43">
        <v>0</v>
      </c>
      <c r="AK426" s="43">
        <v>0</v>
      </c>
      <c r="AL426" s="197">
        <v>0</v>
      </c>
      <c r="AM426" s="43">
        <v>0</v>
      </c>
      <c r="AN426" s="43">
        <v>0</v>
      </c>
      <c r="AO426" s="43">
        <v>0</v>
      </c>
      <c r="AP426" s="43">
        <v>0</v>
      </c>
      <c r="AQ426" s="43">
        <v>0</v>
      </c>
      <c r="AR426" s="43">
        <v>0</v>
      </c>
      <c r="AS426" s="43">
        <v>0</v>
      </c>
      <c r="AT426" s="43">
        <v>0</v>
      </c>
      <c r="AU426" s="43">
        <v>0</v>
      </c>
      <c r="AV426" s="43">
        <v>0</v>
      </c>
      <c r="AW426" s="43">
        <v>0</v>
      </c>
      <c r="AX426" s="43">
        <v>0</v>
      </c>
      <c r="AY426" s="43">
        <v>0</v>
      </c>
      <c r="AZ426" s="43">
        <v>0</v>
      </c>
      <c r="BA426" s="43">
        <v>0</v>
      </c>
      <c r="BB426" s="43">
        <v>0</v>
      </c>
      <c r="BC426" s="43">
        <v>0</v>
      </c>
      <c r="BD426" s="43">
        <v>0</v>
      </c>
      <c r="BE426" s="43">
        <v>0</v>
      </c>
      <c r="BF426" s="43">
        <v>0</v>
      </c>
    </row>
    <row r="427" spans="1:58" ht="14.15" customHeight="1">
      <c r="A427" s="404">
        <f t="shared" si="1042"/>
        <v>421</v>
      </c>
      <c r="B427" s="20" t="s">
        <v>495</v>
      </c>
      <c r="C427" s="80">
        <f t="shared" ref="C427:V427" si="1056">SUM(C413:C426)</f>
        <v>4225299.5765336007</v>
      </c>
      <c r="D427" s="80">
        <f t="shared" ref="D427:I427" si="1057">SUM(D413:D426)</f>
        <v>0</v>
      </c>
      <c r="E427" s="80">
        <f t="shared" si="1057"/>
        <v>0</v>
      </c>
      <c r="F427" s="80">
        <f t="shared" si="1057"/>
        <v>0</v>
      </c>
      <c r="G427" s="80">
        <f t="shared" si="1057"/>
        <v>0</v>
      </c>
      <c r="H427" s="80">
        <f t="shared" si="1057"/>
        <v>0</v>
      </c>
      <c r="I427" s="80">
        <f t="shared" si="1057"/>
        <v>0</v>
      </c>
      <c r="J427" s="65">
        <f t="shared" si="1056"/>
        <v>0</v>
      </c>
      <c r="K427" s="80">
        <f t="shared" ref="K427:U427" si="1058">SUM(K413:K426)</f>
        <v>0</v>
      </c>
      <c r="L427" s="80">
        <f t="shared" si="1058"/>
        <v>0</v>
      </c>
      <c r="M427" s="80">
        <f t="shared" si="1058"/>
        <v>0</v>
      </c>
      <c r="N427" s="80">
        <f t="shared" si="1058"/>
        <v>0</v>
      </c>
      <c r="O427" s="65">
        <f t="shared" si="1058"/>
        <v>0</v>
      </c>
      <c r="P427" s="65">
        <f t="shared" si="1058"/>
        <v>0</v>
      </c>
      <c r="Q427" s="80">
        <f t="shared" si="1058"/>
        <v>0</v>
      </c>
      <c r="R427" s="80">
        <f t="shared" si="1058"/>
        <v>0</v>
      </c>
      <c r="S427" s="80">
        <f t="shared" si="1058"/>
        <v>0</v>
      </c>
      <c r="T427" s="80">
        <f t="shared" si="1058"/>
        <v>0</v>
      </c>
      <c r="U427" s="80">
        <f t="shared" si="1058"/>
        <v>309257.07529999968</v>
      </c>
      <c r="V427" s="80">
        <f t="shared" si="1056"/>
        <v>0</v>
      </c>
      <c r="W427" s="65">
        <f>SUM(W413:W426)</f>
        <v>0</v>
      </c>
      <c r="X427" s="80">
        <f t="shared" ref="X427:AD427" si="1059">SUM(X413:X426)</f>
        <v>0</v>
      </c>
      <c r="Y427" s="65">
        <f>SUM(Y413:Y426)</f>
        <v>0</v>
      </c>
      <c r="Z427" s="80">
        <f t="shared" si="1059"/>
        <v>241938.96000000002</v>
      </c>
      <c r="AA427" s="80">
        <f t="shared" si="1059"/>
        <v>-54803.77</v>
      </c>
      <c r="AB427" s="80">
        <f t="shared" si="1059"/>
        <v>2336.5499999999997</v>
      </c>
      <c r="AC427" s="80">
        <f t="shared" si="1059"/>
        <v>4985006.8612336004</v>
      </c>
      <c r="AD427" s="80">
        <f t="shared" si="1059"/>
        <v>-61787</v>
      </c>
      <c r="AE427" s="80">
        <f>SUM(AE413:AE426)</f>
        <v>0</v>
      </c>
      <c r="AF427" s="80">
        <f>SUM(AF413:AF426)</f>
        <v>-87305</v>
      </c>
      <c r="AG427" s="80">
        <f>SUM(AG413:AG426)</f>
        <v>336545.97000000003</v>
      </c>
      <c r="AH427" s="65">
        <f t="shared" ref="AH427" si="1060">SUM(AH413:AH426)</f>
        <v>-11915.79</v>
      </c>
      <c r="AI427" s="80">
        <f t="shared" ref="AI427:AL427" si="1061">SUM(AI413:AI426)</f>
        <v>0</v>
      </c>
      <c r="AJ427" s="80">
        <f t="shared" si="1061"/>
        <v>0</v>
      </c>
      <c r="AK427" s="80">
        <f t="shared" si="1061"/>
        <v>0</v>
      </c>
      <c r="AL427" s="65">
        <f t="shared" si="1061"/>
        <v>114528.71999999997</v>
      </c>
      <c r="AM427" s="80">
        <f>SUM(AM413:AM426)</f>
        <v>0</v>
      </c>
      <c r="AN427" s="80">
        <f>SUM(AN413:AN426)</f>
        <v>0</v>
      </c>
      <c r="AO427" s="80">
        <f>SUM(AO413:AO426)</f>
        <v>0</v>
      </c>
      <c r="AP427" s="80">
        <f>SUM(AP413:AP426)</f>
        <v>0</v>
      </c>
      <c r="AQ427" s="80">
        <f>SUM(AQ413:AQ426)</f>
        <v>0</v>
      </c>
      <c r="AR427" s="80">
        <f t="shared" ref="AR427" si="1062">SUM(AR413:AR426)</f>
        <v>-1689276</v>
      </c>
      <c r="AS427" s="80">
        <f>SUM(AS413:AS426)</f>
        <v>140773</v>
      </c>
      <c r="AT427" s="80">
        <f t="shared" ref="AT427" si="1063">SUM(AT413:AT426)</f>
        <v>0</v>
      </c>
      <c r="AU427" s="80">
        <f t="shared" ref="AU427" si="1064">SUM(AU413:AU426)</f>
        <v>0</v>
      </c>
      <c r="AV427" s="80">
        <f t="shared" ref="AV427" si="1065">SUM(AV413:AV426)</f>
        <v>0</v>
      </c>
      <c r="AW427" s="80">
        <f>SUM(AW413:AW426)</f>
        <v>0</v>
      </c>
      <c r="AX427" s="80">
        <f t="shared" ref="AX427" si="1066">SUM(AX413:AX426)</f>
        <v>0</v>
      </c>
      <c r="AY427" s="80">
        <f t="shared" ref="AY427:BF427" si="1067">SUM(AY413:AY426)</f>
        <v>0</v>
      </c>
      <c r="AZ427" s="80">
        <f t="shared" si="1067"/>
        <v>0</v>
      </c>
      <c r="BA427" s="80">
        <f t="shared" si="1067"/>
        <v>0</v>
      </c>
      <c r="BB427" s="80">
        <f t="shared" si="1067"/>
        <v>0</v>
      </c>
      <c r="BC427" s="80">
        <f t="shared" si="1067"/>
        <v>0</v>
      </c>
      <c r="BD427" s="80">
        <f t="shared" si="1067"/>
        <v>0</v>
      </c>
      <c r="BE427" s="80">
        <f t="shared" si="1067"/>
        <v>0</v>
      </c>
      <c r="BF427" s="80">
        <f t="shared" si="1067"/>
        <v>0</v>
      </c>
    </row>
    <row r="428" spans="1:58" ht="14.15" customHeight="1">
      <c r="A428" s="404">
        <f t="shared" si="1042"/>
        <v>422</v>
      </c>
      <c r="B428" s="22"/>
      <c r="C428" s="22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</row>
    <row r="429" spans="1:58" ht="14.15" customHeight="1">
      <c r="A429" s="404">
        <f t="shared" si="1042"/>
        <v>423</v>
      </c>
      <c r="B429" s="123" t="s">
        <v>278</v>
      </c>
      <c r="C429" s="38">
        <f>SUM(D429:BF429)</f>
        <v>67953.57710000017</v>
      </c>
      <c r="D429" s="43">
        <v>0</v>
      </c>
      <c r="E429" s="43">
        <v>0</v>
      </c>
      <c r="F429" s="43">
        <v>0</v>
      </c>
      <c r="G429" s="43">
        <v>0</v>
      </c>
      <c r="H429" s="43">
        <v>0</v>
      </c>
      <c r="I429" s="43">
        <v>0</v>
      </c>
      <c r="J429" s="43">
        <v>0</v>
      </c>
      <c r="K429" s="43">
        <v>0</v>
      </c>
      <c r="L429" s="43">
        <v>0</v>
      </c>
      <c r="M429" s="43">
        <v>0</v>
      </c>
      <c r="N429" s="43">
        <v>0</v>
      </c>
      <c r="O429" s="43">
        <v>0</v>
      </c>
      <c r="P429" s="43">
        <v>0</v>
      </c>
      <c r="Q429" s="43">
        <v>0</v>
      </c>
      <c r="R429" s="43">
        <v>0</v>
      </c>
      <c r="S429" s="43">
        <v>0</v>
      </c>
      <c r="T429" s="43">
        <v>0</v>
      </c>
      <c r="U429" s="43">
        <v>31713.397100000177</v>
      </c>
      <c r="V429" s="43">
        <v>0</v>
      </c>
      <c r="W429" s="43">
        <v>0</v>
      </c>
      <c r="X429" s="43">
        <v>0</v>
      </c>
      <c r="Y429" s="43">
        <v>0</v>
      </c>
      <c r="Z429" s="43">
        <v>0</v>
      </c>
      <c r="AA429" s="43">
        <v>0</v>
      </c>
      <c r="AB429" s="43">
        <v>1808.25</v>
      </c>
      <c r="AC429" s="43">
        <v>0</v>
      </c>
      <c r="AD429" s="43">
        <v>0</v>
      </c>
      <c r="AE429" s="43">
        <v>0</v>
      </c>
      <c r="AF429" s="43">
        <v>0</v>
      </c>
      <c r="AG429" s="43">
        <v>34431.93</v>
      </c>
      <c r="AH429" s="43">
        <v>0</v>
      </c>
      <c r="AI429" s="43">
        <v>0</v>
      </c>
      <c r="AJ429" s="43">
        <v>0</v>
      </c>
      <c r="AK429" s="43">
        <v>0</v>
      </c>
      <c r="AL429" s="43">
        <v>0</v>
      </c>
      <c r="AM429" s="43">
        <v>0</v>
      </c>
      <c r="AN429" s="43">
        <v>0</v>
      </c>
      <c r="AO429" s="43">
        <v>0</v>
      </c>
      <c r="AP429" s="43">
        <v>0</v>
      </c>
      <c r="AQ429" s="43">
        <v>0</v>
      </c>
      <c r="AR429" s="43">
        <v>0</v>
      </c>
      <c r="AS429" s="43">
        <v>0</v>
      </c>
      <c r="AT429" s="43">
        <v>0</v>
      </c>
      <c r="AU429" s="43">
        <v>0</v>
      </c>
      <c r="AV429" s="43">
        <v>0</v>
      </c>
      <c r="AW429" s="43">
        <v>0</v>
      </c>
      <c r="AX429" s="43">
        <v>0</v>
      </c>
      <c r="AY429" s="43">
        <v>0</v>
      </c>
      <c r="AZ429" s="43">
        <v>0</v>
      </c>
      <c r="BA429" s="43">
        <v>0</v>
      </c>
      <c r="BB429" s="43">
        <v>0</v>
      </c>
      <c r="BC429" s="43">
        <v>0</v>
      </c>
      <c r="BD429" s="43">
        <v>0</v>
      </c>
      <c r="BE429" s="43">
        <v>0</v>
      </c>
      <c r="BF429" s="43">
        <v>0</v>
      </c>
    </row>
    <row r="430" spans="1:58" ht="14.15" customHeight="1">
      <c r="A430" s="404">
        <f t="shared" si="1042"/>
        <v>424</v>
      </c>
      <c r="B430" s="57" t="s">
        <v>279</v>
      </c>
      <c r="C430" s="38">
        <f>SUM(D430:BF430)</f>
        <v>0</v>
      </c>
      <c r="D430" s="43">
        <v>0</v>
      </c>
      <c r="E430" s="43">
        <v>0</v>
      </c>
      <c r="F430" s="43">
        <v>0</v>
      </c>
      <c r="G430" s="43">
        <v>0</v>
      </c>
      <c r="H430" s="43">
        <v>0</v>
      </c>
      <c r="I430" s="43">
        <v>0</v>
      </c>
      <c r="J430" s="43">
        <v>0</v>
      </c>
      <c r="K430" s="43">
        <v>0</v>
      </c>
      <c r="L430" s="43">
        <v>0</v>
      </c>
      <c r="M430" s="43">
        <v>0</v>
      </c>
      <c r="N430" s="43">
        <v>0</v>
      </c>
      <c r="O430" s="43">
        <v>0</v>
      </c>
      <c r="P430" s="43">
        <v>0</v>
      </c>
      <c r="Q430" s="43">
        <v>0</v>
      </c>
      <c r="R430" s="43">
        <v>0</v>
      </c>
      <c r="S430" s="43">
        <v>0</v>
      </c>
      <c r="T430" s="43">
        <v>0</v>
      </c>
      <c r="U430" s="43">
        <v>0</v>
      </c>
      <c r="V430" s="43">
        <v>0</v>
      </c>
      <c r="W430" s="43">
        <v>0</v>
      </c>
      <c r="X430" s="43">
        <v>0</v>
      </c>
      <c r="Y430" s="43">
        <v>0</v>
      </c>
      <c r="Z430" s="43">
        <v>0</v>
      </c>
      <c r="AA430" s="43">
        <v>0</v>
      </c>
      <c r="AB430" s="43">
        <v>0</v>
      </c>
      <c r="AC430" s="43">
        <v>0</v>
      </c>
      <c r="AD430" s="43">
        <v>0</v>
      </c>
      <c r="AE430" s="43">
        <v>0</v>
      </c>
      <c r="AF430" s="43">
        <v>0</v>
      </c>
      <c r="AG430" s="43">
        <v>0</v>
      </c>
      <c r="AH430" s="43">
        <v>0</v>
      </c>
      <c r="AI430" s="43">
        <v>0</v>
      </c>
      <c r="AJ430" s="43">
        <v>0</v>
      </c>
      <c r="AK430" s="43">
        <v>0</v>
      </c>
      <c r="AL430" s="43">
        <v>0</v>
      </c>
      <c r="AM430" s="43">
        <v>0</v>
      </c>
      <c r="AN430" s="43">
        <v>0</v>
      </c>
      <c r="AO430" s="43">
        <v>0</v>
      </c>
      <c r="AP430" s="43">
        <v>0</v>
      </c>
      <c r="AQ430" s="43">
        <v>0</v>
      </c>
      <c r="AR430" s="43">
        <v>0</v>
      </c>
      <c r="AS430" s="43">
        <v>0</v>
      </c>
      <c r="AT430" s="43">
        <v>0</v>
      </c>
      <c r="AU430" s="43">
        <v>0</v>
      </c>
      <c r="AV430" s="43">
        <v>0</v>
      </c>
      <c r="AW430" s="43">
        <v>0</v>
      </c>
      <c r="AX430" s="43">
        <v>0</v>
      </c>
      <c r="AY430" s="43">
        <v>0</v>
      </c>
      <c r="AZ430" s="43">
        <v>0</v>
      </c>
      <c r="BA430" s="43">
        <v>0</v>
      </c>
      <c r="BB430" s="43">
        <v>0</v>
      </c>
      <c r="BC430" s="43">
        <v>0</v>
      </c>
      <c r="BD430" s="43">
        <v>0</v>
      </c>
      <c r="BE430" s="43">
        <v>0</v>
      </c>
      <c r="BF430" s="43">
        <v>0</v>
      </c>
    </row>
    <row r="431" spans="1:58" ht="14.15" customHeight="1">
      <c r="A431" s="404">
        <f t="shared" si="1042"/>
        <v>425</v>
      </c>
      <c r="B431" s="20" t="s">
        <v>280</v>
      </c>
      <c r="C431" s="80">
        <f t="shared" ref="C431" si="1068">C427+SUM(C429:C430)</f>
        <v>4293253.153633601</v>
      </c>
      <c r="D431" s="80">
        <f t="shared" ref="D431:W431" si="1069">D427+SUM(D429:D430)</f>
        <v>0</v>
      </c>
      <c r="E431" s="80">
        <f t="shared" si="1069"/>
        <v>0</v>
      </c>
      <c r="F431" s="80">
        <f t="shared" si="1069"/>
        <v>0</v>
      </c>
      <c r="G431" s="80">
        <f t="shared" si="1069"/>
        <v>0</v>
      </c>
      <c r="H431" s="80">
        <f t="shared" si="1069"/>
        <v>0</v>
      </c>
      <c r="I431" s="80">
        <f t="shared" si="1069"/>
        <v>0</v>
      </c>
      <c r="J431" s="80">
        <f t="shared" si="1069"/>
        <v>0</v>
      </c>
      <c r="K431" s="80">
        <f t="shared" si="1069"/>
        <v>0</v>
      </c>
      <c r="L431" s="80">
        <f t="shared" si="1069"/>
        <v>0</v>
      </c>
      <c r="M431" s="80">
        <f t="shared" si="1069"/>
        <v>0</v>
      </c>
      <c r="N431" s="80">
        <f t="shared" si="1069"/>
        <v>0</v>
      </c>
      <c r="O431" s="80">
        <f t="shared" si="1069"/>
        <v>0</v>
      </c>
      <c r="P431" s="80">
        <f t="shared" si="1069"/>
        <v>0</v>
      </c>
      <c r="Q431" s="80">
        <f t="shared" si="1069"/>
        <v>0</v>
      </c>
      <c r="R431" s="80">
        <f t="shared" si="1069"/>
        <v>0</v>
      </c>
      <c r="S431" s="80">
        <f t="shared" si="1069"/>
        <v>0</v>
      </c>
      <c r="T431" s="80">
        <f t="shared" si="1069"/>
        <v>0</v>
      </c>
      <c r="U431" s="80">
        <f t="shared" si="1069"/>
        <v>340970.47239999985</v>
      </c>
      <c r="V431" s="80">
        <f t="shared" si="1069"/>
        <v>0</v>
      </c>
      <c r="W431" s="80">
        <f t="shared" si="1069"/>
        <v>0</v>
      </c>
      <c r="X431" s="80">
        <f t="shared" ref="X431:AD431" si="1070">X427+SUM(X429:X430)</f>
        <v>0</v>
      </c>
      <c r="Y431" s="80">
        <f>Y427+SUM(Y429:Y430)</f>
        <v>0</v>
      </c>
      <c r="Z431" s="80">
        <f t="shared" si="1070"/>
        <v>241938.96000000002</v>
      </c>
      <c r="AA431" s="80">
        <f t="shared" si="1070"/>
        <v>-54803.77</v>
      </c>
      <c r="AB431" s="80">
        <f t="shared" si="1070"/>
        <v>4144.7999999999993</v>
      </c>
      <c r="AC431" s="80">
        <f t="shared" si="1070"/>
        <v>4985006.8612336004</v>
      </c>
      <c r="AD431" s="80">
        <f t="shared" si="1070"/>
        <v>-61787</v>
      </c>
      <c r="AE431" s="80">
        <f>AE427+SUM(AE429:AE430)</f>
        <v>0</v>
      </c>
      <c r="AF431" s="80">
        <f>AF427+SUM(AF429:AF430)</f>
        <v>-87305</v>
      </c>
      <c r="AG431" s="80">
        <f>AG427+SUM(AG429:AG430)</f>
        <v>370977.9</v>
      </c>
      <c r="AH431" s="80">
        <f t="shared" ref="AH431:AL431" si="1071">AH427+SUM(AH429:AH430)</f>
        <v>-11915.79</v>
      </c>
      <c r="AI431" s="80">
        <f t="shared" si="1071"/>
        <v>0</v>
      </c>
      <c r="AJ431" s="80">
        <f t="shared" si="1071"/>
        <v>0</v>
      </c>
      <c r="AK431" s="80">
        <f t="shared" si="1071"/>
        <v>0</v>
      </c>
      <c r="AL431" s="80">
        <f t="shared" si="1071"/>
        <v>114528.71999999997</v>
      </c>
      <c r="AM431" s="80">
        <f>AM427+SUM(AM429:AM430)</f>
        <v>0</v>
      </c>
      <c r="AN431" s="80">
        <f>AN427+SUM(AN429:AN430)</f>
        <v>0</v>
      </c>
      <c r="AO431" s="80">
        <f>AO427+SUM(AO429:AO430)</f>
        <v>0</v>
      </c>
      <c r="AP431" s="80">
        <f>AP427+SUM(AP429:AP430)</f>
        <v>0</v>
      </c>
      <c r="AQ431" s="80">
        <f>AQ427+SUM(AQ429:AQ430)</f>
        <v>0</v>
      </c>
      <c r="AR431" s="80">
        <f t="shared" ref="AR431" si="1072">AR427+SUM(AR429:AR430)</f>
        <v>-1689276</v>
      </c>
      <c r="AS431" s="80">
        <f>AS427+SUM(AS429:AS430)</f>
        <v>140773</v>
      </c>
      <c r="AT431" s="80">
        <f t="shared" ref="AT431" si="1073">AT427+SUM(AT429:AT430)</f>
        <v>0</v>
      </c>
      <c r="AU431" s="80">
        <f t="shared" ref="AU431" si="1074">AU427+SUM(AU429:AU430)</f>
        <v>0</v>
      </c>
      <c r="AV431" s="80">
        <f t="shared" ref="AV431" si="1075">AV427+SUM(AV429:AV430)</f>
        <v>0</v>
      </c>
      <c r="AW431" s="80">
        <f>AW427+SUM(AW429:AW430)</f>
        <v>0</v>
      </c>
      <c r="AX431" s="80">
        <f t="shared" ref="AX431" si="1076">AX427+SUM(AX429:AX430)</f>
        <v>0</v>
      </c>
      <c r="AY431" s="80">
        <f t="shared" ref="AY431:BF431" si="1077">AY427+SUM(AY429:AY430)</f>
        <v>0</v>
      </c>
      <c r="AZ431" s="80">
        <f t="shared" si="1077"/>
        <v>0</v>
      </c>
      <c r="BA431" s="80">
        <f t="shared" si="1077"/>
        <v>0</v>
      </c>
      <c r="BB431" s="80">
        <f t="shared" si="1077"/>
        <v>0</v>
      </c>
      <c r="BC431" s="80">
        <f t="shared" si="1077"/>
        <v>0</v>
      </c>
      <c r="BD431" s="80">
        <f t="shared" si="1077"/>
        <v>0</v>
      </c>
      <c r="BE431" s="80">
        <f t="shared" si="1077"/>
        <v>0</v>
      </c>
      <c r="BF431" s="80">
        <f t="shared" si="1077"/>
        <v>0</v>
      </c>
    </row>
    <row r="432" spans="1:58" ht="14.15" customHeight="1">
      <c r="A432" s="404">
        <f t="shared" si="1042"/>
        <v>426</v>
      </c>
      <c r="B432" s="57"/>
      <c r="C432" s="145"/>
      <c r="D432" s="145"/>
      <c r="E432" s="145"/>
      <c r="F432" s="145"/>
      <c r="G432" s="145"/>
      <c r="H432" s="145"/>
      <c r="I432" s="145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  <c r="T432" s="145"/>
      <c r="U432" s="145"/>
      <c r="V432" s="145"/>
      <c r="W432" s="145"/>
      <c r="X432" s="145"/>
      <c r="Y432" s="145"/>
      <c r="Z432" s="145"/>
      <c r="AA432" s="145"/>
      <c r="AB432" s="145"/>
      <c r="AC432" s="145"/>
      <c r="AD432" s="145"/>
      <c r="AE432" s="145"/>
      <c r="AF432" s="145"/>
      <c r="AG432" s="145"/>
      <c r="AH432" s="145"/>
      <c r="AI432" s="145"/>
      <c r="AJ432" s="145"/>
      <c r="AK432" s="145"/>
      <c r="AL432" s="145"/>
      <c r="AM432" s="145"/>
      <c r="AN432" s="145"/>
      <c r="AO432" s="145"/>
      <c r="AP432" s="145"/>
      <c r="AQ432" s="145"/>
      <c r="AR432" s="145"/>
      <c r="AS432" s="145"/>
      <c r="AT432" s="145"/>
      <c r="AU432" s="145"/>
      <c r="AV432" s="145"/>
      <c r="AW432" s="145"/>
      <c r="AX432" s="145"/>
      <c r="AY432" s="145"/>
      <c r="AZ432" s="145"/>
      <c r="BA432" s="145"/>
      <c r="BB432" s="145"/>
      <c r="BC432" s="145"/>
      <c r="BD432" s="145"/>
      <c r="BE432" s="145"/>
      <c r="BF432" s="145"/>
    </row>
    <row r="433" spans="1:58" s="21" customFormat="1" ht="14.15" customHeight="1">
      <c r="A433" s="404">
        <f t="shared" si="1042"/>
        <v>427</v>
      </c>
      <c r="B433" s="20" t="s">
        <v>496</v>
      </c>
      <c r="C433" s="162">
        <f t="shared" ref="C433:V433" si="1078">C431+C410+C403+C396+C387+C359+C332</f>
        <v>-43550166.70901572</v>
      </c>
      <c r="D433" s="162">
        <f t="shared" ref="D433:I433" si="1079">D431+D410+D403+D396+D387+D359+D332</f>
        <v>0</v>
      </c>
      <c r="E433" s="162">
        <f t="shared" si="1079"/>
        <v>0</v>
      </c>
      <c r="F433" s="162">
        <f t="shared" si="1079"/>
        <v>0</v>
      </c>
      <c r="G433" s="162">
        <f t="shared" si="1079"/>
        <v>0</v>
      </c>
      <c r="H433" s="162">
        <f t="shared" si="1079"/>
        <v>0</v>
      </c>
      <c r="I433" s="162">
        <f t="shared" si="1079"/>
        <v>0</v>
      </c>
      <c r="J433" s="162">
        <f t="shared" si="1078"/>
        <v>0</v>
      </c>
      <c r="K433" s="162">
        <f t="shared" ref="K433:U433" si="1080">K431+K410+K403+K396+K387+K359+K332</f>
        <v>0</v>
      </c>
      <c r="L433" s="162">
        <f t="shared" si="1080"/>
        <v>-42632032</v>
      </c>
      <c r="M433" s="162">
        <f t="shared" si="1080"/>
        <v>-3562775.15</v>
      </c>
      <c r="N433" s="162">
        <f t="shared" si="1080"/>
        <v>-515763.11999999994</v>
      </c>
      <c r="O433" s="162">
        <f t="shared" si="1080"/>
        <v>-628079.1</v>
      </c>
      <c r="P433" s="162">
        <f t="shared" si="1080"/>
        <v>-373893.79</v>
      </c>
      <c r="Q433" s="162">
        <f t="shared" si="1080"/>
        <v>-1596917.7332181961</v>
      </c>
      <c r="R433" s="162">
        <f t="shared" si="1080"/>
        <v>-428368.74643115525</v>
      </c>
      <c r="S433" s="162">
        <f t="shared" si="1080"/>
        <v>5725020</v>
      </c>
      <c r="T433" s="162">
        <f t="shared" si="1080"/>
        <v>21148.080000000002</v>
      </c>
      <c r="U433" s="162">
        <f t="shared" si="1080"/>
        <v>4901693.329400029</v>
      </c>
      <c r="V433" s="162">
        <f t="shared" si="1078"/>
        <v>-3541349</v>
      </c>
      <c r="W433" s="162">
        <f>W431+W410+W403+W396+W387+W359+W332</f>
        <v>0</v>
      </c>
      <c r="X433" s="162">
        <f t="shared" ref="X433:AD433" si="1081">X431+X410+X403+X396+X387+X359+X332</f>
        <v>215408.01999999955</v>
      </c>
      <c r="Y433" s="162">
        <f>Y431+Y410+Y403+Y396+Y387+Y359+Y332</f>
        <v>0</v>
      </c>
      <c r="Z433" s="162">
        <f t="shared" si="1081"/>
        <v>241938.96000000002</v>
      </c>
      <c r="AA433" s="162">
        <f t="shared" si="1081"/>
        <v>-54803.77</v>
      </c>
      <c r="AB433" s="162">
        <f t="shared" si="1081"/>
        <v>116943.45999999996</v>
      </c>
      <c r="AC433" s="162">
        <f t="shared" si="1081"/>
        <v>4985006.8612336004</v>
      </c>
      <c r="AD433" s="162">
        <f t="shared" si="1081"/>
        <v>-61787</v>
      </c>
      <c r="AE433" s="162">
        <f>AE431+AE410+AE403+AE396+AE387+AE359+AE332</f>
        <v>0</v>
      </c>
      <c r="AF433" s="162">
        <f>AF431+AF410+AF403+AF396+AF387+AF359+AF332</f>
        <v>-3086549</v>
      </c>
      <c r="AG433" s="162">
        <f>AG431+AG410+AG403+AG396+AG387+AG359+AG332</f>
        <v>3130902.8</v>
      </c>
      <c r="AH433" s="162">
        <f t="shared" ref="AH433" si="1082">AH431+AH410+AH403+AH396+AH387+AH359+AH332</f>
        <v>-24171.379999999997</v>
      </c>
      <c r="AI433" s="162">
        <f t="shared" ref="AI433:AL433" si="1083">AI431+AI410+AI403+AI396+AI387+AI359+AI332</f>
        <v>0</v>
      </c>
      <c r="AJ433" s="162">
        <f t="shared" si="1083"/>
        <v>0</v>
      </c>
      <c r="AK433" s="162">
        <f t="shared" si="1083"/>
        <v>0</v>
      </c>
      <c r="AL433" s="162">
        <f t="shared" si="1083"/>
        <v>114528.71999999997</v>
      </c>
      <c r="AM433" s="162">
        <f>AM431+AM410+AM403+AM396+AM387+AM359+AM332</f>
        <v>0</v>
      </c>
      <c r="AN433" s="162">
        <f>AN431+AN410+AN403+AN396+AN387+AN359+AN332</f>
        <v>0</v>
      </c>
      <c r="AO433" s="162">
        <f>AO431+AO410+AO403+AO396+AO387+AO359+AO332</f>
        <v>0</v>
      </c>
      <c r="AP433" s="162">
        <f>AP431+AP410+AP403+AP396+AP387+AP359+AP332</f>
        <v>0</v>
      </c>
      <c r="AQ433" s="162">
        <f>AQ431+AQ410+AQ403+AQ396+AQ387+AQ359+AQ332</f>
        <v>1212197.6499999999</v>
      </c>
      <c r="AR433" s="162">
        <f t="shared" ref="AR433" si="1084">AR431+AR410+AR403+AR396+AR387+AR359+AR332</f>
        <v>-1689276</v>
      </c>
      <c r="AS433" s="162">
        <f>AS431+AS410+AS403+AS396+AS387+AS359+AS332</f>
        <v>140773</v>
      </c>
      <c r="AT433" s="162">
        <f t="shared" ref="AT433" si="1085">AT431+AT410+AT403+AT396+AT387+AT359+AT332</f>
        <v>0</v>
      </c>
      <c r="AU433" s="162">
        <f t="shared" ref="AU433" si="1086">AU431+AU410+AU403+AU396+AU387+AU359+AU332</f>
        <v>0</v>
      </c>
      <c r="AV433" s="162">
        <f t="shared" ref="AV433" si="1087">AV431+AV410+AV403+AV396+AV387+AV359+AV332</f>
        <v>-6159961.8000000007</v>
      </c>
      <c r="AW433" s="162">
        <f>AW431+AW410+AW403+AW396+AW387+AW359+AW332</f>
        <v>0</v>
      </c>
      <c r="AX433" s="162">
        <f t="shared" ref="AX433" si="1088">AX431+AX410+AX403+AX396+AX387+AX359+AX332</f>
        <v>0</v>
      </c>
      <c r="AY433" s="162">
        <f t="shared" ref="AY433:BF433" si="1089">AY431+AY410+AY403+AY396+AY387+AY359+AY332</f>
        <v>0</v>
      </c>
      <c r="AZ433" s="162">
        <f t="shared" si="1089"/>
        <v>0</v>
      </c>
      <c r="BA433" s="162">
        <f t="shared" si="1089"/>
        <v>0</v>
      </c>
      <c r="BB433" s="162">
        <f t="shared" si="1089"/>
        <v>0</v>
      </c>
      <c r="BC433" s="162">
        <f t="shared" si="1089"/>
        <v>0</v>
      </c>
      <c r="BD433" s="162">
        <f t="shared" si="1089"/>
        <v>0</v>
      </c>
      <c r="BE433" s="162">
        <f t="shared" si="1089"/>
        <v>0</v>
      </c>
      <c r="BF433" s="162">
        <f t="shared" si="1089"/>
        <v>0</v>
      </c>
    </row>
    <row r="434" spans="1:58" s="21" customFormat="1" ht="14.15" customHeight="1">
      <c r="A434" s="404">
        <f t="shared" si="1042"/>
        <v>428</v>
      </c>
      <c r="B434" s="123"/>
      <c r="C434" s="123"/>
      <c r="D434" s="156"/>
      <c r="E434" s="156"/>
      <c r="F434" s="156"/>
      <c r="G434" s="156"/>
      <c r="H434" s="156"/>
      <c r="I434" s="156"/>
      <c r="J434" s="156"/>
      <c r="K434" s="156"/>
      <c r="L434" s="156"/>
      <c r="M434" s="156"/>
      <c r="N434" s="156"/>
      <c r="O434" s="156"/>
      <c r="P434" s="156"/>
      <c r="Q434" s="156"/>
      <c r="R434" s="156"/>
      <c r="S434" s="156"/>
      <c r="T434" s="156"/>
      <c r="U434" s="156"/>
      <c r="V434" s="156"/>
      <c r="W434" s="156"/>
      <c r="X434" s="156"/>
      <c r="Y434" s="156"/>
      <c r="Z434" s="156"/>
      <c r="AA434" s="156"/>
      <c r="AB434" s="156"/>
      <c r="AC434" s="156"/>
      <c r="AD434" s="156"/>
      <c r="AE434" s="156"/>
      <c r="AF434" s="156"/>
      <c r="AG434" s="156"/>
      <c r="AH434" s="156"/>
      <c r="AI434" s="156"/>
      <c r="AJ434" s="156"/>
      <c r="AK434" s="156"/>
      <c r="AL434" s="156"/>
      <c r="AM434" s="156"/>
      <c r="AN434" s="156"/>
      <c r="AO434" s="156"/>
      <c r="AP434" s="156"/>
      <c r="AQ434" s="156"/>
      <c r="AR434" s="156"/>
      <c r="AS434" s="156"/>
      <c r="AT434" s="156"/>
      <c r="AU434" s="156"/>
      <c r="AV434" s="156"/>
      <c r="AW434" s="156"/>
      <c r="AX434" s="156"/>
      <c r="AY434" s="156"/>
      <c r="AZ434" s="156"/>
      <c r="BA434" s="156"/>
      <c r="BB434" s="156"/>
      <c r="BC434" s="156"/>
      <c r="BD434" s="156"/>
      <c r="BE434" s="156"/>
      <c r="BF434" s="156"/>
    </row>
    <row r="435" spans="1:58" s="21" customFormat="1" ht="14.15" customHeight="1">
      <c r="A435" s="404">
        <f t="shared" si="1042"/>
        <v>429</v>
      </c>
      <c r="B435" s="20" t="s">
        <v>371</v>
      </c>
      <c r="C435" s="20"/>
      <c r="D435" s="156"/>
      <c r="E435" s="156"/>
      <c r="F435" s="156"/>
      <c r="G435" s="156"/>
      <c r="H435" s="156"/>
      <c r="I435" s="156"/>
      <c r="J435" s="156"/>
      <c r="K435" s="156"/>
      <c r="L435" s="156"/>
      <c r="M435" s="156"/>
      <c r="N435" s="156"/>
      <c r="O435" s="156"/>
      <c r="P435" s="156"/>
      <c r="Q435" s="156"/>
      <c r="R435" s="156"/>
      <c r="S435" s="156"/>
      <c r="T435" s="156"/>
      <c r="U435" s="156"/>
      <c r="V435" s="156"/>
      <c r="W435" s="156"/>
      <c r="X435" s="156"/>
      <c r="Y435" s="156"/>
      <c r="Z435" s="156"/>
      <c r="AA435" s="156"/>
      <c r="AB435" s="156"/>
      <c r="AC435" s="156"/>
      <c r="AD435" s="156"/>
      <c r="AE435" s="156"/>
      <c r="AF435" s="156"/>
      <c r="AG435" s="156"/>
      <c r="AH435" s="156"/>
      <c r="AI435" s="156"/>
      <c r="AJ435" s="156"/>
      <c r="AK435" s="156"/>
      <c r="AL435" s="156"/>
      <c r="AM435" s="156"/>
      <c r="AN435" s="156"/>
      <c r="AO435" s="156"/>
      <c r="AP435" s="156"/>
      <c r="AQ435" s="156"/>
      <c r="AR435" s="156"/>
      <c r="AS435" s="156"/>
      <c r="AT435" s="156"/>
      <c r="AU435" s="156"/>
      <c r="AV435" s="156"/>
      <c r="AW435" s="156"/>
      <c r="AX435" s="156"/>
      <c r="AY435" s="156"/>
      <c r="AZ435" s="156"/>
      <c r="BA435" s="156"/>
      <c r="BB435" s="156"/>
      <c r="BC435" s="156"/>
      <c r="BD435" s="156"/>
      <c r="BE435" s="156"/>
      <c r="BF435" s="156"/>
    </row>
    <row r="436" spans="1:58" s="21" customFormat="1" ht="14.15" customHeight="1">
      <c r="A436" s="404">
        <f t="shared" si="1042"/>
        <v>430</v>
      </c>
      <c r="B436" s="22" t="s">
        <v>374</v>
      </c>
      <c r="C436" s="38">
        <f>SUM(D436:BF436)</f>
        <v>0</v>
      </c>
      <c r="D436" s="10"/>
      <c r="E436" s="10"/>
      <c r="F436" s="10"/>
      <c r="G436" s="10"/>
      <c r="H436" s="10"/>
      <c r="I436" s="10"/>
      <c r="J436" s="38"/>
      <c r="K436" s="10"/>
      <c r="L436" s="10"/>
      <c r="M436" s="10"/>
      <c r="N436" s="156"/>
      <c r="O436" s="38"/>
      <c r="P436" s="38"/>
      <c r="Q436" s="156"/>
      <c r="R436" s="10"/>
      <c r="S436" s="10"/>
      <c r="T436" s="10"/>
      <c r="U436" s="10"/>
      <c r="V436" s="10"/>
      <c r="W436" s="156"/>
      <c r="X436" s="10"/>
      <c r="Y436" s="38"/>
      <c r="Z436" s="10"/>
      <c r="AA436" s="10"/>
      <c r="AB436" s="10"/>
      <c r="AC436" s="156"/>
      <c r="AD436" s="10"/>
      <c r="AE436" s="10"/>
      <c r="AF436" s="10"/>
      <c r="AG436" s="10"/>
      <c r="AH436" s="38"/>
      <c r="AI436" s="10"/>
      <c r="AJ436" s="10"/>
      <c r="AK436" s="10"/>
      <c r="AL436" s="38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38"/>
      <c r="BD436" s="10"/>
      <c r="BE436" s="10"/>
      <c r="BF436" s="10"/>
    </row>
    <row r="437" spans="1:58" s="21" customFormat="1" ht="14.15" customHeight="1">
      <c r="A437" s="404">
        <f t="shared" si="1042"/>
        <v>431</v>
      </c>
      <c r="B437" s="22" t="s">
        <v>375</v>
      </c>
      <c r="C437" s="38">
        <f>SUM(D437:BF437)</f>
        <v>0</v>
      </c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  <c r="BF437" s="38"/>
    </row>
    <row r="438" spans="1:58" s="21" customFormat="1" ht="14.15" customHeight="1">
      <c r="A438" s="404">
        <f t="shared" si="1042"/>
        <v>432</v>
      </c>
      <c r="B438" s="22" t="s">
        <v>246</v>
      </c>
      <c r="C438" s="38">
        <f>SUM(D438:BF438)</f>
        <v>0</v>
      </c>
      <c r="D438" s="10"/>
      <c r="E438" s="10"/>
      <c r="F438" s="10"/>
      <c r="G438" s="10"/>
      <c r="H438" s="10"/>
      <c r="I438" s="10"/>
      <c r="J438" s="38"/>
      <c r="K438" s="10"/>
      <c r="L438" s="10"/>
      <c r="M438" s="10"/>
      <c r="N438" s="10"/>
      <c r="O438" s="38"/>
      <c r="P438" s="38"/>
      <c r="Q438" s="10"/>
      <c r="R438" s="10"/>
      <c r="S438" s="156"/>
      <c r="T438" s="10"/>
      <c r="U438" s="10"/>
      <c r="V438" s="10"/>
      <c r="W438" s="38"/>
      <c r="X438" s="156"/>
      <c r="Y438" s="38"/>
      <c r="Z438" s="10"/>
      <c r="AA438" s="10"/>
      <c r="AB438" s="156"/>
      <c r="AC438" s="10"/>
      <c r="AD438" s="10"/>
      <c r="AE438" s="10"/>
      <c r="AF438" s="10"/>
      <c r="AG438" s="10"/>
      <c r="AH438" s="38"/>
      <c r="AI438" s="10"/>
      <c r="AJ438" s="10"/>
      <c r="AK438" s="10"/>
      <c r="AL438" s="38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</row>
    <row r="439" spans="1:58" s="21" customFormat="1" ht="14.15" customHeight="1">
      <c r="A439" s="404">
        <f t="shared" si="1042"/>
        <v>433</v>
      </c>
      <c r="B439" s="22" t="s">
        <v>376</v>
      </c>
      <c r="C439" s="38">
        <f>SUM(D439:BF439)</f>
        <v>0</v>
      </c>
      <c r="D439" s="10"/>
      <c r="E439" s="10"/>
      <c r="F439" s="10"/>
      <c r="G439" s="10"/>
      <c r="H439" s="10"/>
      <c r="I439" s="10"/>
      <c r="J439" s="38"/>
      <c r="K439" s="10"/>
      <c r="L439" s="10"/>
      <c r="M439" s="10"/>
      <c r="N439" s="10"/>
      <c r="O439" s="38"/>
      <c r="P439" s="38"/>
      <c r="Q439" s="10"/>
      <c r="R439" s="10"/>
      <c r="S439" s="10"/>
      <c r="T439" s="10"/>
      <c r="U439" s="10"/>
      <c r="V439" s="10"/>
      <c r="W439" s="38"/>
      <c r="X439" s="10"/>
      <c r="Y439" s="38"/>
      <c r="Z439" s="10"/>
      <c r="AA439" s="10"/>
      <c r="AB439" s="10"/>
      <c r="AC439" s="10"/>
      <c r="AD439" s="10"/>
      <c r="AE439" s="10"/>
      <c r="AF439" s="10"/>
      <c r="AG439" s="10"/>
      <c r="AH439" s="38"/>
      <c r="AI439" s="10"/>
      <c r="AJ439" s="10"/>
      <c r="AK439" s="10"/>
      <c r="AL439" s="38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</row>
    <row r="440" spans="1:58" s="21" customFormat="1" ht="14.15" customHeight="1">
      <c r="A440" s="404">
        <f t="shared" si="1042"/>
        <v>434</v>
      </c>
      <c r="B440" s="56" t="s">
        <v>377</v>
      </c>
      <c r="C440" s="38">
        <f>SUM(D440:BF440)</f>
        <v>0</v>
      </c>
      <c r="D440" s="64"/>
      <c r="E440" s="64"/>
      <c r="F440" s="64"/>
      <c r="G440" s="64"/>
      <c r="H440" s="64"/>
      <c r="I440" s="64"/>
      <c r="J440" s="197"/>
      <c r="K440" s="64"/>
      <c r="L440" s="64"/>
      <c r="M440" s="64"/>
      <c r="N440" s="10"/>
      <c r="O440" s="38"/>
      <c r="P440" s="197"/>
      <c r="Q440" s="10"/>
      <c r="R440" s="64"/>
      <c r="S440" s="10"/>
      <c r="T440" s="64"/>
      <c r="U440" s="64"/>
      <c r="V440" s="64"/>
      <c r="W440" s="38"/>
      <c r="X440" s="10"/>
      <c r="Y440" s="197"/>
      <c r="Z440" s="167"/>
      <c r="AA440" s="167"/>
      <c r="AB440" s="10"/>
      <c r="AC440" s="10"/>
      <c r="AD440" s="167"/>
      <c r="AE440" s="64"/>
      <c r="AF440" s="167"/>
      <c r="AG440" s="64"/>
      <c r="AH440" s="197"/>
      <c r="AI440" s="64"/>
      <c r="AJ440" s="64"/>
      <c r="AK440" s="64"/>
      <c r="AL440" s="197"/>
      <c r="AM440" s="64"/>
      <c r="AN440" s="64"/>
      <c r="AO440" s="64"/>
      <c r="AP440" s="64"/>
      <c r="AQ440" s="64"/>
      <c r="AR440" s="64"/>
      <c r="AS440" s="64"/>
      <c r="AT440" s="64"/>
      <c r="AU440" s="64"/>
      <c r="AV440" s="64"/>
      <c r="AW440" s="64"/>
      <c r="AX440" s="64"/>
      <c r="AY440" s="64"/>
      <c r="AZ440" s="64"/>
      <c r="BA440" s="64"/>
      <c r="BB440" s="64"/>
      <c r="BC440" s="64"/>
      <c r="BD440" s="64"/>
      <c r="BE440" s="64"/>
      <c r="BF440" s="64"/>
    </row>
    <row r="441" spans="1:58" s="21" customFormat="1" ht="14.15" customHeight="1">
      <c r="A441" s="404">
        <f t="shared" si="1042"/>
        <v>435</v>
      </c>
      <c r="B441" s="62" t="s">
        <v>497</v>
      </c>
      <c r="C441" s="170">
        <f t="shared" ref="C441:V441" si="1090">SUM(C436:C440)</f>
        <v>0</v>
      </c>
      <c r="D441" s="64">
        <f t="shared" ref="D441:I441" si="1091">SUM(D436:D440)</f>
        <v>0</v>
      </c>
      <c r="E441" s="64">
        <f t="shared" si="1091"/>
        <v>0</v>
      </c>
      <c r="F441" s="64">
        <f t="shared" si="1091"/>
        <v>0</v>
      </c>
      <c r="G441" s="64">
        <f t="shared" si="1091"/>
        <v>0</v>
      </c>
      <c r="H441" s="64">
        <f t="shared" si="1091"/>
        <v>0</v>
      </c>
      <c r="I441" s="64">
        <f t="shared" si="1091"/>
        <v>0</v>
      </c>
      <c r="J441" s="200">
        <f t="shared" si="1090"/>
        <v>0</v>
      </c>
      <c r="K441" s="64">
        <f t="shared" ref="K441:U441" si="1092">SUM(K436:K440)</f>
        <v>0</v>
      </c>
      <c r="L441" s="171">
        <f t="shared" si="1092"/>
        <v>0</v>
      </c>
      <c r="M441" s="64">
        <f t="shared" si="1092"/>
        <v>0</v>
      </c>
      <c r="N441" s="170">
        <f t="shared" si="1092"/>
        <v>0</v>
      </c>
      <c r="O441" s="170">
        <f t="shared" si="1092"/>
        <v>0</v>
      </c>
      <c r="P441" s="197">
        <f t="shared" si="1092"/>
        <v>0</v>
      </c>
      <c r="Q441" s="170">
        <f t="shared" si="1092"/>
        <v>0</v>
      </c>
      <c r="R441" s="64">
        <f t="shared" si="1092"/>
        <v>0</v>
      </c>
      <c r="S441" s="170">
        <f t="shared" si="1092"/>
        <v>0</v>
      </c>
      <c r="T441" s="64">
        <f t="shared" si="1092"/>
        <v>0</v>
      </c>
      <c r="U441" s="64">
        <f t="shared" si="1092"/>
        <v>0</v>
      </c>
      <c r="V441" s="64">
        <f t="shared" si="1090"/>
        <v>0</v>
      </c>
      <c r="W441" s="170">
        <f>SUM(W436:W440)</f>
        <v>0</v>
      </c>
      <c r="X441" s="170">
        <f t="shared" ref="X441:AD441" si="1093">SUM(X436:X440)</f>
        <v>0</v>
      </c>
      <c r="Y441" s="197">
        <f>SUM(Y436:Y440)</f>
        <v>0</v>
      </c>
      <c r="Z441" s="170">
        <f t="shared" si="1093"/>
        <v>0</v>
      </c>
      <c r="AA441" s="170">
        <f t="shared" si="1093"/>
        <v>0</v>
      </c>
      <c r="AB441" s="170">
        <f t="shared" si="1093"/>
        <v>0</v>
      </c>
      <c r="AC441" s="170">
        <f t="shared" si="1093"/>
        <v>0</v>
      </c>
      <c r="AD441" s="170">
        <f t="shared" si="1093"/>
        <v>0</v>
      </c>
      <c r="AE441" s="64">
        <f>SUM(AE436:AE440)</f>
        <v>0</v>
      </c>
      <c r="AF441" s="170">
        <f>SUM(AF436:AF440)</f>
        <v>0</v>
      </c>
      <c r="AG441" s="64">
        <f>SUM(AG436:AG440)</f>
        <v>0</v>
      </c>
      <c r="AH441" s="197">
        <f t="shared" ref="AH441" si="1094">SUM(AH436:AH440)</f>
        <v>0</v>
      </c>
      <c r="AI441" s="64">
        <f t="shared" ref="AI441:AL441" si="1095">SUM(AI436:AI440)</f>
        <v>0</v>
      </c>
      <c r="AJ441" s="64">
        <f t="shared" si="1095"/>
        <v>0</v>
      </c>
      <c r="AK441" s="64">
        <f t="shared" si="1095"/>
        <v>0</v>
      </c>
      <c r="AL441" s="197">
        <f t="shared" si="1095"/>
        <v>0</v>
      </c>
      <c r="AM441" s="171">
        <f>SUM(AM436:AM440)</f>
        <v>0</v>
      </c>
      <c r="AN441" s="171">
        <f>SUM(AN436:AN440)</f>
        <v>0</v>
      </c>
      <c r="AO441" s="64">
        <f>SUM(AO436:AO440)</f>
        <v>0</v>
      </c>
      <c r="AP441" s="64">
        <f>SUM(AP436:AP440)</f>
        <v>0</v>
      </c>
      <c r="AQ441" s="64">
        <f>SUM(AQ436:AQ440)</f>
        <v>0</v>
      </c>
      <c r="AR441" s="64">
        <f t="shared" ref="AR441" si="1096">SUM(AR436:AR440)</f>
        <v>0</v>
      </c>
      <c r="AS441" s="64">
        <f>SUM(AS436:AS440)</f>
        <v>0</v>
      </c>
      <c r="AT441" s="64">
        <f t="shared" ref="AT441" si="1097">SUM(AT436:AT440)</f>
        <v>0</v>
      </c>
      <c r="AU441" s="64">
        <f t="shared" ref="AU441" si="1098">SUM(AU436:AU440)</f>
        <v>0</v>
      </c>
      <c r="AV441" s="64">
        <f t="shared" ref="AV441" si="1099">SUM(AV436:AV440)</f>
        <v>0</v>
      </c>
      <c r="AW441" s="64">
        <f>SUM(AW436:AW440)</f>
        <v>0</v>
      </c>
      <c r="AX441" s="64">
        <f t="shared" ref="AX441" si="1100">SUM(AX436:AX440)</f>
        <v>0</v>
      </c>
      <c r="AY441" s="64">
        <f>SUM(AY436:AY440)</f>
        <v>0</v>
      </c>
      <c r="AZ441" s="64">
        <f>SUM(AZ436:AZ440)</f>
        <v>0</v>
      </c>
      <c r="BA441" s="64">
        <f>SUM(BA436:BA440)</f>
        <v>0</v>
      </c>
      <c r="BB441" s="64">
        <f>SUM(BB436:BB440)</f>
        <v>0</v>
      </c>
      <c r="BC441" s="64">
        <f ca="1">+CWC!J52</f>
        <v>-60772164.879299641</v>
      </c>
      <c r="BD441" s="64">
        <f>SUM(BD436:BD440)</f>
        <v>0</v>
      </c>
      <c r="BE441" s="64">
        <f>SUM(BE436:BE440)</f>
        <v>0</v>
      </c>
      <c r="BF441" s="64">
        <f t="shared" ref="BF441" si="1101">SUM(BF436:BF440)</f>
        <v>0</v>
      </c>
    </row>
    <row r="442" spans="1:58" s="21" customFormat="1" ht="14.15" customHeight="1" thickBot="1">
      <c r="A442" s="404">
        <f t="shared" si="1042"/>
        <v>436</v>
      </c>
      <c r="B442" s="63" t="s">
        <v>498</v>
      </c>
      <c r="C442" s="174">
        <f t="shared" ref="C442:I442" si="1102">C441</f>
        <v>0</v>
      </c>
      <c r="D442" s="174">
        <f t="shared" si="1102"/>
        <v>0</v>
      </c>
      <c r="E442" s="174">
        <f t="shared" si="1102"/>
        <v>0</v>
      </c>
      <c r="F442" s="174">
        <f t="shared" si="1102"/>
        <v>0</v>
      </c>
      <c r="G442" s="174">
        <f t="shared" si="1102"/>
        <v>0</v>
      </c>
      <c r="H442" s="174">
        <f t="shared" si="1102"/>
        <v>0</v>
      </c>
      <c r="I442" s="174">
        <f t="shared" si="1102"/>
        <v>0</v>
      </c>
      <c r="J442" s="174">
        <f t="shared" ref="J442:AM442" si="1103">J441</f>
        <v>0</v>
      </c>
      <c r="K442" s="174">
        <f t="shared" ref="K442:U442" si="1104">K441</f>
        <v>0</v>
      </c>
      <c r="L442" s="174">
        <f t="shared" si="1104"/>
        <v>0</v>
      </c>
      <c r="M442" s="174">
        <f t="shared" si="1104"/>
        <v>0</v>
      </c>
      <c r="N442" s="174">
        <f t="shared" si="1104"/>
        <v>0</v>
      </c>
      <c r="O442" s="174">
        <f t="shared" si="1104"/>
        <v>0</v>
      </c>
      <c r="P442" s="174">
        <f t="shared" si="1104"/>
        <v>0</v>
      </c>
      <c r="Q442" s="174">
        <f t="shared" si="1104"/>
        <v>0</v>
      </c>
      <c r="R442" s="174">
        <f t="shared" si="1104"/>
        <v>0</v>
      </c>
      <c r="S442" s="174">
        <f t="shared" si="1104"/>
        <v>0</v>
      </c>
      <c r="T442" s="174">
        <f t="shared" si="1104"/>
        <v>0</v>
      </c>
      <c r="U442" s="174">
        <f t="shared" si="1104"/>
        <v>0</v>
      </c>
      <c r="V442" s="174">
        <f t="shared" si="1103"/>
        <v>0</v>
      </c>
      <c r="W442" s="174">
        <f t="shared" ref="W442:AG442" si="1105">W441</f>
        <v>0</v>
      </c>
      <c r="X442" s="174">
        <f t="shared" si="1105"/>
        <v>0</v>
      </c>
      <c r="Y442" s="174">
        <f t="shared" si="1105"/>
        <v>0</v>
      </c>
      <c r="Z442" s="174">
        <f t="shared" si="1105"/>
        <v>0</v>
      </c>
      <c r="AA442" s="174">
        <f t="shared" si="1105"/>
        <v>0</v>
      </c>
      <c r="AB442" s="174">
        <f t="shared" si="1105"/>
        <v>0</v>
      </c>
      <c r="AC442" s="174">
        <f t="shared" si="1105"/>
        <v>0</v>
      </c>
      <c r="AD442" s="174">
        <f t="shared" si="1105"/>
        <v>0</v>
      </c>
      <c r="AE442" s="174">
        <f t="shared" si="1105"/>
        <v>0</v>
      </c>
      <c r="AF442" s="174">
        <f t="shared" si="1105"/>
        <v>0</v>
      </c>
      <c r="AG442" s="174">
        <f t="shared" si="1105"/>
        <v>0</v>
      </c>
      <c r="AH442" s="174">
        <f t="shared" si="1103"/>
        <v>0</v>
      </c>
      <c r="AI442" s="174">
        <f t="shared" si="1103"/>
        <v>0</v>
      </c>
      <c r="AJ442" s="174">
        <f t="shared" si="1103"/>
        <v>0</v>
      </c>
      <c r="AK442" s="174">
        <f t="shared" si="1103"/>
        <v>0</v>
      </c>
      <c r="AL442" s="174">
        <f t="shared" si="1103"/>
        <v>0</v>
      </c>
      <c r="AM442" s="174">
        <f t="shared" si="1103"/>
        <v>0</v>
      </c>
      <c r="AN442" s="174">
        <f t="shared" ref="AN442:AS442" si="1106">AN441</f>
        <v>0</v>
      </c>
      <c r="AO442" s="174">
        <f t="shared" si="1106"/>
        <v>0</v>
      </c>
      <c r="AP442" s="174">
        <f t="shared" si="1106"/>
        <v>0</v>
      </c>
      <c r="AQ442" s="174">
        <f t="shared" si="1106"/>
        <v>0</v>
      </c>
      <c r="AR442" s="174">
        <f t="shared" si="1106"/>
        <v>0</v>
      </c>
      <c r="AS442" s="174">
        <f t="shared" si="1106"/>
        <v>0</v>
      </c>
      <c r="AT442" s="174">
        <f t="shared" ref="AT442" si="1107">AT441</f>
        <v>0</v>
      </c>
      <c r="AU442" s="174">
        <f t="shared" ref="AU442" si="1108">AU441</f>
        <v>0</v>
      </c>
      <c r="AV442" s="174">
        <f>AV441</f>
        <v>0</v>
      </c>
      <c r="AW442" s="174">
        <f>AW441</f>
        <v>0</v>
      </c>
      <c r="AX442" s="174">
        <f t="shared" ref="AX442" si="1109">AX441</f>
        <v>0</v>
      </c>
      <c r="AY442" s="174">
        <f t="shared" ref="AY442:BE442" si="1110">AY441</f>
        <v>0</v>
      </c>
      <c r="AZ442" s="174">
        <f t="shared" si="1110"/>
        <v>0</v>
      </c>
      <c r="BA442" s="174">
        <f t="shared" si="1110"/>
        <v>0</v>
      </c>
      <c r="BB442" s="174">
        <f t="shared" si="1110"/>
        <v>0</v>
      </c>
      <c r="BC442" s="174">
        <f t="shared" ca="1" si="1110"/>
        <v>-60772164.879299641</v>
      </c>
      <c r="BD442" s="174">
        <f t="shared" si="1110"/>
        <v>0</v>
      </c>
      <c r="BE442" s="174">
        <f t="shared" si="1110"/>
        <v>0</v>
      </c>
      <c r="BF442" s="174">
        <f>BF441</f>
        <v>0</v>
      </c>
    </row>
    <row r="443" spans="1:58" s="21" customFormat="1" ht="14.15" customHeight="1" thickTop="1">
      <c r="A443" s="404">
        <f t="shared" si="1042"/>
        <v>437</v>
      </c>
      <c r="B443" s="123"/>
      <c r="C443" s="123"/>
      <c r="D443" s="156"/>
      <c r="E443" s="156"/>
      <c r="F443" s="156"/>
      <c r="G443" s="156"/>
      <c r="H443" s="156"/>
      <c r="I443" s="156"/>
      <c r="J443" s="156"/>
      <c r="K443" s="156"/>
      <c r="L443" s="156"/>
      <c r="M443" s="156"/>
      <c r="N443" s="156"/>
      <c r="O443" s="156"/>
      <c r="P443" s="156"/>
      <c r="Q443" s="156"/>
      <c r="R443" s="156"/>
      <c r="S443" s="156"/>
      <c r="T443" s="156"/>
      <c r="U443" s="156"/>
      <c r="V443" s="156"/>
      <c r="W443" s="156"/>
      <c r="X443" s="156"/>
      <c r="Y443" s="156"/>
      <c r="Z443" s="156"/>
      <c r="AA443" s="156"/>
      <c r="AB443" s="156"/>
      <c r="AC443" s="156"/>
      <c r="AD443" s="156"/>
      <c r="AE443" s="156"/>
      <c r="AF443" s="156"/>
      <c r="AG443" s="156"/>
      <c r="AH443" s="156"/>
      <c r="AI443" s="156"/>
      <c r="AJ443" s="156"/>
      <c r="AK443" s="156"/>
      <c r="AL443" s="156"/>
      <c r="AM443" s="156"/>
      <c r="AN443" s="156"/>
      <c r="AO443" s="156"/>
      <c r="AP443" s="156"/>
      <c r="AQ443" s="156"/>
      <c r="AR443" s="156"/>
      <c r="AS443" s="156"/>
      <c r="AT443" s="156"/>
      <c r="AU443" s="156"/>
      <c r="AV443" s="156"/>
      <c r="AW443" s="156"/>
      <c r="AX443" s="156"/>
      <c r="AY443" s="156"/>
      <c r="AZ443" s="156"/>
      <c r="BA443" s="156"/>
      <c r="BB443" s="156"/>
      <c r="BC443" s="156"/>
      <c r="BD443" s="156"/>
      <c r="BE443" s="156"/>
      <c r="BF443" s="156"/>
    </row>
    <row r="444" spans="1:58" ht="14.15" customHeight="1">
      <c r="A444" s="404">
        <f t="shared" si="1042"/>
        <v>438</v>
      </c>
      <c r="B444" s="13" t="s">
        <v>281</v>
      </c>
      <c r="C444" s="42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  <c r="AM444" s="43"/>
      <c r="AN444" s="43"/>
      <c r="AO444" s="43"/>
      <c r="AP444" s="43"/>
      <c r="AQ444" s="43"/>
      <c r="AR444" s="43"/>
      <c r="AS444" s="43"/>
      <c r="AT444" s="43"/>
      <c r="AU444" s="43"/>
      <c r="AV444" s="43"/>
      <c r="AW444" s="43"/>
      <c r="AX444" s="43"/>
      <c r="AY444" s="43"/>
      <c r="AZ444" s="43"/>
      <c r="BA444" s="43"/>
      <c r="BB444" s="43"/>
      <c r="BC444" s="43"/>
      <c r="BD444" s="43"/>
      <c r="BE444" s="43"/>
      <c r="BF444" s="43"/>
    </row>
    <row r="445" spans="1:58" ht="14.15" customHeight="1">
      <c r="A445" s="404">
        <f t="shared" si="1042"/>
        <v>439</v>
      </c>
      <c r="B445" s="22" t="s">
        <v>282</v>
      </c>
      <c r="C445" s="38">
        <f>SUM(D445:BF445)</f>
        <v>-12420976.887533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1980517.1109499999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545588.3599999994</v>
      </c>
      <c r="V445" s="10">
        <v>-9355669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465475.20400000003</v>
      </c>
      <c r="AF445" s="10">
        <v>0</v>
      </c>
      <c r="AG445" s="10">
        <v>0</v>
      </c>
      <c r="AH445" s="10">
        <v>0</v>
      </c>
      <c r="AI445" s="10">
        <v>716286</v>
      </c>
      <c r="AJ445" s="10">
        <v>113368.78</v>
      </c>
      <c r="AK445" s="10">
        <v>0</v>
      </c>
      <c r="AL445" s="10">
        <v>0</v>
      </c>
      <c r="AM445" s="10">
        <v>0</v>
      </c>
      <c r="AN445" s="10">
        <v>0</v>
      </c>
      <c r="AO445" s="10">
        <v>0</v>
      </c>
      <c r="AP445" s="10">
        <v>0</v>
      </c>
      <c r="AQ445" s="10">
        <v>0</v>
      </c>
      <c r="AR445" s="10">
        <v>0</v>
      </c>
      <c r="AS445" s="10">
        <v>0</v>
      </c>
      <c r="AT445" s="10">
        <v>1539352.6410000003</v>
      </c>
      <c r="AU445" s="10">
        <v>-8425895.9834829997</v>
      </c>
      <c r="AV445" s="10">
        <v>0</v>
      </c>
      <c r="AW445" s="10">
        <v>908654.05761199992</v>
      </c>
      <c r="AX445" s="10">
        <v>-908654.05761199992</v>
      </c>
      <c r="AY445" s="10">
        <v>0</v>
      </c>
      <c r="AZ445" s="10">
        <v>0</v>
      </c>
      <c r="BA445" s="10">
        <v>0</v>
      </c>
      <c r="BB445" s="10">
        <v>0</v>
      </c>
      <c r="BC445" s="10">
        <v>0</v>
      </c>
      <c r="BD445" s="10">
        <v>0</v>
      </c>
      <c r="BE445" s="10">
        <v>0</v>
      </c>
      <c r="BF445" s="10">
        <v>0</v>
      </c>
    </row>
    <row r="446" spans="1:58" s="22" customFormat="1" ht="14.15" customHeight="1">
      <c r="A446" s="404">
        <f t="shared" si="1042"/>
        <v>440</v>
      </c>
      <c r="B446" s="22" t="s">
        <v>283</v>
      </c>
      <c r="C446" s="38">
        <f>SUM(D446:BF446)</f>
        <v>-1216149.6064000004</v>
      </c>
      <c r="D446" s="43">
        <v>0</v>
      </c>
      <c r="E446" s="43">
        <v>0</v>
      </c>
      <c r="F446" s="43">
        <v>0</v>
      </c>
      <c r="G446" s="43">
        <v>0</v>
      </c>
      <c r="H446" s="43">
        <v>0</v>
      </c>
      <c r="I446" s="43">
        <v>0</v>
      </c>
      <c r="J446" s="43">
        <v>0</v>
      </c>
      <c r="K446" s="43">
        <v>0</v>
      </c>
      <c r="L446" s="43">
        <v>0</v>
      </c>
      <c r="M446" s="43">
        <v>0</v>
      </c>
      <c r="N446" s="43">
        <v>0</v>
      </c>
      <c r="O446" s="43">
        <v>0</v>
      </c>
      <c r="P446" s="43">
        <v>0</v>
      </c>
      <c r="Q446" s="43">
        <v>0</v>
      </c>
      <c r="R446" s="43">
        <v>0</v>
      </c>
      <c r="S446" s="43">
        <v>0</v>
      </c>
      <c r="T446" s="43">
        <v>0</v>
      </c>
      <c r="U446" s="43">
        <v>376194.01999999955</v>
      </c>
      <c r="V446" s="43">
        <v>0</v>
      </c>
      <c r="W446" s="43">
        <v>0</v>
      </c>
      <c r="X446" s="43">
        <v>0</v>
      </c>
      <c r="Y446" s="43">
        <v>0</v>
      </c>
      <c r="Z446" s="43">
        <v>0</v>
      </c>
      <c r="AA446" s="43">
        <v>0</v>
      </c>
      <c r="AB446" s="43">
        <v>0</v>
      </c>
      <c r="AC446" s="43">
        <v>0</v>
      </c>
      <c r="AD446" s="43">
        <v>0</v>
      </c>
      <c r="AE446" s="43">
        <v>0</v>
      </c>
      <c r="AF446" s="43">
        <v>0</v>
      </c>
      <c r="AG446" s="43">
        <v>0</v>
      </c>
      <c r="AH446" s="43">
        <v>0</v>
      </c>
      <c r="AI446" s="43">
        <v>1792005</v>
      </c>
      <c r="AJ446" s="43">
        <v>0</v>
      </c>
      <c r="AK446" s="43">
        <v>0</v>
      </c>
      <c r="AL446" s="43">
        <v>0</v>
      </c>
      <c r="AM446" s="43">
        <v>0</v>
      </c>
      <c r="AN446" s="43">
        <v>0</v>
      </c>
      <c r="AO446" s="43">
        <v>0</v>
      </c>
      <c r="AP446" s="43">
        <v>0</v>
      </c>
      <c r="AQ446" s="43">
        <v>0</v>
      </c>
      <c r="AR446" s="43">
        <v>0</v>
      </c>
      <c r="AS446" s="43">
        <v>0</v>
      </c>
      <c r="AT446" s="43">
        <v>-3384348.6264</v>
      </c>
      <c r="AU446" s="43">
        <v>0</v>
      </c>
      <c r="AV446" s="43">
        <v>0</v>
      </c>
      <c r="AW446" s="43">
        <v>0</v>
      </c>
      <c r="AX446" s="43">
        <v>0</v>
      </c>
      <c r="AY446" s="43">
        <v>0</v>
      </c>
      <c r="AZ446" s="43">
        <v>0</v>
      </c>
      <c r="BA446" s="43">
        <v>0</v>
      </c>
      <c r="BB446" s="43">
        <v>0</v>
      </c>
      <c r="BC446" s="43">
        <v>0</v>
      </c>
      <c r="BD446" s="43">
        <v>0</v>
      </c>
      <c r="BE446" s="43">
        <v>0</v>
      </c>
      <c r="BF446" s="43">
        <v>0</v>
      </c>
    </row>
    <row r="447" spans="1:58" s="22" customFormat="1" ht="13.5" customHeight="1">
      <c r="A447" s="404">
        <f t="shared" si="1042"/>
        <v>441</v>
      </c>
      <c r="B447" s="22" t="s">
        <v>284</v>
      </c>
      <c r="C447" s="38">
        <f>SUM(D447:BF447)</f>
        <v>4188.359999999986</v>
      </c>
      <c r="D447" s="43">
        <v>0</v>
      </c>
      <c r="E447" s="43">
        <v>0</v>
      </c>
      <c r="F447" s="43">
        <v>0</v>
      </c>
      <c r="G447" s="43">
        <v>0</v>
      </c>
      <c r="H447" s="43">
        <v>0</v>
      </c>
      <c r="I447" s="43">
        <v>0</v>
      </c>
      <c r="J447" s="43">
        <v>0</v>
      </c>
      <c r="K447" s="43">
        <v>0</v>
      </c>
      <c r="L447" s="43">
        <v>0</v>
      </c>
      <c r="M447" s="43">
        <v>0</v>
      </c>
      <c r="N447" s="43">
        <v>0</v>
      </c>
      <c r="O447" s="43">
        <v>0</v>
      </c>
      <c r="P447" s="43">
        <v>0</v>
      </c>
      <c r="Q447" s="43">
        <v>0</v>
      </c>
      <c r="R447" s="43">
        <v>0</v>
      </c>
      <c r="S447" s="43">
        <v>0</v>
      </c>
      <c r="T447" s="43">
        <v>0</v>
      </c>
      <c r="U447" s="43">
        <v>4188.359999999986</v>
      </c>
      <c r="V447" s="43">
        <v>0</v>
      </c>
      <c r="W447" s="43">
        <v>0</v>
      </c>
      <c r="X447" s="43">
        <v>0</v>
      </c>
      <c r="Y447" s="43">
        <v>0</v>
      </c>
      <c r="Z447" s="43">
        <v>0</v>
      </c>
      <c r="AA447" s="43">
        <v>0</v>
      </c>
      <c r="AB447" s="43">
        <v>0</v>
      </c>
      <c r="AC447" s="43">
        <v>0</v>
      </c>
      <c r="AD447" s="43">
        <v>0</v>
      </c>
      <c r="AE447" s="43">
        <v>0</v>
      </c>
      <c r="AF447" s="43">
        <v>0</v>
      </c>
      <c r="AG447" s="43">
        <v>0</v>
      </c>
      <c r="AH447" s="43">
        <v>0</v>
      </c>
      <c r="AI447" s="43">
        <v>0</v>
      </c>
      <c r="AJ447" s="43">
        <v>0</v>
      </c>
      <c r="AK447" s="43">
        <v>0</v>
      </c>
      <c r="AL447" s="43">
        <v>0</v>
      </c>
      <c r="AM447" s="43">
        <v>0</v>
      </c>
      <c r="AN447" s="43">
        <v>0</v>
      </c>
      <c r="AO447" s="43">
        <v>0</v>
      </c>
      <c r="AP447" s="43">
        <v>0</v>
      </c>
      <c r="AQ447" s="43">
        <v>0</v>
      </c>
      <c r="AR447" s="43">
        <v>0</v>
      </c>
      <c r="AS447" s="43">
        <v>0</v>
      </c>
      <c r="AT447" s="43">
        <v>0</v>
      </c>
      <c r="AU447" s="43">
        <v>0</v>
      </c>
      <c r="AV447" s="43">
        <v>0</v>
      </c>
      <c r="AW447" s="43">
        <v>0</v>
      </c>
      <c r="AX447" s="43">
        <v>0</v>
      </c>
      <c r="AY447" s="43">
        <v>0</v>
      </c>
      <c r="AZ447" s="43">
        <v>0</v>
      </c>
      <c r="BA447" s="43">
        <v>0</v>
      </c>
      <c r="BB447" s="43">
        <v>0</v>
      </c>
      <c r="BC447" s="43">
        <v>0</v>
      </c>
      <c r="BD447" s="43">
        <v>0</v>
      </c>
      <c r="BE447" s="43">
        <v>0</v>
      </c>
      <c r="BF447" s="43">
        <v>0</v>
      </c>
    </row>
    <row r="448" spans="1:58" s="22" customFormat="1" ht="14.15" customHeight="1">
      <c r="A448" s="404">
        <f t="shared" si="1042"/>
        <v>442</v>
      </c>
      <c r="B448" s="22" t="s">
        <v>136</v>
      </c>
      <c r="C448" s="38">
        <f>SUM(D448:BF448)</f>
        <v>5162605.0200999994</v>
      </c>
      <c r="D448" s="43">
        <v>0</v>
      </c>
      <c r="E448" s="43">
        <v>0</v>
      </c>
      <c r="F448" s="43">
        <v>0</v>
      </c>
      <c r="G448" s="43">
        <v>0</v>
      </c>
      <c r="H448" s="43">
        <v>0</v>
      </c>
      <c r="I448" s="43">
        <v>0</v>
      </c>
      <c r="J448" s="43">
        <v>0</v>
      </c>
      <c r="K448" s="43">
        <v>0</v>
      </c>
      <c r="L448" s="43">
        <v>0</v>
      </c>
      <c r="M448" s="43">
        <v>0</v>
      </c>
      <c r="N448" s="43">
        <v>0</v>
      </c>
      <c r="O448" s="43">
        <v>0</v>
      </c>
      <c r="P448" s="43">
        <v>0</v>
      </c>
      <c r="Q448" s="43">
        <v>0</v>
      </c>
      <c r="R448" s="43">
        <v>0</v>
      </c>
      <c r="S448" s="43">
        <v>0</v>
      </c>
      <c r="T448" s="43">
        <v>0</v>
      </c>
      <c r="U448" s="43">
        <v>41318.469999998808</v>
      </c>
      <c r="V448" s="43">
        <v>0</v>
      </c>
      <c r="W448" s="43">
        <v>0</v>
      </c>
      <c r="X448" s="43">
        <v>0</v>
      </c>
      <c r="Y448" s="43">
        <v>0</v>
      </c>
      <c r="Z448" s="43">
        <v>0</v>
      </c>
      <c r="AA448" s="43">
        <v>0</v>
      </c>
      <c r="AB448" s="43">
        <v>0</v>
      </c>
      <c r="AC448" s="43">
        <v>0</v>
      </c>
      <c r="AD448" s="43">
        <v>0</v>
      </c>
      <c r="AE448" s="43">
        <v>0</v>
      </c>
      <c r="AF448" s="43">
        <v>0</v>
      </c>
      <c r="AG448" s="43">
        <v>0</v>
      </c>
      <c r="AH448" s="43">
        <v>0</v>
      </c>
      <c r="AI448" s="43">
        <v>1659588</v>
      </c>
      <c r="AJ448" s="43">
        <v>0</v>
      </c>
      <c r="AK448" s="43">
        <v>0</v>
      </c>
      <c r="AL448" s="43">
        <v>0</v>
      </c>
      <c r="AM448" s="43">
        <v>0</v>
      </c>
      <c r="AN448" s="43">
        <v>0</v>
      </c>
      <c r="AO448" s="43">
        <v>0</v>
      </c>
      <c r="AP448" s="43">
        <v>0</v>
      </c>
      <c r="AQ448" s="43">
        <v>0</v>
      </c>
      <c r="AR448" s="43">
        <v>0</v>
      </c>
      <c r="AS448" s="43">
        <v>0</v>
      </c>
      <c r="AT448" s="43">
        <v>2876698.550100001</v>
      </c>
      <c r="AU448" s="43">
        <v>0</v>
      </c>
      <c r="AV448" s="43">
        <v>585000</v>
      </c>
      <c r="AW448" s="43">
        <v>0</v>
      </c>
      <c r="AX448" s="43">
        <v>0</v>
      </c>
      <c r="AY448" s="43">
        <v>0</v>
      </c>
      <c r="AZ448" s="43">
        <v>0</v>
      </c>
      <c r="BA448" s="43">
        <v>0</v>
      </c>
      <c r="BB448" s="43">
        <v>0</v>
      </c>
      <c r="BC448" s="43">
        <v>0</v>
      </c>
      <c r="BD448" s="43">
        <v>0</v>
      </c>
      <c r="BE448" s="43">
        <v>0</v>
      </c>
      <c r="BF448" s="43">
        <v>0</v>
      </c>
    </row>
    <row r="449" spans="1:58" s="123" customFormat="1" ht="14.15" customHeight="1">
      <c r="A449" s="404">
        <f t="shared" si="1042"/>
        <v>443</v>
      </c>
      <c r="B449" s="56" t="s">
        <v>137</v>
      </c>
      <c r="C449" s="38">
        <f>SUM(D449:BF449)</f>
        <v>6447089.8078000005</v>
      </c>
      <c r="D449" s="64">
        <v>0</v>
      </c>
      <c r="E449" s="64">
        <v>0</v>
      </c>
      <c r="F449" s="64">
        <v>0</v>
      </c>
      <c r="G449" s="64">
        <v>0</v>
      </c>
      <c r="H449" s="64">
        <v>0</v>
      </c>
      <c r="I449" s="64">
        <v>0</v>
      </c>
      <c r="J449" s="64">
        <v>0</v>
      </c>
      <c r="K449" s="64">
        <v>0</v>
      </c>
      <c r="L449" s="64">
        <v>0</v>
      </c>
      <c r="M449" s="64">
        <v>0</v>
      </c>
      <c r="N449" s="64">
        <v>0</v>
      </c>
      <c r="O449" s="64">
        <v>0</v>
      </c>
      <c r="P449" s="64">
        <v>0</v>
      </c>
      <c r="Q449" s="64">
        <v>0</v>
      </c>
      <c r="R449" s="64">
        <v>0</v>
      </c>
      <c r="S449" s="64">
        <v>0</v>
      </c>
      <c r="T449" s="64">
        <v>0</v>
      </c>
      <c r="U449" s="64">
        <v>173336.47000000067</v>
      </c>
      <c r="V449" s="64">
        <v>0</v>
      </c>
      <c r="W449" s="64">
        <v>0</v>
      </c>
      <c r="X449" s="64">
        <v>0</v>
      </c>
      <c r="Y449" s="64">
        <v>0</v>
      </c>
      <c r="Z449" s="64">
        <v>0</v>
      </c>
      <c r="AA449" s="64">
        <v>0</v>
      </c>
      <c r="AB449" s="64">
        <v>0</v>
      </c>
      <c r="AC449" s="64">
        <v>0</v>
      </c>
      <c r="AD449" s="64">
        <v>0</v>
      </c>
      <c r="AE449" s="64">
        <v>0</v>
      </c>
      <c r="AF449" s="64">
        <v>0</v>
      </c>
      <c r="AG449" s="64">
        <v>0</v>
      </c>
      <c r="AH449" s="64">
        <v>0</v>
      </c>
      <c r="AI449" s="64">
        <v>6137514</v>
      </c>
      <c r="AJ449" s="64">
        <v>0</v>
      </c>
      <c r="AK449" s="64">
        <v>0</v>
      </c>
      <c r="AL449" s="64">
        <v>0</v>
      </c>
      <c r="AM449" s="64">
        <v>0</v>
      </c>
      <c r="AN449" s="64">
        <v>0</v>
      </c>
      <c r="AO449" s="64">
        <v>0</v>
      </c>
      <c r="AP449" s="64">
        <v>0</v>
      </c>
      <c r="AQ449" s="64">
        <v>0</v>
      </c>
      <c r="AR449" s="64">
        <v>0</v>
      </c>
      <c r="AS449" s="64">
        <v>0</v>
      </c>
      <c r="AT449" s="64">
        <v>136239.33780000033</v>
      </c>
      <c r="AU449" s="64">
        <v>0</v>
      </c>
      <c r="AV449" s="64">
        <v>0</v>
      </c>
      <c r="AW449" s="64">
        <v>7314.8565040000003</v>
      </c>
      <c r="AX449" s="64">
        <v>-7314.8565040000003</v>
      </c>
      <c r="AY449" s="64">
        <v>0</v>
      </c>
      <c r="AZ449" s="64">
        <v>0</v>
      </c>
      <c r="BA449" s="64">
        <v>0</v>
      </c>
      <c r="BB449" s="64">
        <v>0</v>
      </c>
      <c r="BC449" s="64">
        <v>0</v>
      </c>
      <c r="BD449" s="64">
        <v>0</v>
      </c>
      <c r="BE449" s="64">
        <v>0</v>
      </c>
      <c r="BF449" s="64">
        <v>0</v>
      </c>
    </row>
    <row r="450" spans="1:58" ht="14.15" customHeight="1">
      <c r="A450" s="404">
        <f t="shared" si="1042"/>
        <v>444</v>
      </c>
      <c r="B450" s="20" t="s">
        <v>499</v>
      </c>
      <c r="C450" s="16">
        <f t="shared" ref="C450:V450" si="1111">SUM(C445:C449)</f>
        <v>-2023243.3060330003</v>
      </c>
      <c r="D450" s="16">
        <f t="shared" ref="D450:I450" si="1112">SUM(D445:D449)</f>
        <v>0</v>
      </c>
      <c r="E450" s="16">
        <f t="shared" si="1112"/>
        <v>0</v>
      </c>
      <c r="F450" s="16">
        <f t="shared" si="1112"/>
        <v>0</v>
      </c>
      <c r="G450" s="16">
        <f t="shared" si="1112"/>
        <v>0</v>
      </c>
      <c r="H450" s="16">
        <f t="shared" si="1112"/>
        <v>0</v>
      </c>
      <c r="I450" s="16">
        <f t="shared" si="1112"/>
        <v>0</v>
      </c>
      <c r="J450" s="16">
        <f t="shared" si="1111"/>
        <v>0</v>
      </c>
      <c r="K450" s="16">
        <f t="shared" ref="K450:U450" si="1113">SUM(K445:K449)</f>
        <v>1980517.1109499999</v>
      </c>
      <c r="L450" s="16">
        <f t="shared" si="1113"/>
        <v>0</v>
      </c>
      <c r="M450" s="16">
        <f t="shared" si="1113"/>
        <v>0</v>
      </c>
      <c r="N450" s="16">
        <f t="shared" si="1113"/>
        <v>0</v>
      </c>
      <c r="O450" s="16">
        <f t="shared" si="1113"/>
        <v>0</v>
      </c>
      <c r="P450" s="16">
        <f t="shared" si="1113"/>
        <v>0</v>
      </c>
      <c r="Q450" s="16">
        <f t="shared" si="1113"/>
        <v>0</v>
      </c>
      <c r="R450" s="16">
        <f t="shared" si="1113"/>
        <v>0</v>
      </c>
      <c r="S450" s="16">
        <f t="shared" si="1113"/>
        <v>0</v>
      </c>
      <c r="T450" s="16">
        <f t="shared" si="1113"/>
        <v>0</v>
      </c>
      <c r="U450" s="16">
        <f t="shared" si="1113"/>
        <v>1140625.6799999983</v>
      </c>
      <c r="V450" s="16">
        <f t="shared" si="1111"/>
        <v>-9355669</v>
      </c>
      <c r="W450" s="16">
        <f>SUM(W445:W449)</f>
        <v>0</v>
      </c>
      <c r="X450" s="16">
        <f t="shared" ref="X450:AD450" si="1114">SUM(X445:X449)</f>
        <v>0</v>
      </c>
      <c r="Y450" s="16">
        <f>SUM(Y445:Y449)</f>
        <v>0</v>
      </c>
      <c r="Z450" s="16">
        <f t="shared" si="1114"/>
        <v>0</v>
      </c>
      <c r="AA450" s="16">
        <f t="shared" si="1114"/>
        <v>0</v>
      </c>
      <c r="AB450" s="16">
        <f t="shared" si="1114"/>
        <v>0</v>
      </c>
      <c r="AC450" s="16">
        <f t="shared" si="1114"/>
        <v>0</v>
      </c>
      <c r="AD450" s="16">
        <f t="shared" si="1114"/>
        <v>0</v>
      </c>
      <c r="AE450" s="16">
        <f>SUM(AE445:AE449)</f>
        <v>465475.20400000003</v>
      </c>
      <c r="AF450" s="16">
        <f>SUM(AF445:AF449)</f>
        <v>0</v>
      </c>
      <c r="AG450" s="16">
        <f>SUM(AG445:AG449)</f>
        <v>0</v>
      </c>
      <c r="AH450" s="16">
        <f t="shared" ref="AH450" si="1115">SUM(AH445:AH449)</f>
        <v>0</v>
      </c>
      <c r="AI450" s="16">
        <f t="shared" ref="AI450:AL450" si="1116">SUM(AI445:AI449)</f>
        <v>10305393</v>
      </c>
      <c r="AJ450" s="16">
        <f t="shared" si="1116"/>
        <v>113368.78</v>
      </c>
      <c r="AK450" s="16">
        <f t="shared" si="1116"/>
        <v>0</v>
      </c>
      <c r="AL450" s="16">
        <f t="shared" si="1116"/>
        <v>0</v>
      </c>
      <c r="AM450" s="16">
        <f>SUM(AM445:AM449)</f>
        <v>0</v>
      </c>
      <c r="AN450" s="16">
        <f>SUM(AN445:AN449)</f>
        <v>0</v>
      </c>
      <c r="AO450" s="16">
        <f>SUM(AO445:AO449)</f>
        <v>0</v>
      </c>
      <c r="AP450" s="16">
        <f>SUM(AP445:AP449)</f>
        <v>0</v>
      </c>
      <c r="AQ450" s="16">
        <f>SUM(AQ445:AQ449)</f>
        <v>0</v>
      </c>
      <c r="AR450" s="16">
        <f t="shared" ref="AR450" si="1117">SUM(AR445:AR449)</f>
        <v>0</v>
      </c>
      <c r="AS450" s="16">
        <f>SUM(AS445:AS449)</f>
        <v>0</v>
      </c>
      <c r="AT450" s="16">
        <f t="shared" ref="AT450" si="1118">SUM(AT445:AT449)</f>
        <v>1167941.9025000017</v>
      </c>
      <c r="AU450" s="16">
        <f t="shared" ref="AU450" si="1119">SUM(AU445:AU449)</f>
        <v>-8425895.9834829997</v>
      </c>
      <c r="AV450" s="16">
        <f t="shared" ref="AV450" si="1120">SUM(AV445:AV449)</f>
        <v>585000</v>
      </c>
      <c r="AW450" s="16">
        <f>SUM(AW445:AW449)</f>
        <v>915968.91411599994</v>
      </c>
      <c r="AX450" s="16">
        <f t="shared" ref="AX450" si="1121">SUM(AX445:AX449)</f>
        <v>-915968.91411599994</v>
      </c>
      <c r="AY450" s="16">
        <f t="shared" ref="AY450:BF450" si="1122">SUM(AY445:AY449)</f>
        <v>0</v>
      </c>
      <c r="AZ450" s="16">
        <f t="shared" si="1122"/>
        <v>0</v>
      </c>
      <c r="BA450" s="16">
        <f t="shared" si="1122"/>
        <v>0</v>
      </c>
      <c r="BB450" s="16">
        <f t="shared" si="1122"/>
        <v>0</v>
      </c>
      <c r="BC450" s="16">
        <f t="shared" si="1122"/>
        <v>0</v>
      </c>
      <c r="BD450" s="16">
        <f t="shared" si="1122"/>
        <v>0</v>
      </c>
      <c r="BE450" s="16">
        <f t="shared" si="1122"/>
        <v>0</v>
      </c>
      <c r="BF450" s="16">
        <f t="shared" si="1122"/>
        <v>0</v>
      </c>
    </row>
    <row r="451" spans="1:58" ht="14.15" customHeight="1">
      <c r="A451" s="404">
        <f t="shared" si="1042"/>
        <v>445</v>
      </c>
      <c r="B451" s="123"/>
      <c r="C451" s="123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</row>
    <row r="452" spans="1:58" ht="14.15" customHeight="1">
      <c r="A452" s="404">
        <f t="shared" si="1042"/>
        <v>446</v>
      </c>
      <c r="B452" s="13" t="s">
        <v>285</v>
      </c>
      <c r="C452" s="1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  <c r="AM452" s="43"/>
      <c r="AN452" s="43"/>
      <c r="AO452" s="43"/>
      <c r="AP452" s="43"/>
      <c r="AQ452" s="43"/>
      <c r="AR452" s="43"/>
      <c r="AS452" s="43"/>
      <c r="AT452" s="43"/>
      <c r="AU452" s="43"/>
      <c r="AV452" s="43"/>
      <c r="AW452" s="43"/>
      <c r="AX452" s="43"/>
      <c r="AY452" s="43"/>
      <c r="AZ452" s="43"/>
      <c r="BA452" s="43"/>
      <c r="BB452" s="43"/>
      <c r="BC452" s="43"/>
      <c r="BD452" s="43"/>
      <c r="BE452" s="43"/>
      <c r="BF452" s="43"/>
    </row>
    <row r="453" spans="1:58" ht="14.15" customHeight="1">
      <c r="A453" s="404">
        <f t="shared" si="1042"/>
        <v>447</v>
      </c>
      <c r="B453" s="22" t="s">
        <v>286</v>
      </c>
      <c r="C453" s="38">
        <f>SUM(D453:BF453)</f>
        <v>-6243774.5300000003</v>
      </c>
      <c r="D453" s="43">
        <v>0</v>
      </c>
      <c r="E453" s="43">
        <v>0</v>
      </c>
      <c r="F453" s="43">
        <v>0</v>
      </c>
      <c r="G453" s="43">
        <v>0</v>
      </c>
      <c r="H453" s="43">
        <v>0</v>
      </c>
      <c r="I453" s="43">
        <v>0</v>
      </c>
      <c r="J453" s="43">
        <v>0</v>
      </c>
      <c r="K453" s="43">
        <v>0</v>
      </c>
      <c r="L453" s="43">
        <v>0</v>
      </c>
      <c r="M453" s="43">
        <v>0</v>
      </c>
      <c r="N453" s="43">
        <v>0</v>
      </c>
      <c r="O453" s="43">
        <v>0</v>
      </c>
      <c r="P453" s="43">
        <v>0</v>
      </c>
      <c r="Q453" s="43">
        <v>0</v>
      </c>
      <c r="R453" s="43">
        <v>0</v>
      </c>
      <c r="S453" s="43">
        <v>0</v>
      </c>
      <c r="T453" s="43">
        <v>0</v>
      </c>
      <c r="U453" s="43">
        <v>119168.46999999974</v>
      </c>
      <c r="V453" s="43">
        <v>0</v>
      </c>
      <c r="W453" s="43">
        <v>0</v>
      </c>
      <c r="X453" s="43">
        <v>0</v>
      </c>
      <c r="Y453" s="43">
        <v>0</v>
      </c>
      <c r="Z453" s="43">
        <v>0</v>
      </c>
      <c r="AA453" s="43">
        <v>0</v>
      </c>
      <c r="AB453" s="43">
        <v>0</v>
      </c>
      <c r="AC453" s="43">
        <v>0</v>
      </c>
      <c r="AD453" s="43">
        <v>0</v>
      </c>
      <c r="AE453" s="43">
        <v>0</v>
      </c>
      <c r="AF453" s="43">
        <v>0</v>
      </c>
      <c r="AG453" s="43">
        <v>0</v>
      </c>
      <c r="AH453" s="43">
        <v>0</v>
      </c>
      <c r="AI453" s="43">
        <v>-6362943</v>
      </c>
      <c r="AJ453" s="43">
        <v>0</v>
      </c>
      <c r="AK453" s="43">
        <v>0</v>
      </c>
      <c r="AL453" s="43">
        <v>0</v>
      </c>
      <c r="AM453" s="43">
        <v>0</v>
      </c>
      <c r="AN453" s="43">
        <v>0</v>
      </c>
      <c r="AO453" s="43">
        <v>0</v>
      </c>
      <c r="AP453" s="43">
        <v>0</v>
      </c>
      <c r="AQ453" s="43">
        <v>0</v>
      </c>
      <c r="AR453" s="43">
        <v>0</v>
      </c>
      <c r="AS453" s="43">
        <v>0</v>
      </c>
      <c r="AT453" s="43">
        <v>0</v>
      </c>
      <c r="AU453" s="43">
        <v>0</v>
      </c>
      <c r="AV453" s="43">
        <v>0</v>
      </c>
      <c r="AW453" s="43">
        <v>0</v>
      </c>
      <c r="AX453" s="43">
        <v>0</v>
      </c>
      <c r="AY453" s="43">
        <v>0</v>
      </c>
      <c r="AZ453" s="43">
        <v>0</v>
      </c>
      <c r="BA453" s="43">
        <v>0</v>
      </c>
      <c r="BB453" s="43">
        <v>0</v>
      </c>
      <c r="BC453" s="43">
        <v>0</v>
      </c>
      <c r="BD453" s="43">
        <v>0</v>
      </c>
      <c r="BE453" s="43">
        <v>0</v>
      </c>
      <c r="BF453" s="43">
        <v>0</v>
      </c>
    </row>
    <row r="454" spans="1:58" s="22" customFormat="1" ht="14.15" customHeight="1">
      <c r="A454" s="404">
        <f t="shared" si="1042"/>
        <v>448</v>
      </c>
      <c r="B454" s="22" t="s">
        <v>147</v>
      </c>
      <c r="C454" s="38">
        <f>SUM(D454:BF454)</f>
        <v>0</v>
      </c>
      <c r="D454" s="43">
        <v>0</v>
      </c>
      <c r="E454" s="43">
        <v>0</v>
      </c>
      <c r="F454" s="43">
        <v>0</v>
      </c>
      <c r="G454" s="43">
        <v>0</v>
      </c>
      <c r="H454" s="43">
        <v>0</v>
      </c>
      <c r="I454" s="43">
        <v>0</v>
      </c>
      <c r="J454" s="43">
        <v>0</v>
      </c>
      <c r="K454" s="43">
        <v>0</v>
      </c>
      <c r="L454" s="43">
        <v>0</v>
      </c>
      <c r="M454" s="43">
        <v>0</v>
      </c>
      <c r="N454" s="43">
        <v>0</v>
      </c>
      <c r="O454" s="43">
        <v>0</v>
      </c>
      <c r="P454" s="43">
        <v>0</v>
      </c>
      <c r="Q454" s="43">
        <v>0</v>
      </c>
      <c r="R454" s="43">
        <v>0</v>
      </c>
      <c r="S454" s="43">
        <v>0</v>
      </c>
      <c r="T454" s="43">
        <v>0</v>
      </c>
      <c r="U454" s="43">
        <v>0</v>
      </c>
      <c r="V454" s="43">
        <v>0</v>
      </c>
      <c r="W454" s="43">
        <v>0</v>
      </c>
      <c r="X454" s="43">
        <v>0</v>
      </c>
      <c r="Y454" s="43">
        <v>0</v>
      </c>
      <c r="Z454" s="43">
        <v>0</v>
      </c>
      <c r="AA454" s="43">
        <v>0</v>
      </c>
      <c r="AB454" s="43">
        <v>0</v>
      </c>
      <c r="AC454" s="43">
        <v>0</v>
      </c>
      <c r="AD454" s="43">
        <v>0</v>
      </c>
      <c r="AE454" s="43">
        <v>0</v>
      </c>
      <c r="AF454" s="43">
        <v>0</v>
      </c>
      <c r="AG454" s="43">
        <v>0</v>
      </c>
      <c r="AH454" s="43">
        <v>0</v>
      </c>
      <c r="AI454" s="43">
        <v>0</v>
      </c>
      <c r="AJ454" s="43">
        <v>0</v>
      </c>
      <c r="AK454" s="43">
        <v>0</v>
      </c>
      <c r="AL454" s="43">
        <v>0</v>
      </c>
      <c r="AM454" s="43">
        <v>0</v>
      </c>
      <c r="AN454" s="43">
        <v>0</v>
      </c>
      <c r="AO454" s="43">
        <v>0</v>
      </c>
      <c r="AP454" s="43">
        <v>0</v>
      </c>
      <c r="AQ454" s="43">
        <v>0</v>
      </c>
      <c r="AR454" s="43">
        <v>0</v>
      </c>
      <c r="AS454" s="43">
        <v>0</v>
      </c>
      <c r="AT454" s="43">
        <v>0</v>
      </c>
      <c r="AU454" s="43">
        <v>0</v>
      </c>
      <c r="AV454" s="43">
        <v>0</v>
      </c>
      <c r="AW454" s="43">
        <v>0</v>
      </c>
      <c r="AX454" s="43">
        <v>0</v>
      </c>
      <c r="AY454" s="43">
        <v>0</v>
      </c>
      <c r="AZ454" s="43">
        <v>0</v>
      </c>
      <c r="BA454" s="43">
        <v>0</v>
      </c>
      <c r="BB454" s="43">
        <v>0</v>
      </c>
      <c r="BC454" s="43">
        <v>0</v>
      </c>
      <c r="BD454" s="43">
        <v>0</v>
      </c>
      <c r="BE454" s="43">
        <v>0</v>
      </c>
      <c r="BF454" s="43">
        <v>0</v>
      </c>
    </row>
    <row r="455" spans="1:58" s="22" customFormat="1" ht="14.15" customHeight="1">
      <c r="A455" s="404">
        <f t="shared" si="1042"/>
        <v>449</v>
      </c>
      <c r="B455" s="22" t="s">
        <v>135</v>
      </c>
      <c r="C455" s="38">
        <f>SUM(D455:BF455)</f>
        <v>579</v>
      </c>
      <c r="D455" s="43">
        <v>0</v>
      </c>
      <c r="E455" s="43">
        <v>0</v>
      </c>
      <c r="F455" s="43">
        <v>0</v>
      </c>
      <c r="G455" s="43">
        <v>0</v>
      </c>
      <c r="H455" s="43">
        <v>0</v>
      </c>
      <c r="I455" s="43">
        <v>0</v>
      </c>
      <c r="J455" s="43">
        <v>0</v>
      </c>
      <c r="K455" s="43">
        <v>0</v>
      </c>
      <c r="L455" s="43">
        <v>0</v>
      </c>
      <c r="M455" s="43">
        <v>0</v>
      </c>
      <c r="N455" s="43">
        <v>0</v>
      </c>
      <c r="O455" s="43">
        <v>0</v>
      </c>
      <c r="P455" s="43">
        <v>0</v>
      </c>
      <c r="Q455" s="43">
        <v>0</v>
      </c>
      <c r="R455" s="43">
        <v>0</v>
      </c>
      <c r="S455" s="43">
        <v>0</v>
      </c>
      <c r="T455" s="43">
        <v>0</v>
      </c>
      <c r="U455" s="43">
        <v>579</v>
      </c>
      <c r="V455" s="43">
        <v>0</v>
      </c>
      <c r="W455" s="43">
        <v>0</v>
      </c>
      <c r="X455" s="43">
        <v>0</v>
      </c>
      <c r="Y455" s="43">
        <v>0</v>
      </c>
      <c r="Z455" s="43">
        <v>0</v>
      </c>
      <c r="AA455" s="43">
        <v>0</v>
      </c>
      <c r="AB455" s="43">
        <v>0</v>
      </c>
      <c r="AC455" s="43">
        <v>0</v>
      </c>
      <c r="AD455" s="43">
        <v>0</v>
      </c>
      <c r="AE455" s="43">
        <v>0</v>
      </c>
      <c r="AF455" s="43">
        <v>0</v>
      </c>
      <c r="AG455" s="43">
        <v>0</v>
      </c>
      <c r="AH455" s="43">
        <v>0</v>
      </c>
      <c r="AI455" s="43">
        <v>0</v>
      </c>
      <c r="AJ455" s="43">
        <v>0</v>
      </c>
      <c r="AK455" s="43">
        <v>0</v>
      </c>
      <c r="AL455" s="43">
        <v>0</v>
      </c>
      <c r="AM455" s="43">
        <v>0</v>
      </c>
      <c r="AN455" s="43">
        <v>0</v>
      </c>
      <c r="AO455" s="43">
        <v>0</v>
      </c>
      <c r="AP455" s="43">
        <v>0</v>
      </c>
      <c r="AQ455" s="43">
        <v>0</v>
      </c>
      <c r="AR455" s="43">
        <v>0</v>
      </c>
      <c r="AS455" s="43">
        <v>0</v>
      </c>
      <c r="AT455" s="43">
        <v>0</v>
      </c>
      <c r="AU455" s="43">
        <v>0</v>
      </c>
      <c r="AV455" s="43">
        <v>0</v>
      </c>
      <c r="AW455" s="43">
        <v>0</v>
      </c>
      <c r="AX455" s="43">
        <v>0</v>
      </c>
      <c r="AY455" s="43">
        <v>0</v>
      </c>
      <c r="AZ455" s="43">
        <v>0</v>
      </c>
      <c r="BA455" s="43">
        <v>0</v>
      </c>
      <c r="BB455" s="43">
        <v>0</v>
      </c>
      <c r="BC455" s="43">
        <v>0</v>
      </c>
      <c r="BD455" s="43">
        <v>0</v>
      </c>
      <c r="BE455" s="43">
        <v>0</v>
      </c>
      <c r="BF455" s="43">
        <v>0</v>
      </c>
    </row>
    <row r="456" spans="1:58" s="22" customFormat="1" ht="14.15" customHeight="1">
      <c r="A456" s="404">
        <f t="shared" si="1042"/>
        <v>450</v>
      </c>
      <c r="B456" s="22" t="s">
        <v>148</v>
      </c>
      <c r="C456" s="38">
        <f>SUM(D456:BF456)</f>
        <v>0</v>
      </c>
      <c r="D456" s="43">
        <v>0</v>
      </c>
      <c r="E456" s="43">
        <v>0</v>
      </c>
      <c r="F456" s="43">
        <v>0</v>
      </c>
      <c r="G456" s="43">
        <v>0</v>
      </c>
      <c r="H456" s="43">
        <v>0</v>
      </c>
      <c r="I456" s="43">
        <v>0</v>
      </c>
      <c r="J456" s="43">
        <v>0</v>
      </c>
      <c r="K456" s="43">
        <v>0</v>
      </c>
      <c r="L456" s="43">
        <v>0</v>
      </c>
      <c r="M456" s="43">
        <v>0</v>
      </c>
      <c r="N456" s="43">
        <v>0</v>
      </c>
      <c r="O456" s="43">
        <v>0</v>
      </c>
      <c r="P456" s="43">
        <v>0</v>
      </c>
      <c r="Q456" s="43">
        <v>0</v>
      </c>
      <c r="R456" s="43">
        <v>0</v>
      </c>
      <c r="S456" s="43">
        <v>0</v>
      </c>
      <c r="T456" s="43">
        <v>0</v>
      </c>
      <c r="U456" s="43">
        <v>0</v>
      </c>
      <c r="V456" s="43">
        <v>0</v>
      </c>
      <c r="W456" s="43">
        <v>0</v>
      </c>
      <c r="X456" s="43">
        <v>0</v>
      </c>
      <c r="Y456" s="43">
        <v>0</v>
      </c>
      <c r="Z456" s="43">
        <v>0</v>
      </c>
      <c r="AA456" s="43">
        <v>0</v>
      </c>
      <c r="AB456" s="43">
        <v>0</v>
      </c>
      <c r="AC456" s="43">
        <v>0</v>
      </c>
      <c r="AD456" s="43">
        <v>0</v>
      </c>
      <c r="AE456" s="43">
        <v>0</v>
      </c>
      <c r="AF456" s="43">
        <v>0</v>
      </c>
      <c r="AG456" s="43">
        <v>0</v>
      </c>
      <c r="AH456" s="43">
        <v>0</v>
      </c>
      <c r="AI456" s="43">
        <v>0</v>
      </c>
      <c r="AJ456" s="43">
        <v>0</v>
      </c>
      <c r="AK456" s="43">
        <v>0</v>
      </c>
      <c r="AL456" s="43">
        <v>0</v>
      </c>
      <c r="AM456" s="43">
        <v>0</v>
      </c>
      <c r="AN456" s="43">
        <v>0</v>
      </c>
      <c r="AO456" s="43">
        <v>0</v>
      </c>
      <c r="AP456" s="43">
        <v>0</v>
      </c>
      <c r="AQ456" s="43">
        <v>0</v>
      </c>
      <c r="AR456" s="43">
        <v>0</v>
      </c>
      <c r="AS456" s="43">
        <v>0</v>
      </c>
      <c r="AT456" s="43">
        <v>0</v>
      </c>
      <c r="AU456" s="43">
        <v>0</v>
      </c>
      <c r="AV456" s="43">
        <v>0</v>
      </c>
      <c r="AW456" s="43">
        <v>0</v>
      </c>
      <c r="AX456" s="43">
        <v>0</v>
      </c>
      <c r="AY456" s="43">
        <v>0</v>
      </c>
      <c r="AZ456" s="43">
        <v>0</v>
      </c>
      <c r="BA456" s="43">
        <v>0</v>
      </c>
      <c r="BB456" s="43">
        <v>0</v>
      </c>
      <c r="BC456" s="43">
        <v>0</v>
      </c>
      <c r="BD456" s="43">
        <v>0</v>
      </c>
      <c r="BE456" s="43">
        <v>0</v>
      </c>
      <c r="BF456" s="43">
        <v>0</v>
      </c>
    </row>
    <row r="457" spans="1:58" s="22" customFormat="1" ht="14.15" customHeight="1">
      <c r="A457" s="404">
        <f t="shared" si="1042"/>
        <v>451</v>
      </c>
      <c r="B457" s="56" t="s">
        <v>149</v>
      </c>
      <c r="C457" s="197">
        <f>SUM(D457:BF457)</f>
        <v>0</v>
      </c>
      <c r="D457" s="64">
        <v>0</v>
      </c>
      <c r="E457" s="64">
        <v>0</v>
      </c>
      <c r="F457" s="64">
        <v>0</v>
      </c>
      <c r="G457" s="64">
        <v>0</v>
      </c>
      <c r="H457" s="64">
        <v>0</v>
      </c>
      <c r="I457" s="64">
        <v>0</v>
      </c>
      <c r="J457" s="64">
        <v>0</v>
      </c>
      <c r="K457" s="64">
        <v>0</v>
      </c>
      <c r="L457" s="64">
        <v>0</v>
      </c>
      <c r="M457" s="64">
        <v>0</v>
      </c>
      <c r="N457" s="64">
        <v>0</v>
      </c>
      <c r="O457" s="64">
        <v>0</v>
      </c>
      <c r="P457" s="64">
        <v>0</v>
      </c>
      <c r="Q457" s="64">
        <v>0</v>
      </c>
      <c r="R457" s="64">
        <v>0</v>
      </c>
      <c r="S457" s="64">
        <v>0</v>
      </c>
      <c r="T457" s="64">
        <v>0</v>
      </c>
      <c r="U457" s="64">
        <v>0</v>
      </c>
      <c r="V457" s="64">
        <v>0</v>
      </c>
      <c r="W457" s="64">
        <v>0</v>
      </c>
      <c r="X457" s="64">
        <v>0</v>
      </c>
      <c r="Y457" s="64">
        <v>0</v>
      </c>
      <c r="Z457" s="64">
        <v>0</v>
      </c>
      <c r="AA457" s="64">
        <v>0</v>
      </c>
      <c r="AB457" s="64">
        <v>0</v>
      </c>
      <c r="AC457" s="64">
        <v>0</v>
      </c>
      <c r="AD457" s="64">
        <v>0</v>
      </c>
      <c r="AE457" s="64">
        <v>0</v>
      </c>
      <c r="AF457" s="64">
        <v>0</v>
      </c>
      <c r="AG457" s="64">
        <v>0</v>
      </c>
      <c r="AH457" s="64">
        <v>0</v>
      </c>
      <c r="AI457" s="64">
        <v>0</v>
      </c>
      <c r="AJ457" s="64">
        <v>0</v>
      </c>
      <c r="AK457" s="64">
        <v>0</v>
      </c>
      <c r="AL457" s="64">
        <v>0</v>
      </c>
      <c r="AM457" s="64">
        <v>0</v>
      </c>
      <c r="AN457" s="64">
        <v>0</v>
      </c>
      <c r="AO457" s="64">
        <v>0</v>
      </c>
      <c r="AP457" s="64">
        <v>0</v>
      </c>
      <c r="AQ457" s="64">
        <v>0</v>
      </c>
      <c r="AR457" s="64">
        <v>0</v>
      </c>
      <c r="AS457" s="64">
        <v>0</v>
      </c>
      <c r="AT457" s="64">
        <v>0</v>
      </c>
      <c r="AU457" s="64">
        <v>0</v>
      </c>
      <c r="AV457" s="64">
        <v>0</v>
      </c>
      <c r="AW457" s="64">
        <v>0</v>
      </c>
      <c r="AX457" s="64">
        <v>0</v>
      </c>
      <c r="AY457" s="64">
        <v>0</v>
      </c>
      <c r="AZ457" s="64">
        <v>0</v>
      </c>
      <c r="BA457" s="64">
        <v>0</v>
      </c>
      <c r="BB457" s="64">
        <v>0</v>
      </c>
      <c r="BC457" s="64">
        <v>0</v>
      </c>
      <c r="BD457" s="64">
        <v>0</v>
      </c>
      <c r="BE457" s="64">
        <v>0</v>
      </c>
      <c r="BF457" s="64">
        <v>0</v>
      </c>
    </row>
    <row r="458" spans="1:58" s="22" customFormat="1" ht="14.15" customHeight="1">
      <c r="A458" s="404">
        <f t="shared" si="1042"/>
        <v>452</v>
      </c>
      <c r="B458" s="20" t="s">
        <v>500</v>
      </c>
      <c r="C458" s="16">
        <f t="shared" ref="C458:V458" si="1123">SUM(C453:C457)</f>
        <v>-6243195.5300000003</v>
      </c>
      <c r="D458" s="16">
        <f t="shared" ref="D458:I458" si="1124">SUM(D453:D457)</f>
        <v>0</v>
      </c>
      <c r="E458" s="16">
        <f t="shared" si="1124"/>
        <v>0</v>
      </c>
      <c r="F458" s="16">
        <f t="shared" si="1124"/>
        <v>0</v>
      </c>
      <c r="G458" s="16">
        <f t="shared" si="1124"/>
        <v>0</v>
      </c>
      <c r="H458" s="16">
        <f t="shared" si="1124"/>
        <v>0</v>
      </c>
      <c r="I458" s="16">
        <f t="shared" si="1124"/>
        <v>0</v>
      </c>
      <c r="J458" s="16">
        <f t="shared" si="1123"/>
        <v>0</v>
      </c>
      <c r="K458" s="16">
        <f t="shared" ref="K458:U458" si="1125">SUM(K453:K457)</f>
        <v>0</v>
      </c>
      <c r="L458" s="16">
        <f t="shared" si="1125"/>
        <v>0</v>
      </c>
      <c r="M458" s="16">
        <f t="shared" si="1125"/>
        <v>0</v>
      </c>
      <c r="N458" s="16">
        <f t="shared" si="1125"/>
        <v>0</v>
      </c>
      <c r="O458" s="16">
        <f t="shared" si="1125"/>
        <v>0</v>
      </c>
      <c r="P458" s="16">
        <f t="shared" si="1125"/>
        <v>0</v>
      </c>
      <c r="Q458" s="16">
        <f t="shared" si="1125"/>
        <v>0</v>
      </c>
      <c r="R458" s="16">
        <f t="shared" si="1125"/>
        <v>0</v>
      </c>
      <c r="S458" s="16">
        <f t="shared" si="1125"/>
        <v>0</v>
      </c>
      <c r="T458" s="16">
        <f t="shared" si="1125"/>
        <v>0</v>
      </c>
      <c r="U458" s="16">
        <f t="shared" si="1125"/>
        <v>119747.46999999974</v>
      </c>
      <c r="V458" s="16">
        <f t="shared" si="1123"/>
        <v>0</v>
      </c>
      <c r="W458" s="16">
        <f>SUM(W453:W457)</f>
        <v>0</v>
      </c>
      <c r="X458" s="16">
        <f t="shared" ref="X458:AD458" si="1126">SUM(X453:X457)</f>
        <v>0</v>
      </c>
      <c r="Y458" s="16">
        <f>SUM(Y453:Y457)</f>
        <v>0</v>
      </c>
      <c r="Z458" s="16">
        <f t="shared" si="1126"/>
        <v>0</v>
      </c>
      <c r="AA458" s="16">
        <f t="shared" si="1126"/>
        <v>0</v>
      </c>
      <c r="AB458" s="16">
        <f t="shared" si="1126"/>
        <v>0</v>
      </c>
      <c r="AC458" s="16">
        <f t="shared" si="1126"/>
        <v>0</v>
      </c>
      <c r="AD458" s="16">
        <f t="shared" si="1126"/>
        <v>0</v>
      </c>
      <c r="AE458" s="16">
        <f>SUM(AE453:AE457)</f>
        <v>0</v>
      </c>
      <c r="AF458" s="16">
        <f>SUM(AF453:AF457)</f>
        <v>0</v>
      </c>
      <c r="AG458" s="16">
        <f>SUM(AG453:AG457)</f>
        <v>0</v>
      </c>
      <c r="AH458" s="16">
        <f t="shared" ref="AH458" si="1127">SUM(AH453:AH457)</f>
        <v>0</v>
      </c>
      <c r="AI458" s="16">
        <f t="shared" ref="AI458:AL458" si="1128">SUM(AI453:AI457)</f>
        <v>-6362943</v>
      </c>
      <c r="AJ458" s="16">
        <f t="shared" si="1128"/>
        <v>0</v>
      </c>
      <c r="AK458" s="16">
        <f t="shared" si="1128"/>
        <v>0</v>
      </c>
      <c r="AL458" s="16">
        <f t="shared" si="1128"/>
        <v>0</v>
      </c>
      <c r="AM458" s="16">
        <f>SUM(AM453:AM457)</f>
        <v>0</v>
      </c>
      <c r="AN458" s="16">
        <f>SUM(AN453:AN457)</f>
        <v>0</v>
      </c>
      <c r="AO458" s="16">
        <f>SUM(AO453:AO457)</f>
        <v>0</v>
      </c>
      <c r="AP458" s="16">
        <f>SUM(AP453:AP457)</f>
        <v>0</v>
      </c>
      <c r="AQ458" s="16">
        <f>SUM(AQ453:AQ457)</f>
        <v>0</v>
      </c>
      <c r="AR458" s="16">
        <f t="shared" ref="AR458" si="1129">SUM(AR453:AR457)</f>
        <v>0</v>
      </c>
      <c r="AS458" s="16">
        <f>SUM(AS453:AS457)</f>
        <v>0</v>
      </c>
      <c r="AT458" s="16">
        <f t="shared" ref="AT458" si="1130">SUM(AT453:AT457)</f>
        <v>0</v>
      </c>
      <c r="AU458" s="16">
        <f t="shared" ref="AU458" si="1131">SUM(AU453:AU457)</f>
        <v>0</v>
      </c>
      <c r="AV458" s="16">
        <f t="shared" ref="AV458" si="1132">SUM(AV453:AV457)</f>
        <v>0</v>
      </c>
      <c r="AW458" s="16">
        <f>SUM(AW453:AW457)</f>
        <v>0</v>
      </c>
      <c r="AX458" s="16">
        <f t="shared" ref="AX458" si="1133">SUM(AX453:AX457)</f>
        <v>0</v>
      </c>
      <c r="AY458" s="16">
        <f t="shared" ref="AY458:BF458" si="1134">SUM(AY453:AY457)</f>
        <v>0</v>
      </c>
      <c r="AZ458" s="16">
        <f t="shared" si="1134"/>
        <v>0</v>
      </c>
      <c r="BA458" s="16">
        <f t="shared" si="1134"/>
        <v>0</v>
      </c>
      <c r="BB458" s="16">
        <f t="shared" si="1134"/>
        <v>0</v>
      </c>
      <c r="BC458" s="16">
        <f t="shared" si="1134"/>
        <v>0</v>
      </c>
      <c r="BD458" s="16">
        <f t="shared" si="1134"/>
        <v>0</v>
      </c>
      <c r="BE458" s="16">
        <f t="shared" si="1134"/>
        <v>0</v>
      </c>
      <c r="BF458" s="16">
        <f t="shared" si="1134"/>
        <v>0</v>
      </c>
    </row>
    <row r="459" spans="1:58" s="22" customFormat="1" ht="14.15" customHeight="1">
      <c r="A459" s="404">
        <f t="shared" si="1042"/>
        <v>453</v>
      </c>
      <c r="B459" s="157"/>
      <c r="C459" s="157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</row>
    <row r="460" spans="1:58" s="22" customFormat="1" ht="14.15" customHeight="1">
      <c r="A460" s="404">
        <f t="shared" si="1042"/>
        <v>454</v>
      </c>
      <c r="B460" s="20" t="s">
        <v>287</v>
      </c>
      <c r="C460" s="20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</row>
    <row r="461" spans="1:58" s="22" customFormat="1" ht="14.15" customHeight="1">
      <c r="A461" s="404">
        <f t="shared" si="1042"/>
        <v>455</v>
      </c>
      <c r="B461" s="57" t="s">
        <v>321</v>
      </c>
      <c r="C461" s="197">
        <f>SUM(D461:BF461)</f>
        <v>-85273.730000000156</v>
      </c>
      <c r="D461" s="64">
        <v>0</v>
      </c>
      <c r="E461" s="64">
        <v>0</v>
      </c>
      <c r="F461" s="64">
        <v>0</v>
      </c>
      <c r="G461" s="64">
        <v>0</v>
      </c>
      <c r="H461" s="64">
        <v>0</v>
      </c>
      <c r="I461" s="64">
        <v>0</v>
      </c>
      <c r="J461" s="64">
        <v>-209318.32</v>
      </c>
      <c r="K461" s="64">
        <v>0</v>
      </c>
      <c r="L461" s="64">
        <v>0</v>
      </c>
      <c r="M461" s="64">
        <v>0</v>
      </c>
      <c r="N461" s="64">
        <v>0</v>
      </c>
      <c r="O461" s="64">
        <v>0</v>
      </c>
      <c r="P461" s="64">
        <v>0</v>
      </c>
      <c r="Q461" s="64">
        <v>0</v>
      </c>
      <c r="R461" s="64">
        <v>0</v>
      </c>
      <c r="S461" s="64">
        <v>0</v>
      </c>
      <c r="T461" s="64">
        <v>0</v>
      </c>
      <c r="U461" s="64">
        <v>124044.58999999985</v>
      </c>
      <c r="V461" s="64">
        <v>0</v>
      </c>
      <c r="W461" s="64">
        <v>0</v>
      </c>
      <c r="X461" s="64">
        <v>0</v>
      </c>
      <c r="Y461" s="64">
        <v>0</v>
      </c>
      <c r="Z461" s="64">
        <v>0</v>
      </c>
      <c r="AA461" s="64">
        <v>0</v>
      </c>
      <c r="AB461" s="64">
        <v>0</v>
      </c>
      <c r="AC461" s="64">
        <v>0</v>
      </c>
      <c r="AD461" s="64">
        <v>0</v>
      </c>
      <c r="AE461" s="64">
        <v>0</v>
      </c>
      <c r="AF461" s="64">
        <v>0</v>
      </c>
      <c r="AG461" s="64">
        <v>0</v>
      </c>
      <c r="AH461" s="64">
        <v>0</v>
      </c>
      <c r="AI461" s="64">
        <v>0</v>
      </c>
      <c r="AJ461" s="64">
        <v>0</v>
      </c>
      <c r="AK461" s="64">
        <v>0</v>
      </c>
      <c r="AL461" s="64">
        <v>0</v>
      </c>
      <c r="AM461" s="64">
        <v>0</v>
      </c>
      <c r="AN461" s="64">
        <v>0</v>
      </c>
      <c r="AO461" s="64">
        <v>0</v>
      </c>
      <c r="AP461" s="64">
        <v>0</v>
      </c>
      <c r="AQ461" s="64">
        <v>0</v>
      </c>
      <c r="AR461" s="64">
        <v>0</v>
      </c>
      <c r="AS461" s="64">
        <v>0</v>
      </c>
      <c r="AT461" s="64">
        <v>0</v>
      </c>
      <c r="AU461" s="64">
        <v>0</v>
      </c>
      <c r="AV461" s="64">
        <v>0</v>
      </c>
      <c r="AW461" s="64">
        <v>0</v>
      </c>
      <c r="AX461" s="64">
        <v>0</v>
      </c>
      <c r="AY461" s="64">
        <v>0</v>
      </c>
      <c r="AZ461" s="64">
        <v>0</v>
      </c>
      <c r="BA461" s="64">
        <v>0</v>
      </c>
      <c r="BB461" s="64">
        <v>0</v>
      </c>
      <c r="BC461" s="64">
        <v>0</v>
      </c>
      <c r="BD461" s="64">
        <v>0</v>
      </c>
      <c r="BE461" s="64">
        <v>0</v>
      </c>
      <c r="BF461" s="64">
        <v>0</v>
      </c>
    </row>
    <row r="462" spans="1:58" s="22" customFormat="1" ht="14.15" customHeight="1">
      <c r="A462" s="404">
        <f t="shared" si="1042"/>
        <v>456</v>
      </c>
      <c r="B462" s="20" t="s">
        <v>501</v>
      </c>
      <c r="C462" s="43">
        <f t="shared" ref="C462:V462" si="1135">SUM(C461:C461)</f>
        <v>-85273.730000000156</v>
      </c>
      <c r="D462" s="43">
        <f t="shared" ref="D462:I462" si="1136">SUM(D461:D461)</f>
        <v>0</v>
      </c>
      <c r="E462" s="43">
        <f t="shared" si="1136"/>
        <v>0</v>
      </c>
      <c r="F462" s="43">
        <f t="shared" si="1136"/>
        <v>0</v>
      </c>
      <c r="G462" s="43">
        <f t="shared" si="1136"/>
        <v>0</v>
      </c>
      <c r="H462" s="43">
        <f t="shared" si="1136"/>
        <v>0</v>
      </c>
      <c r="I462" s="43">
        <f t="shared" si="1136"/>
        <v>0</v>
      </c>
      <c r="J462" s="43">
        <f t="shared" si="1135"/>
        <v>-209318.32</v>
      </c>
      <c r="K462" s="43">
        <f t="shared" ref="K462:U462" si="1137">SUM(K461:K461)</f>
        <v>0</v>
      </c>
      <c r="L462" s="43">
        <f t="shared" si="1137"/>
        <v>0</v>
      </c>
      <c r="M462" s="43">
        <f t="shared" si="1137"/>
        <v>0</v>
      </c>
      <c r="N462" s="43">
        <f t="shared" si="1137"/>
        <v>0</v>
      </c>
      <c r="O462" s="43">
        <f t="shared" si="1137"/>
        <v>0</v>
      </c>
      <c r="P462" s="43">
        <f t="shared" si="1137"/>
        <v>0</v>
      </c>
      <c r="Q462" s="43">
        <f t="shared" si="1137"/>
        <v>0</v>
      </c>
      <c r="R462" s="43">
        <f t="shared" si="1137"/>
        <v>0</v>
      </c>
      <c r="S462" s="43">
        <f t="shared" si="1137"/>
        <v>0</v>
      </c>
      <c r="T462" s="43">
        <f t="shared" si="1137"/>
        <v>0</v>
      </c>
      <c r="U462" s="43">
        <f t="shared" si="1137"/>
        <v>124044.58999999985</v>
      </c>
      <c r="V462" s="43">
        <f t="shared" si="1135"/>
        <v>0</v>
      </c>
      <c r="W462" s="43">
        <f>SUM(W461:W461)</f>
        <v>0</v>
      </c>
      <c r="X462" s="43">
        <f t="shared" ref="X462:AD462" si="1138">SUM(X461:X461)</f>
        <v>0</v>
      </c>
      <c r="Y462" s="43">
        <f>SUM(Y461:Y461)</f>
        <v>0</v>
      </c>
      <c r="Z462" s="43">
        <f t="shared" si="1138"/>
        <v>0</v>
      </c>
      <c r="AA462" s="43">
        <f t="shared" si="1138"/>
        <v>0</v>
      </c>
      <c r="AB462" s="43">
        <f t="shared" si="1138"/>
        <v>0</v>
      </c>
      <c r="AC462" s="43">
        <f t="shared" si="1138"/>
        <v>0</v>
      </c>
      <c r="AD462" s="43">
        <f t="shared" si="1138"/>
        <v>0</v>
      </c>
      <c r="AE462" s="43">
        <f>SUM(AE461:AE461)</f>
        <v>0</v>
      </c>
      <c r="AF462" s="43">
        <f>SUM(AF461:AF461)</f>
        <v>0</v>
      </c>
      <c r="AG462" s="43">
        <f>SUM(AG461:AG461)</f>
        <v>0</v>
      </c>
      <c r="AH462" s="43">
        <f t="shared" ref="AH462" si="1139">SUM(AH461:AH461)</f>
        <v>0</v>
      </c>
      <c r="AI462" s="43">
        <f t="shared" ref="AI462:AL462" si="1140">SUM(AI461:AI461)</f>
        <v>0</v>
      </c>
      <c r="AJ462" s="43">
        <f t="shared" si="1140"/>
        <v>0</v>
      </c>
      <c r="AK462" s="43">
        <f t="shared" si="1140"/>
        <v>0</v>
      </c>
      <c r="AL462" s="43">
        <f t="shared" si="1140"/>
        <v>0</v>
      </c>
      <c r="AM462" s="43">
        <f>SUM(AM461:AM461)</f>
        <v>0</v>
      </c>
      <c r="AN462" s="43">
        <f>SUM(AN461:AN461)</f>
        <v>0</v>
      </c>
      <c r="AO462" s="43">
        <f>SUM(AO461:AO461)</f>
        <v>0</v>
      </c>
      <c r="AP462" s="43">
        <f>SUM(AP461:AP461)</f>
        <v>0</v>
      </c>
      <c r="AQ462" s="43">
        <f>SUM(AQ461:AQ461)</f>
        <v>0</v>
      </c>
      <c r="AR462" s="43">
        <f t="shared" ref="AR462" si="1141">SUM(AR461:AR461)</f>
        <v>0</v>
      </c>
      <c r="AS462" s="43">
        <f>SUM(AS461:AS461)</f>
        <v>0</v>
      </c>
      <c r="AT462" s="43">
        <f t="shared" ref="AT462" si="1142">SUM(AT461:AT461)</f>
        <v>0</v>
      </c>
      <c r="AU462" s="43">
        <f t="shared" ref="AU462" si="1143">SUM(AU461:AU461)</f>
        <v>0</v>
      </c>
      <c r="AV462" s="43">
        <f t="shared" ref="AV462" si="1144">SUM(AV461:AV461)</f>
        <v>0</v>
      </c>
      <c r="AW462" s="43">
        <f>SUM(AW461:AW461)</f>
        <v>0</v>
      </c>
      <c r="AX462" s="43">
        <f t="shared" ref="AX462" si="1145">SUM(AX461:AX461)</f>
        <v>0</v>
      </c>
      <c r="AY462" s="43">
        <f t="shared" ref="AY462:BF462" si="1146">SUM(AY461:AY461)</f>
        <v>0</v>
      </c>
      <c r="AZ462" s="43">
        <f t="shared" si="1146"/>
        <v>0</v>
      </c>
      <c r="BA462" s="43">
        <f t="shared" si="1146"/>
        <v>0</v>
      </c>
      <c r="BB462" s="43">
        <f t="shared" si="1146"/>
        <v>0</v>
      </c>
      <c r="BC462" s="43">
        <f t="shared" si="1146"/>
        <v>0</v>
      </c>
      <c r="BD462" s="43">
        <f t="shared" si="1146"/>
        <v>0</v>
      </c>
      <c r="BE462" s="43">
        <f t="shared" si="1146"/>
        <v>0</v>
      </c>
      <c r="BF462" s="43">
        <f t="shared" si="1146"/>
        <v>0</v>
      </c>
    </row>
    <row r="463" spans="1:58" s="22" customFormat="1" ht="14.15" customHeight="1">
      <c r="A463" s="404">
        <f t="shared" si="1042"/>
        <v>457</v>
      </c>
      <c r="B463" s="57"/>
      <c r="C463" s="57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  <c r="AE463" s="64"/>
      <c r="AF463" s="64"/>
      <c r="AG463" s="64"/>
      <c r="AH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  <c r="AU463" s="64"/>
      <c r="AV463" s="64"/>
      <c r="AW463" s="64"/>
      <c r="AX463" s="64"/>
      <c r="AY463" s="64"/>
      <c r="AZ463" s="64"/>
      <c r="BA463" s="64"/>
      <c r="BB463" s="64"/>
      <c r="BC463" s="64"/>
      <c r="BD463" s="64"/>
      <c r="BE463" s="64"/>
      <c r="BF463" s="64"/>
    </row>
    <row r="464" spans="1:58" s="22" customFormat="1" ht="14.15" customHeight="1" thickBot="1">
      <c r="A464" s="404">
        <f t="shared" si="1042"/>
        <v>458</v>
      </c>
      <c r="B464" s="59" t="s">
        <v>502</v>
      </c>
      <c r="C464" s="87">
        <f t="shared" ref="C464:V464" si="1147">C450+C458+C462</f>
        <v>-8351712.5660330011</v>
      </c>
      <c r="D464" s="87">
        <f t="shared" ref="D464:I464" si="1148">D450+D458+D462</f>
        <v>0</v>
      </c>
      <c r="E464" s="87">
        <f t="shared" si="1148"/>
        <v>0</v>
      </c>
      <c r="F464" s="87">
        <f t="shared" si="1148"/>
        <v>0</v>
      </c>
      <c r="G464" s="87">
        <f t="shared" si="1148"/>
        <v>0</v>
      </c>
      <c r="H464" s="87">
        <f t="shared" si="1148"/>
        <v>0</v>
      </c>
      <c r="I464" s="87">
        <f t="shared" si="1148"/>
        <v>0</v>
      </c>
      <c r="J464" s="87">
        <f t="shared" si="1147"/>
        <v>-209318.32</v>
      </c>
      <c r="K464" s="87">
        <f t="shared" ref="K464:U464" si="1149">K450+K458+K462</f>
        <v>1980517.1109499999</v>
      </c>
      <c r="L464" s="87">
        <f t="shared" si="1149"/>
        <v>0</v>
      </c>
      <c r="M464" s="87">
        <f t="shared" si="1149"/>
        <v>0</v>
      </c>
      <c r="N464" s="87">
        <f t="shared" si="1149"/>
        <v>0</v>
      </c>
      <c r="O464" s="87">
        <f t="shared" si="1149"/>
        <v>0</v>
      </c>
      <c r="P464" s="87">
        <f t="shared" si="1149"/>
        <v>0</v>
      </c>
      <c r="Q464" s="87">
        <f t="shared" si="1149"/>
        <v>0</v>
      </c>
      <c r="R464" s="87">
        <f t="shared" si="1149"/>
        <v>0</v>
      </c>
      <c r="S464" s="87">
        <f t="shared" si="1149"/>
        <v>0</v>
      </c>
      <c r="T464" s="87">
        <f t="shared" si="1149"/>
        <v>0</v>
      </c>
      <c r="U464" s="87">
        <f t="shared" si="1149"/>
        <v>1384417.7399999979</v>
      </c>
      <c r="V464" s="87">
        <f t="shared" si="1147"/>
        <v>-9355669</v>
      </c>
      <c r="W464" s="87">
        <f>W450+W458+W462</f>
        <v>0</v>
      </c>
      <c r="X464" s="87">
        <f t="shared" ref="X464:AD464" si="1150">X450+X458+X462</f>
        <v>0</v>
      </c>
      <c r="Y464" s="87">
        <f>Y450+Y458+Y462</f>
        <v>0</v>
      </c>
      <c r="Z464" s="87">
        <f t="shared" si="1150"/>
        <v>0</v>
      </c>
      <c r="AA464" s="87">
        <f t="shared" si="1150"/>
        <v>0</v>
      </c>
      <c r="AB464" s="87">
        <f t="shared" si="1150"/>
        <v>0</v>
      </c>
      <c r="AC464" s="87">
        <f t="shared" si="1150"/>
        <v>0</v>
      </c>
      <c r="AD464" s="87">
        <f t="shared" si="1150"/>
        <v>0</v>
      </c>
      <c r="AE464" s="87">
        <f>AE450+AE458+AE462</f>
        <v>465475.20400000003</v>
      </c>
      <c r="AF464" s="87">
        <f>AF450+AF458+AF462</f>
        <v>0</v>
      </c>
      <c r="AG464" s="87">
        <f>AG450+AG458+AG462</f>
        <v>0</v>
      </c>
      <c r="AH464" s="87">
        <f t="shared" ref="AH464" si="1151">AH450+AH458+AH462</f>
        <v>0</v>
      </c>
      <c r="AI464" s="87">
        <f t="shared" ref="AI464:AL464" si="1152">AI450+AI458+AI462</f>
        <v>3942450</v>
      </c>
      <c r="AJ464" s="87">
        <f t="shared" si="1152"/>
        <v>113368.78</v>
      </c>
      <c r="AK464" s="87">
        <f t="shared" si="1152"/>
        <v>0</v>
      </c>
      <c r="AL464" s="87">
        <f t="shared" si="1152"/>
        <v>0</v>
      </c>
      <c r="AM464" s="87">
        <f>AM450+AM458+AM462</f>
        <v>0</v>
      </c>
      <c r="AN464" s="87">
        <f>AN450+AN458+AN462</f>
        <v>0</v>
      </c>
      <c r="AO464" s="87">
        <f>AO450+AO458+AO462</f>
        <v>0</v>
      </c>
      <c r="AP464" s="87">
        <f>AP450+AP458+AP462</f>
        <v>0</v>
      </c>
      <c r="AQ464" s="87">
        <f>AQ450+AQ458+AQ462</f>
        <v>0</v>
      </c>
      <c r="AR464" s="87">
        <f t="shared" ref="AR464" si="1153">AR450+AR458+AR462</f>
        <v>0</v>
      </c>
      <c r="AS464" s="87">
        <f>AS450+AS458+AS462</f>
        <v>0</v>
      </c>
      <c r="AT464" s="87">
        <f t="shared" ref="AT464" si="1154">AT450+AT458+AT462</f>
        <v>1167941.9025000017</v>
      </c>
      <c r="AU464" s="87">
        <f t="shared" ref="AU464" si="1155">AU450+AU458+AU462</f>
        <v>-8425895.9834829997</v>
      </c>
      <c r="AV464" s="87">
        <f t="shared" ref="AV464" si="1156">AV450+AV458+AV462</f>
        <v>585000</v>
      </c>
      <c r="AW464" s="87">
        <f>AW450+AW458+AW462</f>
        <v>915968.91411599994</v>
      </c>
      <c r="AX464" s="87">
        <f t="shared" ref="AX464" si="1157">AX450+AX458+AX462</f>
        <v>-915968.91411599994</v>
      </c>
      <c r="AY464" s="87">
        <f t="shared" ref="AY464:BF464" si="1158">AY450+AY458+AY462</f>
        <v>0</v>
      </c>
      <c r="AZ464" s="87">
        <f t="shared" si="1158"/>
        <v>0</v>
      </c>
      <c r="BA464" s="87">
        <f t="shared" si="1158"/>
        <v>0</v>
      </c>
      <c r="BB464" s="87">
        <f t="shared" si="1158"/>
        <v>0</v>
      </c>
      <c r="BC464" s="87">
        <f t="shared" si="1158"/>
        <v>0</v>
      </c>
      <c r="BD464" s="87">
        <f t="shared" si="1158"/>
        <v>0</v>
      </c>
      <c r="BE464" s="87">
        <f t="shared" si="1158"/>
        <v>0</v>
      </c>
      <c r="BF464" s="87">
        <f t="shared" si="1158"/>
        <v>0</v>
      </c>
    </row>
    <row r="465" spans="1:58" ht="14.15" customHeight="1" thickTop="1">
      <c r="A465" s="404">
        <f t="shared" si="1042"/>
        <v>459</v>
      </c>
      <c r="B465" s="123"/>
      <c r="C465" s="123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</row>
    <row r="466" spans="1:58" ht="14.15" customHeight="1">
      <c r="A466" s="404">
        <f t="shared" si="1042"/>
        <v>460</v>
      </c>
      <c r="B466" s="20" t="s">
        <v>288</v>
      </c>
      <c r="C466" s="20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  <c r="AM466" s="43"/>
      <c r="AN466" s="43"/>
      <c r="AO466" s="43"/>
      <c r="AP466" s="43"/>
      <c r="AQ466" s="43"/>
      <c r="AR466" s="43"/>
      <c r="AS466" s="43"/>
      <c r="AT466" s="43"/>
      <c r="AU466" s="43"/>
      <c r="AV466" s="43"/>
      <c r="AW466" s="43"/>
      <c r="AX466" s="43"/>
      <c r="AY466" s="43"/>
      <c r="AZ466" s="43"/>
      <c r="BA466" s="43"/>
      <c r="BB466" s="43"/>
      <c r="BC466" s="43"/>
      <c r="BD466" s="43"/>
      <c r="BE466" s="43"/>
      <c r="BF466" s="43"/>
    </row>
    <row r="467" spans="1:58" ht="14.15" customHeight="1">
      <c r="A467" s="404">
        <f t="shared" si="1042"/>
        <v>461</v>
      </c>
      <c r="B467" s="13" t="s">
        <v>289</v>
      </c>
      <c r="C467" s="1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  <c r="AM467" s="43"/>
      <c r="AN467" s="43"/>
      <c r="AO467" s="43"/>
      <c r="AP467" s="43"/>
      <c r="AQ467" s="43"/>
      <c r="AR467" s="43"/>
      <c r="AS467" s="43"/>
      <c r="AT467" s="43"/>
      <c r="AU467" s="43"/>
      <c r="AV467" s="43"/>
      <c r="AW467" s="43"/>
      <c r="AX467" s="43"/>
      <c r="AY467" s="43"/>
      <c r="AZ467" s="43"/>
      <c r="BA467" s="43"/>
      <c r="BB467" s="43"/>
      <c r="BC467" s="43"/>
      <c r="BD467" s="43"/>
      <c r="BE467" s="43"/>
      <c r="BF467" s="43"/>
    </row>
    <row r="468" spans="1:58" ht="14.15" customHeight="1">
      <c r="A468" s="404">
        <f t="shared" si="1042"/>
        <v>462</v>
      </c>
      <c r="B468" s="22" t="s">
        <v>290</v>
      </c>
      <c r="C468" s="38">
        <f>SUM(D468:BF468)</f>
        <v>266730.63459787978</v>
      </c>
      <c r="D468" s="43">
        <v>0</v>
      </c>
      <c r="E468" s="43">
        <v>0</v>
      </c>
      <c r="F468" s="43">
        <v>0</v>
      </c>
      <c r="G468" s="43">
        <v>0</v>
      </c>
      <c r="H468" s="43">
        <v>0</v>
      </c>
      <c r="I468" s="43">
        <v>0</v>
      </c>
      <c r="J468" s="43">
        <v>0</v>
      </c>
      <c r="K468" s="43">
        <v>0</v>
      </c>
      <c r="L468" s="43">
        <v>0</v>
      </c>
      <c r="M468" s="43">
        <v>0</v>
      </c>
      <c r="N468" s="43">
        <v>0</v>
      </c>
      <c r="O468" s="43">
        <v>0</v>
      </c>
      <c r="P468" s="43">
        <v>0</v>
      </c>
      <c r="Q468" s="43">
        <v>0</v>
      </c>
      <c r="R468" s="43">
        <v>0</v>
      </c>
      <c r="S468" s="43">
        <v>0</v>
      </c>
      <c r="T468" s="43">
        <v>0</v>
      </c>
      <c r="U468" s="43">
        <v>19580.219999999739</v>
      </c>
      <c r="V468" s="43">
        <v>0</v>
      </c>
      <c r="W468" s="43">
        <v>0</v>
      </c>
      <c r="X468" s="43">
        <v>0</v>
      </c>
      <c r="Y468" s="43">
        <v>0</v>
      </c>
      <c r="Z468" s="43">
        <v>0</v>
      </c>
      <c r="AA468" s="43">
        <v>0</v>
      </c>
      <c r="AB468" s="43">
        <v>0</v>
      </c>
      <c r="AC468" s="43">
        <v>0</v>
      </c>
      <c r="AD468" s="43">
        <v>0</v>
      </c>
      <c r="AE468" s="43">
        <v>0</v>
      </c>
      <c r="AF468" s="43">
        <v>0</v>
      </c>
      <c r="AG468" s="43">
        <v>247150.41459788004</v>
      </c>
      <c r="AH468" s="43">
        <v>0</v>
      </c>
      <c r="AI468" s="43">
        <v>0</v>
      </c>
      <c r="AJ468" s="43">
        <v>0</v>
      </c>
      <c r="AK468" s="43">
        <v>0</v>
      </c>
      <c r="AL468" s="43">
        <v>0</v>
      </c>
      <c r="AM468" s="43">
        <v>0</v>
      </c>
      <c r="AN468" s="43">
        <v>0</v>
      </c>
      <c r="AO468" s="43">
        <v>0</v>
      </c>
      <c r="AP468" s="43">
        <v>0</v>
      </c>
      <c r="AQ468" s="43">
        <v>0</v>
      </c>
      <c r="AR468" s="43">
        <v>0</v>
      </c>
      <c r="AS468" s="43">
        <v>0</v>
      </c>
      <c r="AT468" s="43">
        <v>0</v>
      </c>
      <c r="AU468" s="43">
        <v>0</v>
      </c>
      <c r="AV468" s="43">
        <v>0</v>
      </c>
      <c r="AW468" s="43">
        <v>0</v>
      </c>
      <c r="AX468" s="43">
        <v>0</v>
      </c>
      <c r="AY468" s="43">
        <v>0</v>
      </c>
      <c r="AZ468" s="43">
        <v>0</v>
      </c>
      <c r="BA468" s="43">
        <v>0</v>
      </c>
      <c r="BB468" s="43">
        <v>0</v>
      </c>
      <c r="BC468" s="43">
        <v>0</v>
      </c>
      <c r="BD468" s="43">
        <v>0</v>
      </c>
      <c r="BE468" s="43">
        <v>0</v>
      </c>
      <c r="BF468" s="43">
        <v>0</v>
      </c>
    </row>
    <row r="469" spans="1:58" ht="14.15" customHeight="1">
      <c r="A469" s="404">
        <f t="shared" ref="A469:A509" si="1159">+A468+1</f>
        <v>463</v>
      </c>
      <c r="B469" s="22" t="s">
        <v>291</v>
      </c>
      <c r="C469" s="38">
        <f>SUM(D469:BF469)</f>
        <v>89.019999999998618</v>
      </c>
      <c r="D469" s="43">
        <v>0</v>
      </c>
      <c r="E469" s="43">
        <v>0</v>
      </c>
      <c r="F469" s="43">
        <v>0</v>
      </c>
      <c r="G469" s="43">
        <v>0</v>
      </c>
      <c r="H469" s="43">
        <v>0</v>
      </c>
      <c r="I469" s="43">
        <v>0</v>
      </c>
      <c r="J469" s="43">
        <v>0</v>
      </c>
      <c r="K469" s="43">
        <v>0</v>
      </c>
      <c r="L469" s="43">
        <v>0</v>
      </c>
      <c r="M469" s="43">
        <v>0</v>
      </c>
      <c r="N469" s="43">
        <v>0</v>
      </c>
      <c r="O469" s="43">
        <v>0</v>
      </c>
      <c r="P469" s="43">
        <v>0</v>
      </c>
      <c r="Q469" s="43">
        <v>0</v>
      </c>
      <c r="R469" s="43">
        <v>0</v>
      </c>
      <c r="S469" s="43">
        <v>0</v>
      </c>
      <c r="T469" s="43">
        <v>0</v>
      </c>
      <c r="U469" s="43">
        <v>89.019999999998618</v>
      </c>
      <c r="V469" s="43">
        <v>0</v>
      </c>
      <c r="W469" s="43">
        <v>0</v>
      </c>
      <c r="X469" s="43">
        <v>0</v>
      </c>
      <c r="Y469" s="43">
        <v>0</v>
      </c>
      <c r="Z469" s="43">
        <v>0</v>
      </c>
      <c r="AA469" s="43">
        <v>0</v>
      </c>
      <c r="AB469" s="43">
        <v>0</v>
      </c>
      <c r="AC469" s="43">
        <v>0</v>
      </c>
      <c r="AD469" s="43">
        <v>0</v>
      </c>
      <c r="AE469" s="43">
        <v>0</v>
      </c>
      <c r="AF469" s="43">
        <v>0</v>
      </c>
      <c r="AG469" s="43">
        <v>0</v>
      </c>
      <c r="AH469" s="43">
        <v>0</v>
      </c>
      <c r="AI469" s="43">
        <v>0</v>
      </c>
      <c r="AJ469" s="43">
        <v>0</v>
      </c>
      <c r="AK469" s="43">
        <v>0</v>
      </c>
      <c r="AL469" s="43">
        <v>0</v>
      </c>
      <c r="AM469" s="43">
        <v>0</v>
      </c>
      <c r="AN469" s="43">
        <v>0</v>
      </c>
      <c r="AO469" s="43">
        <v>0</v>
      </c>
      <c r="AP469" s="43">
        <v>0</v>
      </c>
      <c r="AQ469" s="43">
        <v>0</v>
      </c>
      <c r="AR469" s="43">
        <v>0</v>
      </c>
      <c r="AS469" s="43">
        <v>0</v>
      </c>
      <c r="AT469" s="43">
        <v>0</v>
      </c>
      <c r="AU469" s="43">
        <v>0</v>
      </c>
      <c r="AV469" s="43">
        <v>0</v>
      </c>
      <c r="AW469" s="43">
        <v>0</v>
      </c>
      <c r="AX469" s="43">
        <v>0</v>
      </c>
      <c r="AY469" s="43">
        <v>0</v>
      </c>
      <c r="AZ469" s="43">
        <v>0</v>
      </c>
      <c r="BA469" s="43">
        <v>0</v>
      </c>
      <c r="BB469" s="43">
        <v>0</v>
      </c>
      <c r="BC469" s="43">
        <v>0</v>
      </c>
      <c r="BD469" s="43">
        <v>0</v>
      </c>
      <c r="BE469" s="43">
        <v>0</v>
      </c>
      <c r="BF469" s="43">
        <v>0</v>
      </c>
    </row>
    <row r="470" spans="1:58" ht="14.15" customHeight="1">
      <c r="A470" s="404">
        <f t="shared" si="1159"/>
        <v>464</v>
      </c>
      <c r="B470" s="56" t="s">
        <v>292</v>
      </c>
      <c r="C470" s="38">
        <f>SUM(D470:BF470)</f>
        <v>151.34000000000015</v>
      </c>
      <c r="D470" s="43">
        <v>0</v>
      </c>
      <c r="E470" s="43">
        <v>0</v>
      </c>
      <c r="F470" s="43">
        <v>0</v>
      </c>
      <c r="G470" s="43">
        <v>0</v>
      </c>
      <c r="H470" s="43">
        <v>0</v>
      </c>
      <c r="I470" s="43">
        <v>0</v>
      </c>
      <c r="J470" s="43">
        <v>0</v>
      </c>
      <c r="K470" s="43">
        <v>0</v>
      </c>
      <c r="L470" s="43">
        <v>0</v>
      </c>
      <c r="M470" s="43">
        <v>0</v>
      </c>
      <c r="N470" s="43">
        <v>0</v>
      </c>
      <c r="O470" s="43">
        <v>0</v>
      </c>
      <c r="P470" s="43">
        <v>0</v>
      </c>
      <c r="Q470" s="43">
        <v>0</v>
      </c>
      <c r="R470" s="43">
        <v>0</v>
      </c>
      <c r="S470" s="43">
        <v>0</v>
      </c>
      <c r="T470" s="43">
        <v>0</v>
      </c>
      <c r="U470" s="43">
        <v>151.34000000000015</v>
      </c>
      <c r="V470" s="43">
        <v>0</v>
      </c>
      <c r="W470" s="43">
        <v>0</v>
      </c>
      <c r="X470" s="43">
        <v>0</v>
      </c>
      <c r="Y470" s="43">
        <v>0</v>
      </c>
      <c r="Z470" s="43">
        <v>0</v>
      </c>
      <c r="AA470" s="43">
        <v>0</v>
      </c>
      <c r="AB470" s="43">
        <v>0</v>
      </c>
      <c r="AC470" s="43">
        <v>0</v>
      </c>
      <c r="AD470" s="43">
        <v>0</v>
      </c>
      <c r="AE470" s="43">
        <v>0</v>
      </c>
      <c r="AF470" s="43">
        <v>0</v>
      </c>
      <c r="AG470" s="43">
        <v>0</v>
      </c>
      <c r="AH470" s="43">
        <v>0</v>
      </c>
      <c r="AI470" s="43">
        <v>0</v>
      </c>
      <c r="AJ470" s="43">
        <v>0</v>
      </c>
      <c r="AK470" s="43">
        <v>0</v>
      </c>
      <c r="AL470" s="43">
        <v>0</v>
      </c>
      <c r="AM470" s="43">
        <v>0</v>
      </c>
      <c r="AN470" s="43">
        <v>0</v>
      </c>
      <c r="AO470" s="43">
        <v>0</v>
      </c>
      <c r="AP470" s="43">
        <v>0</v>
      </c>
      <c r="AQ470" s="43">
        <v>0</v>
      </c>
      <c r="AR470" s="43">
        <v>0</v>
      </c>
      <c r="AS470" s="43">
        <v>0</v>
      </c>
      <c r="AT470" s="43">
        <v>0</v>
      </c>
      <c r="AU470" s="43">
        <v>0</v>
      </c>
      <c r="AV470" s="43">
        <v>0</v>
      </c>
      <c r="AW470" s="43">
        <v>0</v>
      </c>
      <c r="AX470" s="43">
        <v>0</v>
      </c>
      <c r="AY470" s="43">
        <v>0</v>
      </c>
      <c r="AZ470" s="43">
        <v>0</v>
      </c>
      <c r="BA470" s="43">
        <v>0</v>
      </c>
      <c r="BB470" s="43">
        <v>0</v>
      </c>
      <c r="BC470" s="43">
        <v>0</v>
      </c>
      <c r="BD470" s="43">
        <v>0</v>
      </c>
      <c r="BE470" s="43">
        <v>0</v>
      </c>
      <c r="BF470" s="43">
        <v>0</v>
      </c>
    </row>
    <row r="471" spans="1:58" ht="14.15" customHeight="1">
      <c r="A471" s="404">
        <f t="shared" si="1159"/>
        <v>465</v>
      </c>
      <c r="B471" s="20" t="s">
        <v>503</v>
      </c>
      <c r="C471" s="80">
        <f t="shared" ref="C471:V471" si="1160">SUM(C468:C470)</f>
        <v>266970.99459787982</v>
      </c>
      <c r="D471" s="80">
        <f t="shared" ref="D471:I471" si="1161">SUM(D468:D470)</f>
        <v>0</v>
      </c>
      <c r="E471" s="80">
        <f t="shared" si="1161"/>
        <v>0</v>
      </c>
      <c r="F471" s="80">
        <f t="shared" si="1161"/>
        <v>0</v>
      </c>
      <c r="G471" s="80">
        <f t="shared" si="1161"/>
        <v>0</v>
      </c>
      <c r="H471" s="80">
        <f t="shared" si="1161"/>
        <v>0</v>
      </c>
      <c r="I471" s="80">
        <f t="shared" si="1161"/>
        <v>0</v>
      </c>
      <c r="J471" s="80">
        <f t="shared" si="1160"/>
        <v>0</v>
      </c>
      <c r="K471" s="80">
        <f t="shared" ref="K471:U471" si="1162">SUM(K468:K470)</f>
        <v>0</v>
      </c>
      <c r="L471" s="80">
        <f t="shared" si="1162"/>
        <v>0</v>
      </c>
      <c r="M471" s="80">
        <f t="shared" si="1162"/>
        <v>0</v>
      </c>
      <c r="N471" s="80">
        <f t="shared" si="1162"/>
        <v>0</v>
      </c>
      <c r="O471" s="80">
        <f t="shared" si="1162"/>
        <v>0</v>
      </c>
      <c r="P471" s="80">
        <f t="shared" si="1162"/>
        <v>0</v>
      </c>
      <c r="Q471" s="80">
        <f t="shared" si="1162"/>
        <v>0</v>
      </c>
      <c r="R471" s="80">
        <f t="shared" si="1162"/>
        <v>0</v>
      </c>
      <c r="S471" s="80">
        <f t="shared" si="1162"/>
        <v>0</v>
      </c>
      <c r="T471" s="80">
        <f t="shared" si="1162"/>
        <v>0</v>
      </c>
      <c r="U471" s="80">
        <f t="shared" si="1162"/>
        <v>19820.579999999736</v>
      </c>
      <c r="V471" s="80">
        <f t="shared" si="1160"/>
        <v>0</v>
      </c>
      <c r="W471" s="80">
        <f>SUM(W468:W470)</f>
        <v>0</v>
      </c>
      <c r="X471" s="80">
        <f t="shared" ref="X471:AD471" si="1163">SUM(X468:X470)</f>
        <v>0</v>
      </c>
      <c r="Y471" s="80">
        <f>SUM(Y468:Y470)</f>
        <v>0</v>
      </c>
      <c r="Z471" s="80">
        <f t="shared" si="1163"/>
        <v>0</v>
      </c>
      <c r="AA471" s="80">
        <f t="shared" si="1163"/>
        <v>0</v>
      </c>
      <c r="AB471" s="80">
        <f t="shared" si="1163"/>
        <v>0</v>
      </c>
      <c r="AC471" s="80">
        <f t="shared" si="1163"/>
        <v>0</v>
      </c>
      <c r="AD471" s="80">
        <f t="shared" si="1163"/>
        <v>0</v>
      </c>
      <c r="AE471" s="80">
        <f>SUM(AE468:AE470)</f>
        <v>0</v>
      </c>
      <c r="AF471" s="80">
        <f>SUM(AF468:AF470)</f>
        <v>0</v>
      </c>
      <c r="AG471" s="80">
        <f>SUM(AG468:AG470)</f>
        <v>247150.41459788004</v>
      </c>
      <c r="AH471" s="80">
        <f t="shared" ref="AH471" si="1164">SUM(AH468:AH470)</f>
        <v>0</v>
      </c>
      <c r="AI471" s="80">
        <f t="shared" ref="AI471:AL471" si="1165">SUM(AI468:AI470)</f>
        <v>0</v>
      </c>
      <c r="AJ471" s="80">
        <f t="shared" si="1165"/>
        <v>0</v>
      </c>
      <c r="AK471" s="80">
        <f t="shared" si="1165"/>
        <v>0</v>
      </c>
      <c r="AL471" s="80">
        <f t="shared" si="1165"/>
        <v>0</v>
      </c>
      <c r="AM471" s="80">
        <f>SUM(AM468:AM470)</f>
        <v>0</v>
      </c>
      <c r="AN471" s="80">
        <f>SUM(AN468:AN470)</f>
        <v>0</v>
      </c>
      <c r="AO471" s="80">
        <f>SUM(AO468:AO470)</f>
        <v>0</v>
      </c>
      <c r="AP471" s="80">
        <f>SUM(AP468:AP470)</f>
        <v>0</v>
      </c>
      <c r="AQ471" s="80">
        <f>SUM(AQ468:AQ470)</f>
        <v>0</v>
      </c>
      <c r="AR471" s="80">
        <f t="shared" ref="AR471" si="1166">SUM(AR468:AR470)</f>
        <v>0</v>
      </c>
      <c r="AS471" s="80">
        <f>SUM(AS468:AS470)</f>
        <v>0</v>
      </c>
      <c r="AT471" s="80">
        <f t="shared" ref="AT471" si="1167">SUM(AT468:AT470)</f>
        <v>0</v>
      </c>
      <c r="AU471" s="80">
        <f t="shared" ref="AU471" si="1168">SUM(AU468:AU470)</f>
        <v>0</v>
      </c>
      <c r="AV471" s="80">
        <f t="shared" ref="AV471" si="1169">SUM(AV468:AV470)</f>
        <v>0</v>
      </c>
      <c r="AW471" s="80">
        <f>SUM(AW468:AW470)</f>
        <v>0</v>
      </c>
      <c r="AX471" s="80">
        <f t="shared" ref="AX471" si="1170">SUM(AX468:AX470)</f>
        <v>0</v>
      </c>
      <c r="AY471" s="80">
        <f t="shared" ref="AY471:BF471" si="1171">SUM(AY468:AY470)</f>
        <v>0</v>
      </c>
      <c r="AZ471" s="80">
        <f t="shared" si="1171"/>
        <v>0</v>
      </c>
      <c r="BA471" s="80">
        <f t="shared" si="1171"/>
        <v>0</v>
      </c>
      <c r="BB471" s="80">
        <f t="shared" si="1171"/>
        <v>0</v>
      </c>
      <c r="BC471" s="80">
        <f t="shared" si="1171"/>
        <v>0</v>
      </c>
      <c r="BD471" s="80">
        <f t="shared" si="1171"/>
        <v>0</v>
      </c>
      <c r="BE471" s="80">
        <f t="shared" si="1171"/>
        <v>0</v>
      </c>
      <c r="BF471" s="80">
        <f t="shared" si="1171"/>
        <v>0</v>
      </c>
    </row>
    <row r="472" spans="1:58" ht="14.15" customHeight="1">
      <c r="A472" s="404">
        <f t="shared" si="1159"/>
        <v>466</v>
      </c>
      <c r="B472" s="123"/>
      <c r="C472" s="123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</row>
    <row r="473" spans="1:58" ht="14.15" customHeight="1">
      <c r="A473" s="404">
        <f t="shared" si="1159"/>
        <v>467</v>
      </c>
      <c r="B473" s="22" t="s">
        <v>514</v>
      </c>
      <c r="C473" s="38">
        <f t="shared" ref="C473:C482" si="1172">SUM(D473:BF473)</f>
        <v>4345218.9866666663</v>
      </c>
      <c r="D473" s="43">
        <v>0</v>
      </c>
      <c r="E473" s="43">
        <v>0</v>
      </c>
      <c r="F473" s="43">
        <v>0</v>
      </c>
      <c r="G473" s="43">
        <v>0</v>
      </c>
      <c r="H473" s="43">
        <v>0</v>
      </c>
      <c r="I473" s="43">
        <v>0</v>
      </c>
      <c r="J473" s="43">
        <v>0</v>
      </c>
      <c r="K473" s="43">
        <v>0</v>
      </c>
      <c r="L473" s="43">
        <v>0</v>
      </c>
      <c r="M473" s="43">
        <v>0</v>
      </c>
      <c r="N473" s="43">
        <v>0</v>
      </c>
      <c r="O473" s="43">
        <v>0</v>
      </c>
      <c r="P473" s="43">
        <v>0</v>
      </c>
      <c r="Q473" s="43">
        <v>0</v>
      </c>
      <c r="R473" s="43">
        <v>0</v>
      </c>
      <c r="S473" s="43">
        <v>0</v>
      </c>
      <c r="T473" s="43">
        <v>0</v>
      </c>
      <c r="U473" s="43">
        <v>271238.63000000082</v>
      </c>
      <c r="V473" s="43">
        <v>-188833</v>
      </c>
      <c r="W473" s="43">
        <v>0</v>
      </c>
      <c r="X473" s="43">
        <v>0</v>
      </c>
      <c r="Y473" s="43">
        <v>0</v>
      </c>
      <c r="Z473" s="43">
        <v>0</v>
      </c>
      <c r="AA473" s="43">
        <v>0</v>
      </c>
      <c r="AB473" s="43">
        <v>0</v>
      </c>
      <c r="AC473" s="43">
        <v>0</v>
      </c>
      <c r="AD473" s="43">
        <v>0</v>
      </c>
      <c r="AE473" s="43">
        <v>0</v>
      </c>
      <c r="AF473" s="43">
        <v>0</v>
      </c>
      <c r="AG473" s="43">
        <v>0</v>
      </c>
      <c r="AH473" s="43">
        <v>0</v>
      </c>
      <c r="AI473" s="43">
        <v>0</v>
      </c>
      <c r="AJ473" s="43">
        <v>0</v>
      </c>
      <c r="AK473" s="43">
        <v>0</v>
      </c>
      <c r="AL473" s="43">
        <v>0</v>
      </c>
      <c r="AM473" s="43">
        <v>0</v>
      </c>
      <c r="AN473" s="43">
        <v>4262813.3566666655</v>
      </c>
      <c r="AO473" s="43">
        <v>0</v>
      </c>
      <c r="AP473" s="43">
        <v>0</v>
      </c>
      <c r="AQ473" s="43">
        <v>0</v>
      </c>
      <c r="AR473" s="43">
        <v>0</v>
      </c>
      <c r="AS473" s="43">
        <v>0</v>
      </c>
      <c r="AT473" s="43">
        <v>0</v>
      </c>
      <c r="AU473" s="43">
        <v>0</v>
      </c>
      <c r="AV473" s="43">
        <v>0</v>
      </c>
      <c r="AW473" s="43">
        <v>0</v>
      </c>
      <c r="AX473" s="43">
        <v>0</v>
      </c>
      <c r="AY473" s="43">
        <v>0</v>
      </c>
      <c r="AZ473" s="43">
        <v>0</v>
      </c>
      <c r="BA473" s="43">
        <v>0</v>
      </c>
      <c r="BB473" s="43">
        <v>0</v>
      </c>
      <c r="BC473" s="43">
        <v>0</v>
      </c>
      <c r="BD473" s="43">
        <v>0</v>
      </c>
      <c r="BE473" s="43">
        <v>0</v>
      </c>
      <c r="BF473" s="43">
        <v>0</v>
      </c>
    </row>
    <row r="474" spans="1:58" ht="14.15" customHeight="1">
      <c r="A474" s="404">
        <f t="shared" si="1159"/>
        <v>468</v>
      </c>
      <c r="B474" s="22" t="s">
        <v>322</v>
      </c>
      <c r="C474" s="38">
        <f t="shared" si="1172"/>
        <v>0</v>
      </c>
      <c r="D474" s="43">
        <v>0</v>
      </c>
      <c r="E474" s="43">
        <v>0</v>
      </c>
      <c r="F474" s="43">
        <v>0</v>
      </c>
      <c r="G474" s="43">
        <v>0</v>
      </c>
      <c r="H474" s="43">
        <v>0</v>
      </c>
      <c r="I474" s="43">
        <v>0</v>
      </c>
      <c r="J474" s="43">
        <v>0</v>
      </c>
      <c r="K474" s="43">
        <v>0</v>
      </c>
      <c r="L474" s="43">
        <v>0</v>
      </c>
      <c r="M474" s="43">
        <v>0</v>
      </c>
      <c r="N474" s="43">
        <v>0</v>
      </c>
      <c r="O474" s="43">
        <v>0</v>
      </c>
      <c r="P474" s="43">
        <v>0</v>
      </c>
      <c r="Q474" s="43">
        <v>0</v>
      </c>
      <c r="R474" s="43">
        <v>0</v>
      </c>
      <c r="S474" s="43">
        <v>0</v>
      </c>
      <c r="T474" s="43">
        <v>0</v>
      </c>
      <c r="U474" s="43">
        <v>0</v>
      </c>
      <c r="V474" s="43">
        <v>0</v>
      </c>
      <c r="W474" s="43">
        <v>0</v>
      </c>
      <c r="X474" s="43">
        <v>0</v>
      </c>
      <c r="Y474" s="43">
        <v>0</v>
      </c>
      <c r="Z474" s="43">
        <v>0</v>
      </c>
      <c r="AA474" s="43">
        <v>0</v>
      </c>
      <c r="AB474" s="43">
        <v>0</v>
      </c>
      <c r="AC474" s="43">
        <v>0</v>
      </c>
      <c r="AD474" s="43">
        <v>0</v>
      </c>
      <c r="AE474" s="43">
        <v>0</v>
      </c>
      <c r="AF474" s="43">
        <v>0</v>
      </c>
      <c r="AG474" s="43">
        <v>0</v>
      </c>
      <c r="AH474" s="43">
        <v>0</v>
      </c>
      <c r="AI474" s="43">
        <v>0</v>
      </c>
      <c r="AJ474" s="43">
        <v>0</v>
      </c>
      <c r="AK474" s="43">
        <v>0</v>
      </c>
      <c r="AL474" s="43">
        <v>0</v>
      </c>
      <c r="AM474" s="43">
        <v>0</v>
      </c>
      <c r="AN474" s="43">
        <v>0</v>
      </c>
      <c r="AO474" s="43">
        <v>0</v>
      </c>
      <c r="AP474" s="43">
        <v>0</v>
      </c>
      <c r="AQ474" s="43">
        <v>0</v>
      </c>
      <c r="AR474" s="43">
        <v>0</v>
      </c>
      <c r="AS474" s="43">
        <v>0</v>
      </c>
      <c r="AT474" s="43">
        <v>0</v>
      </c>
      <c r="AU474" s="43">
        <v>0</v>
      </c>
      <c r="AV474" s="43">
        <v>0</v>
      </c>
      <c r="AW474" s="43">
        <v>0</v>
      </c>
      <c r="AX474" s="43">
        <v>0</v>
      </c>
      <c r="AY474" s="43">
        <v>0</v>
      </c>
      <c r="AZ474" s="43">
        <v>0</v>
      </c>
      <c r="BA474" s="43">
        <v>0</v>
      </c>
      <c r="BB474" s="43">
        <v>0</v>
      </c>
      <c r="BC474" s="43">
        <v>0</v>
      </c>
      <c r="BD474" s="43">
        <v>0</v>
      </c>
      <c r="BE474" s="43">
        <v>0</v>
      </c>
      <c r="BF474" s="43">
        <v>0</v>
      </c>
    </row>
    <row r="475" spans="1:58" ht="14.15" customHeight="1">
      <c r="A475" s="404">
        <f t="shared" si="1159"/>
        <v>469</v>
      </c>
      <c r="B475" s="22" t="s">
        <v>323</v>
      </c>
      <c r="C475" s="38">
        <f t="shared" si="1172"/>
        <v>0</v>
      </c>
      <c r="D475" s="43">
        <v>0</v>
      </c>
      <c r="E475" s="43">
        <v>0</v>
      </c>
      <c r="F475" s="43">
        <v>0</v>
      </c>
      <c r="G475" s="43">
        <v>0</v>
      </c>
      <c r="H475" s="43">
        <v>0</v>
      </c>
      <c r="I475" s="43">
        <v>0</v>
      </c>
      <c r="J475" s="43">
        <v>0</v>
      </c>
      <c r="K475" s="43">
        <v>0</v>
      </c>
      <c r="L475" s="43">
        <v>0</v>
      </c>
      <c r="M475" s="43">
        <v>0</v>
      </c>
      <c r="N475" s="43">
        <v>0</v>
      </c>
      <c r="O475" s="43">
        <v>0</v>
      </c>
      <c r="P475" s="43">
        <v>0</v>
      </c>
      <c r="Q475" s="43">
        <v>0</v>
      </c>
      <c r="R475" s="43">
        <v>0</v>
      </c>
      <c r="S475" s="43">
        <v>0</v>
      </c>
      <c r="T475" s="43">
        <v>0</v>
      </c>
      <c r="U475" s="43">
        <v>0</v>
      </c>
      <c r="V475" s="43">
        <v>0</v>
      </c>
      <c r="W475" s="43">
        <v>0</v>
      </c>
      <c r="X475" s="43">
        <v>0</v>
      </c>
      <c r="Y475" s="43">
        <v>0</v>
      </c>
      <c r="Z475" s="43">
        <v>0</v>
      </c>
      <c r="AA475" s="43">
        <v>0</v>
      </c>
      <c r="AB475" s="43">
        <v>0</v>
      </c>
      <c r="AC475" s="43">
        <v>0</v>
      </c>
      <c r="AD475" s="43">
        <v>0</v>
      </c>
      <c r="AE475" s="43">
        <v>0</v>
      </c>
      <c r="AF475" s="43">
        <v>0</v>
      </c>
      <c r="AG475" s="43">
        <v>0</v>
      </c>
      <c r="AH475" s="43">
        <v>0</v>
      </c>
      <c r="AI475" s="43">
        <v>0</v>
      </c>
      <c r="AJ475" s="43">
        <v>0</v>
      </c>
      <c r="AK475" s="43">
        <v>0</v>
      </c>
      <c r="AL475" s="43">
        <v>0</v>
      </c>
      <c r="AM475" s="43">
        <v>0</v>
      </c>
      <c r="AN475" s="43">
        <v>0</v>
      </c>
      <c r="AO475" s="43">
        <v>0</v>
      </c>
      <c r="AP475" s="43">
        <v>0</v>
      </c>
      <c r="AQ475" s="43">
        <v>0</v>
      </c>
      <c r="AR475" s="43">
        <v>0</v>
      </c>
      <c r="AS475" s="43">
        <v>0</v>
      </c>
      <c r="AT475" s="43">
        <v>0</v>
      </c>
      <c r="AU475" s="43">
        <v>0</v>
      </c>
      <c r="AV475" s="43">
        <v>0</v>
      </c>
      <c r="AW475" s="43">
        <v>0</v>
      </c>
      <c r="AX475" s="43">
        <v>0</v>
      </c>
      <c r="AY475" s="43">
        <v>0</v>
      </c>
      <c r="AZ475" s="43">
        <v>0</v>
      </c>
      <c r="BA475" s="43">
        <v>0</v>
      </c>
      <c r="BB475" s="43">
        <v>0</v>
      </c>
      <c r="BC475" s="43">
        <v>0</v>
      </c>
      <c r="BD475" s="43">
        <v>0</v>
      </c>
      <c r="BE475" s="43">
        <v>0</v>
      </c>
      <c r="BF475" s="43">
        <v>0</v>
      </c>
    </row>
    <row r="476" spans="1:58" ht="14.15" customHeight="1">
      <c r="A476" s="404">
        <f t="shared" si="1159"/>
        <v>470</v>
      </c>
      <c r="B476" s="22" t="s">
        <v>295</v>
      </c>
      <c r="C476" s="38">
        <f t="shared" si="1172"/>
        <v>1117.0500000000029</v>
      </c>
      <c r="D476" s="43">
        <v>0</v>
      </c>
      <c r="E476" s="43">
        <v>0</v>
      </c>
      <c r="F476" s="43">
        <v>0</v>
      </c>
      <c r="G476" s="43">
        <v>0</v>
      </c>
      <c r="H476" s="43">
        <v>0</v>
      </c>
      <c r="I476" s="43">
        <v>0</v>
      </c>
      <c r="J476" s="43">
        <v>0</v>
      </c>
      <c r="K476" s="43">
        <v>0</v>
      </c>
      <c r="L476" s="43">
        <v>0</v>
      </c>
      <c r="M476" s="43">
        <v>0</v>
      </c>
      <c r="N476" s="43">
        <v>0</v>
      </c>
      <c r="O476" s="43">
        <v>0</v>
      </c>
      <c r="P476" s="43">
        <v>0</v>
      </c>
      <c r="Q476" s="43">
        <v>0</v>
      </c>
      <c r="R476" s="43">
        <v>0</v>
      </c>
      <c r="S476" s="43">
        <v>0</v>
      </c>
      <c r="T476" s="43">
        <v>0</v>
      </c>
      <c r="U476" s="43">
        <v>1117.0500000000029</v>
      </c>
      <c r="V476" s="43">
        <v>0</v>
      </c>
      <c r="W476" s="43">
        <v>0</v>
      </c>
      <c r="X476" s="43">
        <v>0</v>
      </c>
      <c r="Y476" s="43">
        <v>0</v>
      </c>
      <c r="Z476" s="43">
        <v>0</v>
      </c>
      <c r="AA476" s="43">
        <v>0</v>
      </c>
      <c r="AB476" s="43">
        <v>0</v>
      </c>
      <c r="AC476" s="43">
        <v>0</v>
      </c>
      <c r="AD476" s="43">
        <v>0</v>
      </c>
      <c r="AE476" s="43">
        <v>0</v>
      </c>
      <c r="AF476" s="43">
        <v>0</v>
      </c>
      <c r="AG476" s="43">
        <v>0</v>
      </c>
      <c r="AH476" s="43">
        <v>0</v>
      </c>
      <c r="AI476" s="43">
        <v>0</v>
      </c>
      <c r="AJ476" s="43">
        <v>0</v>
      </c>
      <c r="AK476" s="43">
        <v>0</v>
      </c>
      <c r="AL476" s="43">
        <v>0</v>
      </c>
      <c r="AM476" s="43">
        <v>0</v>
      </c>
      <c r="AN476" s="43">
        <v>0</v>
      </c>
      <c r="AO476" s="43">
        <v>0</v>
      </c>
      <c r="AP476" s="43">
        <v>0</v>
      </c>
      <c r="AQ476" s="43">
        <v>0</v>
      </c>
      <c r="AR476" s="43">
        <v>0</v>
      </c>
      <c r="AS476" s="43">
        <v>0</v>
      </c>
      <c r="AT476" s="43">
        <v>0</v>
      </c>
      <c r="AU476" s="43">
        <v>0</v>
      </c>
      <c r="AV476" s="43">
        <v>0</v>
      </c>
      <c r="AW476" s="43">
        <v>0</v>
      </c>
      <c r="AX476" s="43">
        <v>0</v>
      </c>
      <c r="AY476" s="43">
        <v>0</v>
      </c>
      <c r="AZ476" s="43">
        <v>0</v>
      </c>
      <c r="BA476" s="43">
        <v>0</v>
      </c>
      <c r="BB476" s="43">
        <v>0</v>
      </c>
      <c r="BC476" s="43">
        <v>0</v>
      </c>
      <c r="BD476" s="43">
        <v>0</v>
      </c>
      <c r="BE476" s="43">
        <v>0</v>
      </c>
      <c r="BF476" s="43">
        <v>0</v>
      </c>
    </row>
    <row r="477" spans="1:58" ht="14.15" customHeight="1">
      <c r="A477" s="404">
        <f t="shared" si="1159"/>
        <v>471</v>
      </c>
      <c r="B477" s="22" t="s">
        <v>296</v>
      </c>
      <c r="C477" s="38">
        <f t="shared" si="1172"/>
        <v>0</v>
      </c>
      <c r="D477" s="43">
        <v>0</v>
      </c>
      <c r="E477" s="43">
        <v>0</v>
      </c>
      <c r="F477" s="43">
        <v>0</v>
      </c>
      <c r="G477" s="43">
        <v>0</v>
      </c>
      <c r="H477" s="43">
        <v>0</v>
      </c>
      <c r="I477" s="43">
        <v>0</v>
      </c>
      <c r="J477" s="43">
        <v>0</v>
      </c>
      <c r="K477" s="43">
        <v>0</v>
      </c>
      <c r="L477" s="43">
        <v>0</v>
      </c>
      <c r="M477" s="43">
        <v>0</v>
      </c>
      <c r="N477" s="43">
        <v>0</v>
      </c>
      <c r="O477" s="43">
        <v>0</v>
      </c>
      <c r="P477" s="43">
        <v>0</v>
      </c>
      <c r="Q477" s="43">
        <v>0</v>
      </c>
      <c r="R477" s="43">
        <v>0</v>
      </c>
      <c r="S477" s="43">
        <v>0</v>
      </c>
      <c r="T477" s="43">
        <v>0</v>
      </c>
      <c r="U477" s="43">
        <v>0</v>
      </c>
      <c r="V477" s="43">
        <v>0</v>
      </c>
      <c r="W477" s="43">
        <v>0</v>
      </c>
      <c r="X477" s="43">
        <v>0</v>
      </c>
      <c r="Y477" s="43">
        <v>0</v>
      </c>
      <c r="Z477" s="43">
        <v>0</v>
      </c>
      <c r="AA477" s="43">
        <v>0</v>
      </c>
      <c r="AB477" s="43">
        <v>0</v>
      </c>
      <c r="AC477" s="43">
        <v>0</v>
      </c>
      <c r="AD477" s="43">
        <v>0</v>
      </c>
      <c r="AE477" s="43">
        <v>0</v>
      </c>
      <c r="AF477" s="43">
        <v>0</v>
      </c>
      <c r="AG477" s="43">
        <v>0</v>
      </c>
      <c r="AH477" s="43">
        <v>0</v>
      </c>
      <c r="AI477" s="43">
        <v>0</v>
      </c>
      <c r="AJ477" s="43">
        <v>0</v>
      </c>
      <c r="AK477" s="43">
        <v>0</v>
      </c>
      <c r="AL477" s="43">
        <v>0</v>
      </c>
      <c r="AM477" s="43">
        <v>0</v>
      </c>
      <c r="AN477" s="43">
        <v>0</v>
      </c>
      <c r="AO477" s="43">
        <v>0</v>
      </c>
      <c r="AP477" s="43">
        <v>0</v>
      </c>
      <c r="AQ477" s="43">
        <v>0</v>
      </c>
      <c r="AR477" s="43">
        <v>0</v>
      </c>
      <c r="AS477" s="43">
        <v>0</v>
      </c>
      <c r="AT477" s="43">
        <v>0</v>
      </c>
      <c r="AU477" s="43">
        <v>0</v>
      </c>
      <c r="AV477" s="43">
        <v>0</v>
      </c>
      <c r="AW477" s="43">
        <v>0</v>
      </c>
      <c r="AX477" s="43">
        <v>0</v>
      </c>
      <c r="AY477" s="43">
        <v>0</v>
      </c>
      <c r="AZ477" s="43">
        <v>0</v>
      </c>
      <c r="BA477" s="43">
        <v>0</v>
      </c>
      <c r="BB477" s="43">
        <v>0</v>
      </c>
      <c r="BC477" s="43">
        <v>0</v>
      </c>
      <c r="BD477" s="43">
        <v>0</v>
      </c>
      <c r="BE477" s="43">
        <v>0</v>
      </c>
      <c r="BF477" s="43">
        <v>0</v>
      </c>
    </row>
    <row r="478" spans="1:58" ht="14.15" customHeight="1">
      <c r="A478" s="404">
        <f t="shared" si="1159"/>
        <v>472</v>
      </c>
      <c r="B478" s="22" t="s">
        <v>743</v>
      </c>
      <c r="C478" s="38">
        <f t="shared" si="1172"/>
        <v>1272655.7300000004</v>
      </c>
      <c r="D478" s="43">
        <v>0</v>
      </c>
      <c r="E478" s="43">
        <v>0</v>
      </c>
      <c r="F478" s="43">
        <v>0</v>
      </c>
      <c r="G478" s="43">
        <v>0</v>
      </c>
      <c r="H478" s="43">
        <v>0</v>
      </c>
      <c r="I478" s="43">
        <v>0</v>
      </c>
      <c r="J478" s="43">
        <v>0</v>
      </c>
      <c r="K478" s="43">
        <v>0</v>
      </c>
      <c r="L478" s="43">
        <v>0</v>
      </c>
      <c r="M478" s="43">
        <v>0</v>
      </c>
      <c r="N478" s="43">
        <v>0</v>
      </c>
      <c r="O478" s="43">
        <v>0</v>
      </c>
      <c r="P478" s="43">
        <v>0</v>
      </c>
      <c r="Q478" s="43">
        <v>0</v>
      </c>
      <c r="R478" s="43">
        <v>0</v>
      </c>
      <c r="S478" s="43">
        <v>0</v>
      </c>
      <c r="T478" s="43">
        <v>0</v>
      </c>
      <c r="U478" s="43">
        <v>82130.730000000447</v>
      </c>
      <c r="V478" s="43">
        <v>0</v>
      </c>
      <c r="W478" s="43">
        <v>0</v>
      </c>
      <c r="X478" s="43">
        <v>0</v>
      </c>
      <c r="Y478" s="43">
        <v>0</v>
      </c>
      <c r="Z478" s="43">
        <v>0</v>
      </c>
      <c r="AA478" s="43">
        <v>0</v>
      </c>
      <c r="AB478" s="43">
        <v>0</v>
      </c>
      <c r="AC478" s="43">
        <v>0</v>
      </c>
      <c r="AD478" s="43">
        <v>0</v>
      </c>
      <c r="AE478" s="43">
        <v>0</v>
      </c>
      <c r="AF478" s="43">
        <v>0</v>
      </c>
      <c r="AG478" s="43">
        <v>0</v>
      </c>
      <c r="AH478" s="43">
        <v>0</v>
      </c>
      <c r="AI478" s="43">
        <v>0</v>
      </c>
      <c r="AJ478" s="43">
        <v>0</v>
      </c>
      <c r="AK478" s="43">
        <v>0</v>
      </c>
      <c r="AL478" s="43">
        <v>0</v>
      </c>
      <c r="AM478" s="43">
        <v>0</v>
      </c>
      <c r="AN478" s="43">
        <v>0</v>
      </c>
      <c r="AO478" s="43">
        <v>0</v>
      </c>
      <c r="AP478" s="43">
        <v>1190525</v>
      </c>
      <c r="AQ478" s="43">
        <v>0</v>
      </c>
      <c r="AR478" s="43">
        <v>0</v>
      </c>
      <c r="AS478" s="43">
        <v>0</v>
      </c>
      <c r="AT478" s="43">
        <v>0</v>
      </c>
      <c r="AU478" s="43">
        <v>0</v>
      </c>
      <c r="AV478" s="43">
        <v>0</v>
      </c>
      <c r="AW478" s="43">
        <v>0</v>
      </c>
      <c r="AX478" s="43">
        <v>0</v>
      </c>
      <c r="AY478" s="43">
        <v>0</v>
      </c>
      <c r="AZ478" s="43">
        <v>0</v>
      </c>
      <c r="BA478" s="43">
        <v>0</v>
      </c>
      <c r="BB478" s="43">
        <v>0</v>
      </c>
      <c r="BC478" s="43">
        <v>0</v>
      </c>
      <c r="BD478" s="43">
        <v>0</v>
      </c>
      <c r="BE478" s="43">
        <v>0</v>
      </c>
      <c r="BF478" s="43">
        <v>0</v>
      </c>
    </row>
    <row r="479" spans="1:58" ht="13.5" customHeight="1">
      <c r="A479" s="404">
        <f t="shared" si="1159"/>
        <v>473</v>
      </c>
      <c r="B479" s="22" t="s">
        <v>1150</v>
      </c>
      <c r="C479" s="38">
        <f t="shared" si="1172"/>
        <v>-0.36999999999898137</v>
      </c>
      <c r="D479" s="43">
        <v>0</v>
      </c>
      <c r="E479" s="43">
        <v>0</v>
      </c>
      <c r="F479" s="43">
        <v>0</v>
      </c>
      <c r="G479" s="43">
        <v>0</v>
      </c>
      <c r="H479" s="43">
        <v>0</v>
      </c>
      <c r="I479" s="43">
        <v>0</v>
      </c>
      <c r="J479" s="43">
        <v>0</v>
      </c>
      <c r="K479" s="43">
        <v>0</v>
      </c>
      <c r="L479" s="43">
        <v>0</v>
      </c>
      <c r="M479" s="43">
        <v>0</v>
      </c>
      <c r="N479" s="43">
        <v>0</v>
      </c>
      <c r="O479" s="43">
        <v>0</v>
      </c>
      <c r="P479" s="43">
        <v>0</v>
      </c>
      <c r="Q479" s="43">
        <v>0</v>
      </c>
      <c r="R479" s="43">
        <v>0</v>
      </c>
      <c r="S479" s="43">
        <v>0</v>
      </c>
      <c r="T479" s="43">
        <v>0</v>
      </c>
      <c r="U479" s="43">
        <v>-0.36999999999898137</v>
      </c>
      <c r="V479" s="43">
        <v>0</v>
      </c>
      <c r="W479" s="43">
        <v>0</v>
      </c>
      <c r="X479" s="43">
        <v>0</v>
      </c>
      <c r="Y479" s="43">
        <v>0</v>
      </c>
      <c r="Z479" s="43">
        <v>0</v>
      </c>
      <c r="AA479" s="43">
        <v>0</v>
      </c>
      <c r="AB479" s="43">
        <v>0</v>
      </c>
      <c r="AC479" s="43">
        <v>0</v>
      </c>
      <c r="AD479" s="43">
        <v>0</v>
      </c>
      <c r="AE479" s="43">
        <v>0</v>
      </c>
      <c r="AF479" s="43">
        <v>0</v>
      </c>
      <c r="AG479" s="43">
        <v>0</v>
      </c>
      <c r="AH479" s="43">
        <v>0</v>
      </c>
      <c r="AI479" s="43">
        <v>0</v>
      </c>
      <c r="AJ479" s="43">
        <v>0</v>
      </c>
      <c r="AK479" s="43">
        <v>0</v>
      </c>
      <c r="AL479" s="43">
        <v>0</v>
      </c>
      <c r="AM479" s="43">
        <v>0</v>
      </c>
      <c r="AN479" s="43">
        <v>0</v>
      </c>
      <c r="AO479" s="43">
        <v>0</v>
      </c>
      <c r="AP479" s="43">
        <v>0</v>
      </c>
      <c r="AQ479" s="43">
        <v>0</v>
      </c>
      <c r="AR479" s="43">
        <v>0</v>
      </c>
      <c r="AS479" s="43">
        <v>0</v>
      </c>
      <c r="AT479" s="43">
        <v>0</v>
      </c>
      <c r="AU479" s="43">
        <v>0</v>
      </c>
      <c r="AV479" s="43">
        <v>0</v>
      </c>
      <c r="AW479" s="43">
        <v>0</v>
      </c>
      <c r="AX479" s="43">
        <v>0</v>
      </c>
      <c r="AY479" s="43">
        <v>0</v>
      </c>
      <c r="AZ479" s="43">
        <v>0</v>
      </c>
      <c r="BA479" s="43">
        <v>0</v>
      </c>
      <c r="BB479" s="43">
        <v>0</v>
      </c>
      <c r="BC479" s="43">
        <v>0</v>
      </c>
      <c r="BD479" s="43">
        <v>0</v>
      </c>
      <c r="BE479" s="43">
        <v>0</v>
      </c>
      <c r="BF479" s="43">
        <v>0</v>
      </c>
    </row>
    <row r="480" spans="1:58" ht="13.5" customHeight="1">
      <c r="A480" s="404">
        <f t="shared" si="1159"/>
        <v>474</v>
      </c>
      <c r="B480" s="22" t="s">
        <v>297</v>
      </c>
      <c r="C480" s="38">
        <f t="shared" si="1172"/>
        <v>0</v>
      </c>
      <c r="D480" s="43">
        <v>0</v>
      </c>
      <c r="E480" s="43">
        <v>0</v>
      </c>
      <c r="F480" s="43">
        <v>0</v>
      </c>
      <c r="G480" s="43">
        <v>0</v>
      </c>
      <c r="H480" s="43">
        <v>0</v>
      </c>
      <c r="I480" s="43">
        <v>0</v>
      </c>
      <c r="J480" s="43">
        <v>0</v>
      </c>
      <c r="K480" s="43">
        <v>0</v>
      </c>
      <c r="L480" s="43">
        <v>0</v>
      </c>
      <c r="M480" s="43">
        <v>0</v>
      </c>
      <c r="N480" s="43">
        <v>0</v>
      </c>
      <c r="O480" s="43">
        <v>0</v>
      </c>
      <c r="P480" s="43">
        <v>0</v>
      </c>
      <c r="Q480" s="43">
        <v>0</v>
      </c>
      <c r="R480" s="43">
        <v>0</v>
      </c>
      <c r="S480" s="43">
        <v>0</v>
      </c>
      <c r="T480" s="43">
        <v>0</v>
      </c>
      <c r="U480" s="43">
        <v>0</v>
      </c>
      <c r="V480" s="43">
        <v>0</v>
      </c>
      <c r="W480" s="43">
        <v>0</v>
      </c>
      <c r="X480" s="43">
        <v>0</v>
      </c>
      <c r="Y480" s="43">
        <v>0</v>
      </c>
      <c r="Z480" s="43">
        <v>0</v>
      </c>
      <c r="AA480" s="43">
        <v>0</v>
      </c>
      <c r="AB480" s="43">
        <v>0</v>
      </c>
      <c r="AC480" s="43">
        <v>0</v>
      </c>
      <c r="AD480" s="43">
        <v>0</v>
      </c>
      <c r="AE480" s="43">
        <v>0</v>
      </c>
      <c r="AF480" s="43">
        <v>0</v>
      </c>
      <c r="AG480" s="43">
        <v>0</v>
      </c>
      <c r="AH480" s="43">
        <v>0</v>
      </c>
      <c r="AI480" s="43">
        <v>0</v>
      </c>
      <c r="AJ480" s="43">
        <v>0</v>
      </c>
      <c r="AK480" s="43">
        <v>0</v>
      </c>
      <c r="AL480" s="43">
        <v>0</v>
      </c>
      <c r="AM480" s="43">
        <v>0</v>
      </c>
      <c r="AN480" s="43">
        <v>0</v>
      </c>
      <c r="AO480" s="43">
        <v>0</v>
      </c>
      <c r="AP480" s="43">
        <v>0</v>
      </c>
      <c r="AQ480" s="43">
        <v>0</v>
      </c>
      <c r="AR480" s="43">
        <v>0</v>
      </c>
      <c r="AS480" s="43">
        <v>0</v>
      </c>
      <c r="AT480" s="43">
        <v>0</v>
      </c>
      <c r="AU480" s="43">
        <v>0</v>
      </c>
      <c r="AV480" s="43">
        <v>0</v>
      </c>
      <c r="AW480" s="43">
        <v>0</v>
      </c>
      <c r="AX480" s="43">
        <v>0</v>
      </c>
      <c r="AY480" s="43">
        <v>0</v>
      </c>
      <c r="AZ480" s="43">
        <v>0</v>
      </c>
      <c r="BA480" s="43">
        <v>0</v>
      </c>
      <c r="BB480" s="43">
        <v>0</v>
      </c>
      <c r="BC480" s="43">
        <v>0</v>
      </c>
      <c r="BD480" s="43">
        <v>0</v>
      </c>
      <c r="BE480" s="43">
        <v>0</v>
      </c>
      <c r="BF480" s="43">
        <v>0</v>
      </c>
    </row>
    <row r="481" spans="1:58" ht="14.15" customHeight="1">
      <c r="A481" s="404">
        <f t="shared" si="1159"/>
        <v>475</v>
      </c>
      <c r="B481" s="22" t="s">
        <v>298</v>
      </c>
      <c r="C481" s="38">
        <f t="shared" si="1172"/>
        <v>131.96999999999935</v>
      </c>
      <c r="D481" s="43">
        <v>0</v>
      </c>
      <c r="E481" s="43">
        <v>0</v>
      </c>
      <c r="F481" s="43">
        <v>0</v>
      </c>
      <c r="G481" s="43">
        <v>0</v>
      </c>
      <c r="H481" s="43">
        <v>0</v>
      </c>
      <c r="I481" s="43">
        <v>0</v>
      </c>
      <c r="J481" s="43">
        <v>0</v>
      </c>
      <c r="K481" s="43">
        <v>0</v>
      </c>
      <c r="L481" s="43">
        <v>0</v>
      </c>
      <c r="M481" s="43">
        <v>0</v>
      </c>
      <c r="N481" s="43">
        <v>0</v>
      </c>
      <c r="O481" s="43">
        <v>0</v>
      </c>
      <c r="P481" s="43">
        <v>0</v>
      </c>
      <c r="Q481" s="43">
        <v>0</v>
      </c>
      <c r="R481" s="43">
        <v>0</v>
      </c>
      <c r="S481" s="43">
        <v>0</v>
      </c>
      <c r="T481" s="43">
        <v>0</v>
      </c>
      <c r="U481" s="43">
        <v>131.96999999999935</v>
      </c>
      <c r="V481" s="43">
        <v>0</v>
      </c>
      <c r="W481" s="43">
        <v>0</v>
      </c>
      <c r="X481" s="43">
        <v>0</v>
      </c>
      <c r="Y481" s="43">
        <v>0</v>
      </c>
      <c r="Z481" s="43">
        <v>0</v>
      </c>
      <c r="AA481" s="43">
        <v>0</v>
      </c>
      <c r="AB481" s="43">
        <v>0</v>
      </c>
      <c r="AC481" s="43">
        <v>0</v>
      </c>
      <c r="AD481" s="43">
        <v>0</v>
      </c>
      <c r="AE481" s="43">
        <v>0</v>
      </c>
      <c r="AF481" s="43">
        <v>0</v>
      </c>
      <c r="AG481" s="43">
        <v>0</v>
      </c>
      <c r="AH481" s="43">
        <v>0</v>
      </c>
      <c r="AI481" s="43">
        <v>0</v>
      </c>
      <c r="AJ481" s="43">
        <v>0</v>
      </c>
      <c r="AK481" s="43">
        <v>0</v>
      </c>
      <c r="AL481" s="43">
        <v>0</v>
      </c>
      <c r="AM481" s="43">
        <v>0</v>
      </c>
      <c r="AN481" s="43">
        <v>0</v>
      </c>
      <c r="AO481" s="43">
        <v>0</v>
      </c>
      <c r="AP481" s="43">
        <v>0</v>
      </c>
      <c r="AQ481" s="43">
        <v>0</v>
      </c>
      <c r="AR481" s="43">
        <v>0</v>
      </c>
      <c r="AS481" s="43">
        <v>0</v>
      </c>
      <c r="AT481" s="43">
        <v>0</v>
      </c>
      <c r="AU481" s="43">
        <v>0</v>
      </c>
      <c r="AV481" s="43">
        <v>0</v>
      </c>
      <c r="AW481" s="43">
        <v>0</v>
      </c>
      <c r="AX481" s="43">
        <v>0</v>
      </c>
      <c r="AY481" s="43">
        <v>0</v>
      </c>
      <c r="AZ481" s="43">
        <v>0</v>
      </c>
      <c r="BA481" s="43">
        <v>0</v>
      </c>
      <c r="BB481" s="43">
        <v>0</v>
      </c>
      <c r="BC481" s="43">
        <v>0</v>
      </c>
      <c r="BD481" s="43">
        <v>0</v>
      </c>
      <c r="BE481" s="43">
        <v>0</v>
      </c>
      <c r="BF481" s="43">
        <v>0</v>
      </c>
    </row>
    <row r="482" spans="1:58" ht="14.15" customHeight="1">
      <c r="A482" s="404">
        <f t="shared" si="1159"/>
        <v>476</v>
      </c>
      <c r="B482" s="56" t="s">
        <v>299</v>
      </c>
      <c r="C482" s="38">
        <f t="shared" si="1172"/>
        <v>2121.3000000000466</v>
      </c>
      <c r="D482" s="43">
        <v>0</v>
      </c>
      <c r="E482" s="43">
        <v>0</v>
      </c>
      <c r="F482" s="43">
        <v>0</v>
      </c>
      <c r="G482" s="43">
        <v>0</v>
      </c>
      <c r="H482" s="43">
        <v>0</v>
      </c>
      <c r="I482" s="43">
        <v>0</v>
      </c>
      <c r="J482" s="43">
        <v>0</v>
      </c>
      <c r="K482" s="43">
        <v>0</v>
      </c>
      <c r="L482" s="43">
        <v>0</v>
      </c>
      <c r="M482" s="43">
        <v>0</v>
      </c>
      <c r="N482" s="43">
        <v>0</v>
      </c>
      <c r="O482" s="43">
        <v>0</v>
      </c>
      <c r="P482" s="43">
        <v>0</v>
      </c>
      <c r="Q482" s="43">
        <v>0</v>
      </c>
      <c r="R482" s="43">
        <v>0</v>
      </c>
      <c r="S482" s="43">
        <v>0</v>
      </c>
      <c r="T482" s="43">
        <v>0</v>
      </c>
      <c r="U482" s="43">
        <v>2121.3000000000466</v>
      </c>
      <c r="V482" s="43">
        <v>0</v>
      </c>
      <c r="W482" s="43">
        <v>0</v>
      </c>
      <c r="X482" s="43">
        <v>0</v>
      </c>
      <c r="Y482" s="43">
        <v>0</v>
      </c>
      <c r="Z482" s="43">
        <v>0</v>
      </c>
      <c r="AA482" s="43">
        <v>0</v>
      </c>
      <c r="AB482" s="43">
        <v>0</v>
      </c>
      <c r="AC482" s="43">
        <v>0</v>
      </c>
      <c r="AD482" s="43">
        <v>0</v>
      </c>
      <c r="AE482" s="43">
        <v>0</v>
      </c>
      <c r="AF482" s="43">
        <v>0</v>
      </c>
      <c r="AG482" s="43">
        <v>0</v>
      </c>
      <c r="AH482" s="43">
        <v>0</v>
      </c>
      <c r="AI482" s="43">
        <v>0</v>
      </c>
      <c r="AJ482" s="43">
        <v>0</v>
      </c>
      <c r="AK482" s="43">
        <v>0</v>
      </c>
      <c r="AL482" s="43">
        <v>0</v>
      </c>
      <c r="AM482" s="43">
        <v>0</v>
      </c>
      <c r="AN482" s="43">
        <v>0</v>
      </c>
      <c r="AO482" s="43">
        <v>0</v>
      </c>
      <c r="AP482" s="43">
        <v>0</v>
      </c>
      <c r="AQ482" s="43">
        <v>0</v>
      </c>
      <c r="AR482" s="43">
        <v>0</v>
      </c>
      <c r="AS482" s="43">
        <v>0</v>
      </c>
      <c r="AT482" s="43">
        <v>0</v>
      </c>
      <c r="AU482" s="43">
        <v>0</v>
      </c>
      <c r="AV482" s="43">
        <v>0</v>
      </c>
      <c r="AW482" s="43">
        <v>0</v>
      </c>
      <c r="AX482" s="43">
        <v>0</v>
      </c>
      <c r="AY482" s="43">
        <v>0</v>
      </c>
      <c r="AZ482" s="43">
        <v>0</v>
      </c>
      <c r="BA482" s="43">
        <v>0</v>
      </c>
      <c r="BB482" s="43">
        <v>0</v>
      </c>
      <c r="BC482" s="43">
        <v>0</v>
      </c>
      <c r="BD482" s="43">
        <v>0</v>
      </c>
      <c r="BE482" s="43">
        <v>0</v>
      </c>
      <c r="BF482" s="43">
        <v>0</v>
      </c>
    </row>
    <row r="483" spans="1:58" ht="14.15" customHeight="1">
      <c r="A483" s="404">
        <f t="shared" si="1159"/>
        <v>477</v>
      </c>
      <c r="B483" s="20" t="s">
        <v>504</v>
      </c>
      <c r="C483" s="80">
        <f t="shared" ref="C483:V483" si="1173">SUM(C471:C482)</f>
        <v>5888215.6612645462</v>
      </c>
      <c r="D483" s="80">
        <f t="shared" ref="D483:I483" si="1174">SUM(D471:D482)</f>
        <v>0</v>
      </c>
      <c r="E483" s="80">
        <f t="shared" si="1174"/>
        <v>0</v>
      </c>
      <c r="F483" s="80">
        <f t="shared" si="1174"/>
        <v>0</v>
      </c>
      <c r="G483" s="80">
        <f t="shared" si="1174"/>
        <v>0</v>
      </c>
      <c r="H483" s="80">
        <f t="shared" si="1174"/>
        <v>0</v>
      </c>
      <c r="I483" s="80">
        <f t="shared" si="1174"/>
        <v>0</v>
      </c>
      <c r="J483" s="80">
        <f t="shared" si="1173"/>
        <v>0</v>
      </c>
      <c r="K483" s="80">
        <f t="shared" ref="K483:U483" si="1175">SUM(K471:K482)</f>
        <v>0</v>
      </c>
      <c r="L483" s="80">
        <f t="shared" si="1175"/>
        <v>0</v>
      </c>
      <c r="M483" s="80">
        <f t="shared" si="1175"/>
        <v>0</v>
      </c>
      <c r="N483" s="80">
        <f t="shared" si="1175"/>
        <v>0</v>
      </c>
      <c r="O483" s="80">
        <f t="shared" si="1175"/>
        <v>0</v>
      </c>
      <c r="P483" s="80">
        <f t="shared" si="1175"/>
        <v>0</v>
      </c>
      <c r="Q483" s="80">
        <f t="shared" si="1175"/>
        <v>0</v>
      </c>
      <c r="R483" s="80">
        <f t="shared" si="1175"/>
        <v>0</v>
      </c>
      <c r="S483" s="80">
        <f t="shared" si="1175"/>
        <v>0</v>
      </c>
      <c r="T483" s="80">
        <f t="shared" si="1175"/>
        <v>0</v>
      </c>
      <c r="U483" s="80">
        <f t="shared" si="1175"/>
        <v>376559.890000001</v>
      </c>
      <c r="V483" s="80">
        <f t="shared" si="1173"/>
        <v>-188833</v>
      </c>
      <c r="W483" s="80">
        <f>SUM(W471:W482)</f>
        <v>0</v>
      </c>
      <c r="X483" s="80">
        <f t="shared" ref="X483:AD483" si="1176">SUM(X471:X482)</f>
        <v>0</v>
      </c>
      <c r="Y483" s="80">
        <f>SUM(Y471:Y482)</f>
        <v>0</v>
      </c>
      <c r="Z483" s="80">
        <f t="shared" si="1176"/>
        <v>0</v>
      </c>
      <c r="AA483" s="80">
        <f t="shared" si="1176"/>
        <v>0</v>
      </c>
      <c r="AB483" s="80">
        <f t="shared" si="1176"/>
        <v>0</v>
      </c>
      <c r="AC483" s="80">
        <f t="shared" si="1176"/>
        <v>0</v>
      </c>
      <c r="AD483" s="80">
        <f t="shared" si="1176"/>
        <v>0</v>
      </c>
      <c r="AE483" s="80">
        <f>SUM(AE471:AE482)</f>
        <v>0</v>
      </c>
      <c r="AF483" s="80">
        <f>SUM(AF471:AF482)</f>
        <v>0</v>
      </c>
      <c r="AG483" s="80">
        <f>SUM(AG471:AG482)</f>
        <v>247150.41459788004</v>
      </c>
      <c r="AH483" s="80">
        <f t="shared" ref="AH483" si="1177">SUM(AH471:AH482)</f>
        <v>0</v>
      </c>
      <c r="AI483" s="80">
        <f t="shared" ref="AI483:AL483" si="1178">SUM(AI471:AI482)</f>
        <v>0</v>
      </c>
      <c r="AJ483" s="80">
        <f t="shared" si="1178"/>
        <v>0</v>
      </c>
      <c r="AK483" s="80">
        <f t="shared" si="1178"/>
        <v>0</v>
      </c>
      <c r="AL483" s="80">
        <f t="shared" si="1178"/>
        <v>0</v>
      </c>
      <c r="AM483" s="80">
        <f>SUM(AM471:AM482)</f>
        <v>0</v>
      </c>
      <c r="AN483" s="80">
        <f>SUM(AN471:AN482)</f>
        <v>4262813.3566666655</v>
      </c>
      <c r="AO483" s="80">
        <f>SUM(AO471:AO482)</f>
        <v>0</v>
      </c>
      <c r="AP483" s="80">
        <f>SUM(AP471:AP482)</f>
        <v>1190525</v>
      </c>
      <c r="AQ483" s="80">
        <f>SUM(AQ471:AQ482)</f>
        <v>0</v>
      </c>
      <c r="AR483" s="80">
        <f t="shared" ref="AR483" si="1179">SUM(AR471:AR482)</f>
        <v>0</v>
      </c>
      <c r="AS483" s="80">
        <f>SUM(AS471:AS482)</f>
        <v>0</v>
      </c>
      <c r="AT483" s="80">
        <f t="shared" ref="AT483" si="1180">SUM(AT471:AT482)</f>
        <v>0</v>
      </c>
      <c r="AU483" s="80">
        <f t="shared" ref="AU483" si="1181">SUM(AU471:AU482)</f>
        <v>0</v>
      </c>
      <c r="AV483" s="80">
        <f t="shared" ref="AV483" si="1182">SUM(AV471:AV482)</f>
        <v>0</v>
      </c>
      <c r="AW483" s="80">
        <f>SUM(AW471:AW482)</f>
        <v>0</v>
      </c>
      <c r="AX483" s="80">
        <f t="shared" ref="AX483" si="1183">SUM(AX471:AX482)</f>
        <v>0</v>
      </c>
      <c r="AY483" s="80">
        <f t="shared" ref="AY483:BF483" si="1184">SUM(AY471:AY482)</f>
        <v>0</v>
      </c>
      <c r="AZ483" s="80">
        <f t="shared" si="1184"/>
        <v>0</v>
      </c>
      <c r="BA483" s="80">
        <f t="shared" si="1184"/>
        <v>0</v>
      </c>
      <c r="BB483" s="80">
        <f t="shared" si="1184"/>
        <v>0</v>
      </c>
      <c r="BC483" s="80">
        <f t="shared" si="1184"/>
        <v>0</v>
      </c>
      <c r="BD483" s="80">
        <f t="shared" si="1184"/>
        <v>0</v>
      </c>
      <c r="BE483" s="80">
        <f t="shared" si="1184"/>
        <v>0</v>
      </c>
      <c r="BF483" s="80">
        <f t="shared" si="1184"/>
        <v>0</v>
      </c>
    </row>
    <row r="484" spans="1:58" ht="14.15" customHeight="1">
      <c r="A484" s="404">
        <f t="shared" si="1159"/>
        <v>478</v>
      </c>
      <c r="B484" s="20"/>
      <c r="C484" s="20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</row>
    <row r="485" spans="1:58" ht="13.5" customHeight="1">
      <c r="A485" s="404">
        <f t="shared" si="1159"/>
        <v>479</v>
      </c>
      <c r="B485" s="22" t="s">
        <v>755</v>
      </c>
      <c r="C485" s="38">
        <f t="shared" ref="C485:C500" si="1185">SUM(D485:BF485)</f>
        <v>-3948965.8600000003</v>
      </c>
      <c r="D485" s="43">
        <v>0</v>
      </c>
      <c r="E485" s="43">
        <v>0</v>
      </c>
      <c r="F485" s="43">
        <v>0</v>
      </c>
      <c r="G485" s="43">
        <v>0</v>
      </c>
      <c r="H485" s="43">
        <v>0</v>
      </c>
      <c r="I485" s="43">
        <v>0</v>
      </c>
      <c r="J485" s="43">
        <v>0</v>
      </c>
      <c r="K485" s="43">
        <v>0</v>
      </c>
      <c r="L485" s="43">
        <v>0</v>
      </c>
      <c r="M485" s="43">
        <v>0</v>
      </c>
      <c r="N485" s="43">
        <v>0</v>
      </c>
      <c r="O485" s="43">
        <v>0</v>
      </c>
      <c r="P485" s="43">
        <v>0</v>
      </c>
      <c r="Q485" s="43">
        <v>0</v>
      </c>
      <c r="R485" s="43">
        <v>0</v>
      </c>
      <c r="S485" s="43">
        <v>0</v>
      </c>
      <c r="T485" s="43">
        <v>0</v>
      </c>
      <c r="U485" s="43">
        <v>-8515.8600000001024</v>
      </c>
      <c r="V485" s="43">
        <v>0</v>
      </c>
      <c r="W485" s="43">
        <v>0</v>
      </c>
      <c r="X485" s="43">
        <v>0</v>
      </c>
      <c r="Y485" s="43">
        <v>0</v>
      </c>
      <c r="Z485" s="43">
        <v>0</v>
      </c>
      <c r="AA485" s="43">
        <v>0</v>
      </c>
      <c r="AB485" s="43">
        <v>0</v>
      </c>
      <c r="AC485" s="43">
        <v>0</v>
      </c>
      <c r="AD485" s="43">
        <v>0</v>
      </c>
      <c r="AE485" s="43">
        <v>0</v>
      </c>
      <c r="AF485" s="43">
        <v>0</v>
      </c>
      <c r="AG485" s="43">
        <v>0</v>
      </c>
      <c r="AH485" s="43">
        <v>0</v>
      </c>
      <c r="AI485" s="43">
        <v>0</v>
      </c>
      <c r="AJ485" s="43">
        <v>0</v>
      </c>
      <c r="AK485" s="43">
        <v>0</v>
      </c>
      <c r="AL485" s="43">
        <v>0</v>
      </c>
      <c r="AM485" s="43">
        <v>-3940450</v>
      </c>
      <c r="AN485" s="43">
        <v>0</v>
      </c>
      <c r="AO485" s="43">
        <v>0</v>
      </c>
      <c r="AP485" s="43">
        <v>0</v>
      </c>
      <c r="AQ485" s="43">
        <v>0</v>
      </c>
      <c r="AR485" s="43">
        <v>0</v>
      </c>
      <c r="AS485" s="43">
        <v>0</v>
      </c>
      <c r="AT485" s="43">
        <v>0</v>
      </c>
      <c r="AU485" s="43">
        <v>0</v>
      </c>
      <c r="AV485" s="43">
        <v>0</v>
      </c>
      <c r="AW485" s="43">
        <v>0</v>
      </c>
      <c r="AX485" s="43">
        <v>0</v>
      </c>
      <c r="AY485" s="43">
        <v>0</v>
      </c>
      <c r="AZ485" s="43">
        <v>0</v>
      </c>
      <c r="BA485" s="43">
        <v>0</v>
      </c>
      <c r="BB485" s="43">
        <v>0</v>
      </c>
      <c r="BC485" s="43">
        <v>0</v>
      </c>
      <c r="BD485" s="43">
        <v>0</v>
      </c>
      <c r="BE485" s="43">
        <v>0</v>
      </c>
      <c r="BF485" s="43">
        <v>0</v>
      </c>
    </row>
    <row r="486" spans="1:58" ht="13.5" customHeight="1">
      <c r="A486" s="404">
        <f t="shared" si="1159"/>
        <v>480</v>
      </c>
      <c r="B486" s="22" t="s">
        <v>756</v>
      </c>
      <c r="C486" s="38">
        <f t="shared" si="1185"/>
        <v>-57526.129999999888</v>
      </c>
      <c r="D486" s="43">
        <v>0</v>
      </c>
      <c r="E486" s="43">
        <v>0</v>
      </c>
      <c r="F486" s="43">
        <v>0</v>
      </c>
      <c r="G486" s="43">
        <v>0</v>
      </c>
      <c r="H486" s="43">
        <v>0</v>
      </c>
      <c r="I486" s="43">
        <v>0</v>
      </c>
      <c r="J486" s="43">
        <v>0</v>
      </c>
      <c r="K486" s="43">
        <v>0</v>
      </c>
      <c r="L486" s="43">
        <v>0</v>
      </c>
      <c r="M486" s="43">
        <v>0</v>
      </c>
      <c r="N486" s="43">
        <v>0</v>
      </c>
      <c r="O486" s="43">
        <v>0</v>
      </c>
      <c r="P486" s="43">
        <v>0</v>
      </c>
      <c r="Q486" s="43">
        <v>0</v>
      </c>
      <c r="R486" s="43">
        <v>0</v>
      </c>
      <c r="S486" s="43">
        <v>0</v>
      </c>
      <c r="T486" s="43">
        <v>0</v>
      </c>
      <c r="U486" s="43">
        <v>-57526.129999999888</v>
      </c>
      <c r="V486" s="43">
        <v>0</v>
      </c>
      <c r="W486" s="43">
        <v>0</v>
      </c>
      <c r="X486" s="43">
        <v>0</v>
      </c>
      <c r="Y486" s="43">
        <v>0</v>
      </c>
      <c r="Z486" s="43">
        <v>0</v>
      </c>
      <c r="AA486" s="43">
        <v>0</v>
      </c>
      <c r="AB486" s="43">
        <v>0</v>
      </c>
      <c r="AC486" s="43">
        <v>0</v>
      </c>
      <c r="AD486" s="43">
        <v>0</v>
      </c>
      <c r="AE486" s="43">
        <v>0</v>
      </c>
      <c r="AF486" s="43">
        <v>0</v>
      </c>
      <c r="AG486" s="43">
        <v>0</v>
      </c>
      <c r="AH486" s="43">
        <v>0</v>
      </c>
      <c r="AI486" s="43">
        <v>0</v>
      </c>
      <c r="AJ486" s="43">
        <v>0</v>
      </c>
      <c r="AK486" s="43">
        <v>0</v>
      </c>
      <c r="AL486" s="43">
        <v>0</v>
      </c>
      <c r="AM486" s="43">
        <v>0</v>
      </c>
      <c r="AN486" s="43">
        <v>0</v>
      </c>
      <c r="AO486" s="43">
        <v>0</v>
      </c>
      <c r="AP486" s="43">
        <v>0</v>
      </c>
      <c r="AQ486" s="43">
        <v>0</v>
      </c>
      <c r="AR486" s="43">
        <v>0</v>
      </c>
      <c r="AS486" s="43">
        <v>0</v>
      </c>
      <c r="AT486" s="43">
        <v>0</v>
      </c>
      <c r="AU486" s="43">
        <v>0</v>
      </c>
      <c r="AV486" s="43">
        <v>0</v>
      </c>
      <c r="AW486" s="43">
        <v>0</v>
      </c>
      <c r="AX486" s="43">
        <v>0</v>
      </c>
      <c r="AY486" s="43">
        <v>0</v>
      </c>
      <c r="AZ486" s="43">
        <v>0</v>
      </c>
      <c r="BA486" s="43">
        <v>0</v>
      </c>
      <c r="BB486" s="43">
        <v>0</v>
      </c>
      <c r="BC486" s="43">
        <v>0</v>
      </c>
      <c r="BD486" s="43">
        <v>0</v>
      </c>
      <c r="BE486" s="43">
        <v>0</v>
      </c>
      <c r="BF486" s="43">
        <v>0</v>
      </c>
    </row>
    <row r="487" spans="1:58" ht="13.5" customHeight="1">
      <c r="A487" s="404">
        <f t="shared" si="1159"/>
        <v>481</v>
      </c>
      <c r="B487" s="22" t="s">
        <v>757</v>
      </c>
      <c r="C487" s="38">
        <f t="shared" si="1185"/>
        <v>-1363.5200000000186</v>
      </c>
      <c r="D487" s="43">
        <v>0</v>
      </c>
      <c r="E487" s="43">
        <v>0</v>
      </c>
      <c r="F487" s="43">
        <v>0</v>
      </c>
      <c r="G487" s="43">
        <v>0</v>
      </c>
      <c r="H487" s="43">
        <v>0</v>
      </c>
      <c r="I487" s="43">
        <v>0</v>
      </c>
      <c r="J487" s="43">
        <v>0</v>
      </c>
      <c r="K487" s="43">
        <v>0</v>
      </c>
      <c r="L487" s="43">
        <v>0</v>
      </c>
      <c r="M487" s="43">
        <v>0</v>
      </c>
      <c r="N487" s="43">
        <v>0</v>
      </c>
      <c r="O487" s="43">
        <v>0</v>
      </c>
      <c r="P487" s="43">
        <v>0</v>
      </c>
      <c r="Q487" s="43">
        <v>0</v>
      </c>
      <c r="R487" s="43">
        <v>0</v>
      </c>
      <c r="S487" s="43">
        <v>0</v>
      </c>
      <c r="T487" s="43">
        <v>0</v>
      </c>
      <c r="U487" s="43">
        <v>-1363.5200000000186</v>
      </c>
      <c r="V487" s="43">
        <v>0</v>
      </c>
      <c r="W487" s="43">
        <v>0</v>
      </c>
      <c r="X487" s="43">
        <v>0</v>
      </c>
      <c r="Y487" s="43">
        <v>0</v>
      </c>
      <c r="Z487" s="43">
        <v>0</v>
      </c>
      <c r="AA487" s="43">
        <v>0</v>
      </c>
      <c r="AB487" s="43">
        <v>0</v>
      </c>
      <c r="AC487" s="43">
        <v>0</v>
      </c>
      <c r="AD487" s="43">
        <v>0</v>
      </c>
      <c r="AE487" s="43">
        <v>0</v>
      </c>
      <c r="AF487" s="43">
        <v>0</v>
      </c>
      <c r="AG487" s="43">
        <v>0</v>
      </c>
      <c r="AH487" s="43">
        <v>0</v>
      </c>
      <c r="AI487" s="43">
        <v>0</v>
      </c>
      <c r="AJ487" s="43">
        <v>0</v>
      </c>
      <c r="AK487" s="43">
        <v>0</v>
      </c>
      <c r="AL487" s="43">
        <v>0</v>
      </c>
      <c r="AM487" s="43">
        <v>0</v>
      </c>
      <c r="AN487" s="43">
        <v>0</v>
      </c>
      <c r="AO487" s="43">
        <v>0</v>
      </c>
      <c r="AP487" s="43">
        <v>0</v>
      </c>
      <c r="AQ487" s="43">
        <v>0</v>
      </c>
      <c r="AR487" s="43">
        <v>0</v>
      </c>
      <c r="AS487" s="43">
        <v>0</v>
      </c>
      <c r="AT487" s="43">
        <v>0</v>
      </c>
      <c r="AU487" s="43">
        <v>0</v>
      </c>
      <c r="AV487" s="43">
        <v>0</v>
      </c>
      <c r="AW487" s="43">
        <v>0</v>
      </c>
      <c r="AX487" s="43">
        <v>0</v>
      </c>
      <c r="AY487" s="43">
        <v>0</v>
      </c>
      <c r="AZ487" s="43">
        <v>0</v>
      </c>
      <c r="BA487" s="43">
        <v>0</v>
      </c>
      <c r="BB487" s="43">
        <v>0</v>
      </c>
      <c r="BC487" s="43">
        <v>0</v>
      </c>
      <c r="BD487" s="43">
        <v>0</v>
      </c>
      <c r="BE487" s="43">
        <v>0</v>
      </c>
      <c r="BF487" s="43">
        <v>0</v>
      </c>
    </row>
    <row r="488" spans="1:58" ht="13.5" customHeight="1">
      <c r="A488" s="404">
        <f t="shared" si="1159"/>
        <v>482</v>
      </c>
      <c r="B488" s="22" t="s">
        <v>758</v>
      </c>
      <c r="C488" s="38">
        <f t="shared" si="1185"/>
        <v>-2727.5100000000093</v>
      </c>
      <c r="D488" s="43">
        <v>0</v>
      </c>
      <c r="E488" s="43">
        <v>0</v>
      </c>
      <c r="F488" s="43">
        <v>0</v>
      </c>
      <c r="G488" s="43">
        <v>0</v>
      </c>
      <c r="H488" s="43">
        <v>0</v>
      </c>
      <c r="I488" s="43">
        <v>0</v>
      </c>
      <c r="J488" s="43">
        <v>0</v>
      </c>
      <c r="K488" s="43">
        <v>0</v>
      </c>
      <c r="L488" s="43">
        <v>0</v>
      </c>
      <c r="M488" s="43">
        <v>0</v>
      </c>
      <c r="N488" s="43">
        <v>0</v>
      </c>
      <c r="O488" s="43">
        <v>0</v>
      </c>
      <c r="P488" s="43">
        <v>0</v>
      </c>
      <c r="Q488" s="43">
        <v>0</v>
      </c>
      <c r="R488" s="43">
        <v>0</v>
      </c>
      <c r="S488" s="43">
        <v>0</v>
      </c>
      <c r="T488" s="43">
        <v>0</v>
      </c>
      <c r="U488" s="43">
        <v>-2727.5100000000093</v>
      </c>
      <c r="V488" s="43">
        <v>0</v>
      </c>
      <c r="W488" s="43">
        <v>0</v>
      </c>
      <c r="X488" s="43">
        <v>0</v>
      </c>
      <c r="Y488" s="43">
        <v>0</v>
      </c>
      <c r="Z488" s="43">
        <v>0</v>
      </c>
      <c r="AA488" s="43">
        <v>0</v>
      </c>
      <c r="AB488" s="43">
        <v>0</v>
      </c>
      <c r="AC488" s="43">
        <v>0</v>
      </c>
      <c r="AD488" s="43">
        <v>0</v>
      </c>
      <c r="AE488" s="43">
        <v>0</v>
      </c>
      <c r="AF488" s="43">
        <v>0</v>
      </c>
      <c r="AG488" s="43">
        <v>0</v>
      </c>
      <c r="AH488" s="43">
        <v>0</v>
      </c>
      <c r="AI488" s="43">
        <v>0</v>
      </c>
      <c r="AJ488" s="43">
        <v>0</v>
      </c>
      <c r="AK488" s="43">
        <v>0</v>
      </c>
      <c r="AL488" s="43">
        <v>0</v>
      </c>
      <c r="AM488" s="43">
        <v>0</v>
      </c>
      <c r="AN488" s="43">
        <v>0</v>
      </c>
      <c r="AO488" s="43">
        <v>0</v>
      </c>
      <c r="AP488" s="43">
        <v>0</v>
      </c>
      <c r="AQ488" s="43">
        <v>0</v>
      </c>
      <c r="AR488" s="43">
        <v>0</v>
      </c>
      <c r="AS488" s="43">
        <v>0</v>
      </c>
      <c r="AT488" s="43">
        <v>0</v>
      </c>
      <c r="AU488" s="43">
        <v>0</v>
      </c>
      <c r="AV488" s="43">
        <v>0</v>
      </c>
      <c r="AW488" s="43">
        <v>0</v>
      </c>
      <c r="AX488" s="43">
        <v>0</v>
      </c>
      <c r="AY488" s="43">
        <v>0</v>
      </c>
      <c r="AZ488" s="43">
        <v>0</v>
      </c>
      <c r="BA488" s="43">
        <v>0</v>
      </c>
      <c r="BB488" s="43">
        <v>0</v>
      </c>
      <c r="BC488" s="43">
        <v>0</v>
      </c>
      <c r="BD488" s="43">
        <v>0</v>
      </c>
      <c r="BE488" s="43">
        <v>0</v>
      </c>
      <c r="BF488" s="43">
        <v>0</v>
      </c>
    </row>
    <row r="489" spans="1:58" ht="13.5" customHeight="1">
      <c r="A489" s="404">
        <f t="shared" si="1159"/>
        <v>483</v>
      </c>
      <c r="B489" s="22" t="s">
        <v>881</v>
      </c>
      <c r="C489" s="38">
        <f t="shared" si="1185"/>
        <v>-2730.0400000000081</v>
      </c>
      <c r="D489" s="43">
        <v>0</v>
      </c>
      <c r="E489" s="43">
        <v>0</v>
      </c>
      <c r="F489" s="43">
        <v>0</v>
      </c>
      <c r="G489" s="43">
        <v>0</v>
      </c>
      <c r="H489" s="43">
        <v>0</v>
      </c>
      <c r="I489" s="43">
        <v>0</v>
      </c>
      <c r="J489" s="43">
        <v>0</v>
      </c>
      <c r="K489" s="43">
        <v>0</v>
      </c>
      <c r="L489" s="43">
        <v>0</v>
      </c>
      <c r="M489" s="43">
        <v>0</v>
      </c>
      <c r="N489" s="43">
        <v>0</v>
      </c>
      <c r="O489" s="43">
        <v>0</v>
      </c>
      <c r="P489" s="43">
        <v>0</v>
      </c>
      <c r="Q489" s="43">
        <v>0</v>
      </c>
      <c r="R489" s="43">
        <v>0</v>
      </c>
      <c r="S489" s="43">
        <v>0</v>
      </c>
      <c r="T489" s="43">
        <v>0</v>
      </c>
      <c r="U489" s="43">
        <v>-2730.0400000000081</v>
      </c>
      <c r="V489" s="43">
        <v>0</v>
      </c>
      <c r="W489" s="43">
        <v>0</v>
      </c>
      <c r="X489" s="43">
        <v>0</v>
      </c>
      <c r="Y489" s="43">
        <v>0</v>
      </c>
      <c r="Z489" s="43">
        <v>0</v>
      </c>
      <c r="AA489" s="43">
        <v>0</v>
      </c>
      <c r="AB489" s="43">
        <v>0</v>
      </c>
      <c r="AC489" s="43">
        <v>0</v>
      </c>
      <c r="AD489" s="43">
        <v>0</v>
      </c>
      <c r="AE489" s="43">
        <v>0</v>
      </c>
      <c r="AF489" s="43">
        <v>0</v>
      </c>
      <c r="AG489" s="43">
        <v>0</v>
      </c>
      <c r="AH489" s="43">
        <v>0</v>
      </c>
      <c r="AI489" s="43">
        <v>0</v>
      </c>
      <c r="AJ489" s="43">
        <v>0</v>
      </c>
      <c r="AK489" s="43">
        <v>0</v>
      </c>
      <c r="AL489" s="43">
        <v>0</v>
      </c>
      <c r="AM489" s="43">
        <v>0</v>
      </c>
      <c r="AN489" s="43">
        <v>0</v>
      </c>
      <c r="AO489" s="43">
        <v>0</v>
      </c>
      <c r="AP489" s="43">
        <v>0</v>
      </c>
      <c r="AQ489" s="43">
        <v>0</v>
      </c>
      <c r="AR489" s="43">
        <v>0</v>
      </c>
      <c r="AS489" s="43">
        <v>0</v>
      </c>
      <c r="AT489" s="43">
        <v>0</v>
      </c>
      <c r="AU489" s="43">
        <v>0</v>
      </c>
      <c r="AV489" s="43">
        <v>0</v>
      </c>
      <c r="AW489" s="43">
        <v>0</v>
      </c>
      <c r="AX489" s="43">
        <v>0</v>
      </c>
      <c r="AY489" s="43">
        <v>0</v>
      </c>
      <c r="AZ489" s="43">
        <v>0</v>
      </c>
      <c r="BA489" s="43">
        <v>0</v>
      </c>
      <c r="BB489" s="43">
        <v>0</v>
      </c>
      <c r="BC489" s="43">
        <v>0</v>
      </c>
      <c r="BD489" s="43">
        <v>0</v>
      </c>
      <c r="BE489" s="43">
        <v>0</v>
      </c>
      <c r="BF489" s="43">
        <v>0</v>
      </c>
    </row>
    <row r="490" spans="1:58" ht="14.15" customHeight="1">
      <c r="A490" s="404">
        <f t="shared" si="1159"/>
        <v>484</v>
      </c>
      <c r="B490" s="22" t="s">
        <v>300</v>
      </c>
      <c r="C490" s="38">
        <f t="shared" si="1185"/>
        <v>-243878.88847500016</v>
      </c>
      <c r="D490" s="43">
        <v>0</v>
      </c>
      <c r="E490" s="43">
        <v>0</v>
      </c>
      <c r="F490" s="43">
        <v>0</v>
      </c>
      <c r="G490" s="43">
        <v>0</v>
      </c>
      <c r="H490" s="43">
        <v>0</v>
      </c>
      <c r="I490" s="43">
        <v>0</v>
      </c>
      <c r="J490" s="43">
        <v>0</v>
      </c>
      <c r="K490" s="43">
        <v>0</v>
      </c>
      <c r="L490" s="43">
        <v>0</v>
      </c>
      <c r="M490" s="43">
        <v>0</v>
      </c>
      <c r="N490" s="43">
        <v>0</v>
      </c>
      <c r="O490" s="43">
        <v>0</v>
      </c>
      <c r="P490" s="43">
        <v>0</v>
      </c>
      <c r="Q490" s="43">
        <v>0</v>
      </c>
      <c r="R490" s="43">
        <v>0</v>
      </c>
      <c r="S490" s="43">
        <v>0</v>
      </c>
      <c r="T490" s="43">
        <v>0</v>
      </c>
      <c r="U490" s="43">
        <v>0</v>
      </c>
      <c r="V490" s="43">
        <v>0</v>
      </c>
      <c r="W490" s="43">
        <v>-243878.88847500016</v>
      </c>
      <c r="X490" s="43">
        <v>0</v>
      </c>
      <c r="Y490" s="43">
        <v>0</v>
      </c>
      <c r="Z490" s="43">
        <v>0</v>
      </c>
      <c r="AA490" s="43">
        <v>0</v>
      </c>
      <c r="AB490" s="43">
        <v>0</v>
      </c>
      <c r="AC490" s="43">
        <v>0</v>
      </c>
      <c r="AD490" s="43">
        <v>0</v>
      </c>
      <c r="AE490" s="43">
        <v>0</v>
      </c>
      <c r="AF490" s="43">
        <v>0</v>
      </c>
      <c r="AG490" s="43">
        <v>0</v>
      </c>
      <c r="AH490" s="43">
        <v>0</v>
      </c>
      <c r="AI490" s="43">
        <v>0</v>
      </c>
      <c r="AJ490" s="43">
        <v>0</v>
      </c>
      <c r="AK490" s="43">
        <v>0</v>
      </c>
      <c r="AL490" s="43">
        <v>0</v>
      </c>
      <c r="AM490" s="43">
        <v>0</v>
      </c>
      <c r="AN490" s="43">
        <v>0</v>
      </c>
      <c r="AO490" s="43">
        <v>0</v>
      </c>
      <c r="AP490" s="43">
        <v>0</v>
      </c>
      <c r="AQ490" s="43">
        <v>0</v>
      </c>
      <c r="AR490" s="43">
        <v>0</v>
      </c>
      <c r="AS490" s="43">
        <v>0</v>
      </c>
      <c r="AT490" s="43">
        <v>0</v>
      </c>
      <c r="AU490" s="43">
        <v>0</v>
      </c>
      <c r="AV490" s="43">
        <v>0</v>
      </c>
      <c r="AW490" s="43">
        <v>0</v>
      </c>
      <c r="AX490" s="43">
        <v>0</v>
      </c>
      <c r="AY490" s="43">
        <v>0</v>
      </c>
      <c r="AZ490" s="43">
        <v>0</v>
      </c>
      <c r="BA490" s="43">
        <v>0</v>
      </c>
      <c r="BB490" s="43">
        <v>0</v>
      </c>
      <c r="BC490" s="43">
        <v>0</v>
      </c>
      <c r="BD490" s="43">
        <v>0</v>
      </c>
      <c r="BE490" s="43">
        <v>0</v>
      </c>
      <c r="BF490" s="43">
        <v>0</v>
      </c>
    </row>
    <row r="491" spans="1:58" ht="14.15" customHeight="1">
      <c r="A491" s="404">
        <f t="shared" si="1159"/>
        <v>485</v>
      </c>
      <c r="B491" s="22"/>
      <c r="C491" s="38">
        <f t="shared" si="1185"/>
        <v>0</v>
      </c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  <c r="AM491" s="43"/>
      <c r="AN491" s="43"/>
      <c r="AO491" s="43"/>
      <c r="AP491" s="43"/>
      <c r="AQ491" s="43"/>
      <c r="AR491" s="43"/>
      <c r="AS491" s="43"/>
      <c r="AT491" s="43"/>
      <c r="AU491" s="43"/>
      <c r="AV491" s="43"/>
      <c r="AW491" s="43"/>
      <c r="AX491" s="43"/>
      <c r="AY491" s="43"/>
      <c r="AZ491" s="43"/>
      <c r="BA491" s="43"/>
      <c r="BB491" s="43"/>
      <c r="BC491" s="43"/>
      <c r="BD491" s="43"/>
      <c r="BE491" s="43"/>
      <c r="BF491" s="43"/>
    </row>
    <row r="492" spans="1:58" ht="14.15" customHeight="1">
      <c r="A492" s="404">
        <f t="shared" si="1159"/>
        <v>486</v>
      </c>
      <c r="B492" s="3" t="s">
        <v>301</v>
      </c>
      <c r="C492" s="38">
        <f t="shared" si="1185"/>
        <v>0</v>
      </c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>
        <v>0</v>
      </c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  <c r="AM492" s="43"/>
      <c r="AN492" s="43"/>
      <c r="AO492" s="43"/>
      <c r="AP492" s="43"/>
      <c r="AQ492" s="43"/>
      <c r="AR492" s="43"/>
      <c r="AS492" s="43"/>
      <c r="AT492" s="43"/>
      <c r="AU492" s="43"/>
      <c r="AV492" s="43"/>
      <c r="AW492" s="43"/>
      <c r="AX492" s="43"/>
      <c r="AY492" s="43"/>
      <c r="AZ492" s="43"/>
      <c r="BA492" s="43"/>
      <c r="BB492" s="43"/>
      <c r="BC492" s="43"/>
      <c r="BD492" s="43"/>
      <c r="BE492" s="43"/>
      <c r="BF492" s="43"/>
    </row>
    <row r="493" spans="1:58" ht="13.5" customHeight="1">
      <c r="A493" s="404">
        <f t="shared" si="1159"/>
        <v>487</v>
      </c>
      <c r="B493" s="22" t="s">
        <v>302</v>
      </c>
      <c r="C493" s="38">
        <f t="shared" si="1185"/>
        <v>0</v>
      </c>
      <c r="D493" s="43">
        <v>0</v>
      </c>
      <c r="E493" s="43">
        <v>0</v>
      </c>
      <c r="F493" s="43">
        <v>0</v>
      </c>
      <c r="G493" s="43">
        <v>0</v>
      </c>
      <c r="H493" s="43">
        <v>0</v>
      </c>
      <c r="I493" s="43">
        <v>0</v>
      </c>
      <c r="J493" s="43">
        <v>0</v>
      </c>
      <c r="K493" s="43">
        <v>0</v>
      </c>
      <c r="L493" s="43">
        <v>0</v>
      </c>
      <c r="M493" s="43">
        <v>0</v>
      </c>
      <c r="N493" s="43">
        <v>0</v>
      </c>
      <c r="O493" s="43">
        <v>0</v>
      </c>
      <c r="P493" s="43">
        <v>0</v>
      </c>
      <c r="Q493" s="43">
        <v>0</v>
      </c>
      <c r="R493" s="43">
        <v>0</v>
      </c>
      <c r="S493" s="43">
        <v>0</v>
      </c>
      <c r="T493" s="43">
        <v>0</v>
      </c>
      <c r="U493" s="43">
        <v>0</v>
      </c>
      <c r="V493" s="43">
        <v>0</v>
      </c>
      <c r="W493" s="43">
        <v>0</v>
      </c>
      <c r="X493" s="43">
        <v>0</v>
      </c>
      <c r="Y493" s="43">
        <v>0</v>
      </c>
      <c r="Z493" s="43">
        <v>0</v>
      </c>
      <c r="AA493" s="43">
        <v>0</v>
      </c>
      <c r="AB493" s="43">
        <v>0</v>
      </c>
      <c r="AC493" s="43">
        <v>0</v>
      </c>
      <c r="AD493" s="43">
        <v>0</v>
      </c>
      <c r="AE493" s="43">
        <v>0</v>
      </c>
      <c r="AF493" s="43">
        <v>0</v>
      </c>
      <c r="AG493" s="43">
        <v>0</v>
      </c>
      <c r="AH493" s="43">
        <v>0</v>
      </c>
      <c r="AI493" s="43">
        <v>0</v>
      </c>
      <c r="AJ493" s="43">
        <v>0</v>
      </c>
      <c r="AK493" s="43">
        <v>0</v>
      </c>
      <c r="AL493" s="43">
        <v>0</v>
      </c>
      <c r="AM493" s="43">
        <v>0</v>
      </c>
      <c r="AN493" s="43">
        <v>0</v>
      </c>
      <c r="AO493" s="43">
        <v>0</v>
      </c>
      <c r="AP493" s="43">
        <v>0</v>
      </c>
      <c r="AQ493" s="43">
        <v>0</v>
      </c>
      <c r="AR493" s="43">
        <v>0</v>
      </c>
      <c r="AS493" s="43">
        <v>0</v>
      </c>
      <c r="AT493" s="43">
        <v>0</v>
      </c>
      <c r="AU493" s="43">
        <v>0</v>
      </c>
      <c r="AV493" s="43">
        <v>0</v>
      </c>
      <c r="AW493" s="43">
        <v>0</v>
      </c>
      <c r="AX493" s="43">
        <v>0</v>
      </c>
      <c r="AY493" s="43">
        <v>0</v>
      </c>
      <c r="AZ493" s="43">
        <v>0</v>
      </c>
      <c r="BA493" s="43">
        <v>0</v>
      </c>
      <c r="BB493" s="43">
        <v>0</v>
      </c>
      <c r="BC493" s="43">
        <v>0</v>
      </c>
      <c r="BD493" s="43">
        <v>0</v>
      </c>
      <c r="BE493" s="43">
        <v>0</v>
      </c>
      <c r="BF493" s="43">
        <v>0</v>
      </c>
    </row>
    <row r="494" spans="1:58" ht="13.5" customHeight="1">
      <c r="A494" s="404">
        <f t="shared" si="1159"/>
        <v>488</v>
      </c>
      <c r="B494" s="22" t="s">
        <v>303</v>
      </c>
      <c r="C494" s="38">
        <f t="shared" si="1185"/>
        <v>0</v>
      </c>
      <c r="D494" s="43">
        <v>0</v>
      </c>
      <c r="E494" s="43">
        <v>0</v>
      </c>
      <c r="F494" s="43">
        <v>0</v>
      </c>
      <c r="G494" s="43">
        <v>0</v>
      </c>
      <c r="H494" s="43">
        <v>0</v>
      </c>
      <c r="I494" s="43">
        <v>0</v>
      </c>
      <c r="J494" s="43">
        <v>0</v>
      </c>
      <c r="K494" s="43">
        <v>0</v>
      </c>
      <c r="L494" s="43">
        <v>0</v>
      </c>
      <c r="M494" s="43">
        <v>0</v>
      </c>
      <c r="N494" s="43">
        <v>0</v>
      </c>
      <c r="O494" s="43">
        <v>0</v>
      </c>
      <c r="P494" s="43">
        <v>0</v>
      </c>
      <c r="Q494" s="43">
        <v>0</v>
      </c>
      <c r="R494" s="43">
        <v>0</v>
      </c>
      <c r="S494" s="43">
        <v>0</v>
      </c>
      <c r="T494" s="43">
        <v>0</v>
      </c>
      <c r="U494" s="43">
        <v>0</v>
      </c>
      <c r="V494" s="43">
        <v>0</v>
      </c>
      <c r="W494" s="43">
        <v>0</v>
      </c>
      <c r="X494" s="43">
        <v>0</v>
      </c>
      <c r="Y494" s="43">
        <v>0</v>
      </c>
      <c r="Z494" s="43">
        <v>0</v>
      </c>
      <c r="AA494" s="43">
        <v>0</v>
      </c>
      <c r="AB494" s="43">
        <v>0</v>
      </c>
      <c r="AC494" s="43">
        <v>0</v>
      </c>
      <c r="AD494" s="43">
        <v>0</v>
      </c>
      <c r="AE494" s="43">
        <v>0</v>
      </c>
      <c r="AF494" s="43">
        <v>0</v>
      </c>
      <c r="AG494" s="43">
        <v>0</v>
      </c>
      <c r="AH494" s="43">
        <v>0</v>
      </c>
      <c r="AI494" s="43">
        <v>0</v>
      </c>
      <c r="AJ494" s="43">
        <v>0</v>
      </c>
      <c r="AK494" s="43">
        <v>0</v>
      </c>
      <c r="AL494" s="43">
        <v>0</v>
      </c>
      <c r="AM494" s="43">
        <v>0</v>
      </c>
      <c r="AN494" s="43">
        <v>0</v>
      </c>
      <c r="AO494" s="43">
        <v>0</v>
      </c>
      <c r="AP494" s="43">
        <v>0</v>
      </c>
      <c r="AQ494" s="43">
        <v>0</v>
      </c>
      <c r="AR494" s="43">
        <v>0</v>
      </c>
      <c r="AS494" s="43">
        <v>0</v>
      </c>
      <c r="AT494" s="43">
        <v>0</v>
      </c>
      <c r="AU494" s="43">
        <v>0</v>
      </c>
      <c r="AV494" s="43">
        <v>0</v>
      </c>
      <c r="AW494" s="43">
        <v>0</v>
      </c>
      <c r="AX494" s="43">
        <v>0</v>
      </c>
      <c r="AY494" s="43">
        <v>0</v>
      </c>
      <c r="AZ494" s="43">
        <v>0</v>
      </c>
      <c r="BA494" s="43">
        <v>0</v>
      </c>
      <c r="BB494" s="43">
        <v>0</v>
      </c>
      <c r="BC494" s="43">
        <v>0</v>
      </c>
      <c r="BD494" s="43">
        <v>0</v>
      </c>
      <c r="BE494" s="43">
        <v>0</v>
      </c>
      <c r="BF494" s="43">
        <v>0</v>
      </c>
    </row>
    <row r="495" spans="1:58" ht="13.5" customHeight="1">
      <c r="A495" s="404">
        <f t="shared" si="1159"/>
        <v>489</v>
      </c>
      <c r="B495" s="22" t="s">
        <v>744</v>
      </c>
      <c r="C495" s="38">
        <f t="shared" si="1185"/>
        <v>-2530.4900000000198</v>
      </c>
      <c r="D495" s="43">
        <v>0</v>
      </c>
      <c r="E495" s="43">
        <v>0</v>
      </c>
      <c r="F495" s="43">
        <v>0</v>
      </c>
      <c r="G495" s="43">
        <v>0</v>
      </c>
      <c r="H495" s="43">
        <v>0</v>
      </c>
      <c r="I495" s="43">
        <v>0</v>
      </c>
      <c r="J495" s="43">
        <v>0</v>
      </c>
      <c r="K495" s="43">
        <v>0</v>
      </c>
      <c r="L495" s="43">
        <v>0</v>
      </c>
      <c r="M495" s="43">
        <v>0</v>
      </c>
      <c r="N495" s="43">
        <v>0</v>
      </c>
      <c r="O495" s="43">
        <v>0</v>
      </c>
      <c r="P495" s="43">
        <v>0</v>
      </c>
      <c r="Q495" s="43">
        <v>0</v>
      </c>
      <c r="R495" s="43">
        <v>0</v>
      </c>
      <c r="S495" s="43">
        <v>0</v>
      </c>
      <c r="T495" s="43">
        <v>0</v>
      </c>
      <c r="U495" s="43">
        <v>-2530.4900000000198</v>
      </c>
      <c r="V495" s="43">
        <v>0</v>
      </c>
      <c r="W495" s="43">
        <v>0</v>
      </c>
      <c r="X495" s="43">
        <v>0</v>
      </c>
      <c r="Y495" s="43">
        <v>0</v>
      </c>
      <c r="Z495" s="43">
        <v>0</v>
      </c>
      <c r="AA495" s="43">
        <v>0</v>
      </c>
      <c r="AB495" s="43">
        <v>0</v>
      </c>
      <c r="AC495" s="43">
        <v>0</v>
      </c>
      <c r="AD495" s="43">
        <v>0</v>
      </c>
      <c r="AE495" s="43">
        <v>0</v>
      </c>
      <c r="AF495" s="43">
        <v>0</v>
      </c>
      <c r="AG495" s="43">
        <v>0</v>
      </c>
      <c r="AH495" s="43">
        <v>0</v>
      </c>
      <c r="AI495" s="43">
        <v>0</v>
      </c>
      <c r="AJ495" s="43">
        <v>0</v>
      </c>
      <c r="AK495" s="43">
        <v>0</v>
      </c>
      <c r="AL495" s="43">
        <v>0</v>
      </c>
      <c r="AM495" s="43">
        <v>0</v>
      </c>
      <c r="AN495" s="43">
        <v>0</v>
      </c>
      <c r="AO495" s="43">
        <v>0</v>
      </c>
      <c r="AP495" s="43">
        <v>0</v>
      </c>
      <c r="AQ495" s="43">
        <v>0</v>
      </c>
      <c r="AR495" s="43">
        <v>0</v>
      </c>
      <c r="AS495" s="43">
        <v>0</v>
      </c>
      <c r="AT495" s="43">
        <v>0</v>
      </c>
      <c r="AU495" s="43">
        <v>0</v>
      </c>
      <c r="AV495" s="43">
        <v>0</v>
      </c>
      <c r="AW495" s="43">
        <v>0</v>
      </c>
      <c r="AX495" s="43">
        <v>0</v>
      </c>
      <c r="AY495" s="43">
        <v>0</v>
      </c>
      <c r="AZ495" s="43">
        <v>0</v>
      </c>
      <c r="BA495" s="43">
        <v>0</v>
      </c>
      <c r="BB495" s="43">
        <v>0</v>
      </c>
      <c r="BC495" s="43">
        <v>0</v>
      </c>
      <c r="BD495" s="43">
        <v>0</v>
      </c>
      <c r="BE495" s="43">
        <v>0</v>
      </c>
      <c r="BF495" s="43">
        <v>0</v>
      </c>
    </row>
    <row r="496" spans="1:58" ht="14.15" customHeight="1">
      <c r="A496" s="404">
        <f t="shared" si="1159"/>
        <v>490</v>
      </c>
      <c r="B496" s="22" t="s">
        <v>304</v>
      </c>
      <c r="C496" s="38">
        <f t="shared" si="1185"/>
        <v>155606.52000000011</v>
      </c>
      <c r="D496" s="43">
        <v>0</v>
      </c>
      <c r="E496" s="43">
        <v>0</v>
      </c>
      <c r="F496" s="43">
        <v>0</v>
      </c>
      <c r="G496" s="43">
        <v>0</v>
      </c>
      <c r="H496" s="43">
        <v>0</v>
      </c>
      <c r="I496" s="43">
        <v>0</v>
      </c>
      <c r="J496" s="43">
        <v>0</v>
      </c>
      <c r="K496" s="43">
        <v>0</v>
      </c>
      <c r="L496" s="43">
        <v>0</v>
      </c>
      <c r="M496" s="43">
        <v>0</v>
      </c>
      <c r="N496" s="43">
        <v>0</v>
      </c>
      <c r="O496" s="43">
        <v>0</v>
      </c>
      <c r="P496" s="43">
        <v>0</v>
      </c>
      <c r="Q496" s="43">
        <v>0</v>
      </c>
      <c r="R496" s="43">
        <v>0</v>
      </c>
      <c r="S496" s="43">
        <v>0</v>
      </c>
      <c r="T496" s="43">
        <v>0</v>
      </c>
      <c r="U496" s="43">
        <v>31039.870000000112</v>
      </c>
      <c r="V496" s="43">
        <v>0</v>
      </c>
      <c r="W496" s="43">
        <v>0</v>
      </c>
      <c r="X496" s="43">
        <v>0</v>
      </c>
      <c r="Y496" s="43">
        <v>0</v>
      </c>
      <c r="Z496" s="43">
        <v>0</v>
      </c>
      <c r="AA496" s="43">
        <v>0</v>
      </c>
      <c r="AB496" s="43">
        <v>0</v>
      </c>
      <c r="AC496" s="43">
        <v>0</v>
      </c>
      <c r="AD496" s="43">
        <v>0</v>
      </c>
      <c r="AE496" s="43">
        <v>0</v>
      </c>
      <c r="AF496" s="43">
        <v>0</v>
      </c>
      <c r="AG496" s="43">
        <v>0</v>
      </c>
      <c r="AH496" s="43">
        <v>0</v>
      </c>
      <c r="AI496" s="43">
        <v>0</v>
      </c>
      <c r="AJ496" s="43">
        <v>0</v>
      </c>
      <c r="AK496" s="43">
        <v>124566.65</v>
      </c>
      <c r="AL496" s="43">
        <v>0</v>
      </c>
      <c r="AM496" s="43">
        <v>0</v>
      </c>
      <c r="AN496" s="43">
        <v>0</v>
      </c>
      <c r="AO496" s="43">
        <v>0</v>
      </c>
      <c r="AP496" s="43">
        <v>0</v>
      </c>
      <c r="AQ496" s="43">
        <v>0</v>
      </c>
      <c r="AR496" s="43">
        <v>0</v>
      </c>
      <c r="AS496" s="43">
        <v>0</v>
      </c>
      <c r="AT496" s="43">
        <v>0</v>
      </c>
      <c r="AU496" s="43">
        <v>0</v>
      </c>
      <c r="AV496" s="43">
        <v>0</v>
      </c>
      <c r="AW496" s="43">
        <v>0</v>
      </c>
      <c r="AX496" s="43">
        <v>0</v>
      </c>
      <c r="AY496" s="43">
        <v>0</v>
      </c>
      <c r="AZ496" s="43">
        <v>0</v>
      </c>
      <c r="BA496" s="43">
        <v>0</v>
      </c>
      <c r="BB496" s="43">
        <v>0</v>
      </c>
      <c r="BC496" s="43">
        <v>0</v>
      </c>
      <c r="BD496" s="43">
        <v>0</v>
      </c>
      <c r="BE496" s="43">
        <v>0</v>
      </c>
      <c r="BF496" s="43">
        <v>0</v>
      </c>
    </row>
    <row r="497" spans="1:58" ht="14.15" customHeight="1">
      <c r="A497" s="404">
        <f t="shared" si="1159"/>
        <v>491</v>
      </c>
      <c r="B497" s="22" t="s">
        <v>305</v>
      </c>
      <c r="C497" s="38">
        <f t="shared" si="1185"/>
        <v>0</v>
      </c>
      <c r="D497" s="43">
        <v>0</v>
      </c>
      <c r="E497" s="43">
        <v>0</v>
      </c>
      <c r="F497" s="43">
        <v>0</v>
      </c>
      <c r="G497" s="43">
        <v>0</v>
      </c>
      <c r="H497" s="43">
        <v>0</v>
      </c>
      <c r="I497" s="43">
        <v>0</v>
      </c>
      <c r="J497" s="43">
        <v>0</v>
      </c>
      <c r="K497" s="43">
        <v>0</v>
      </c>
      <c r="L497" s="43">
        <v>0</v>
      </c>
      <c r="M497" s="43">
        <v>0</v>
      </c>
      <c r="N497" s="43">
        <v>0</v>
      </c>
      <c r="O497" s="43">
        <v>0</v>
      </c>
      <c r="P497" s="43">
        <v>0</v>
      </c>
      <c r="Q497" s="43">
        <v>0</v>
      </c>
      <c r="R497" s="43">
        <v>0</v>
      </c>
      <c r="S497" s="43">
        <v>0</v>
      </c>
      <c r="T497" s="43">
        <v>0</v>
      </c>
      <c r="U497" s="43">
        <v>0</v>
      </c>
      <c r="V497" s="43">
        <v>0</v>
      </c>
      <c r="W497" s="43">
        <v>0</v>
      </c>
      <c r="X497" s="43">
        <v>0</v>
      </c>
      <c r="Y497" s="43">
        <v>0</v>
      </c>
      <c r="Z497" s="43">
        <v>0</v>
      </c>
      <c r="AA497" s="43">
        <v>0</v>
      </c>
      <c r="AB497" s="43">
        <v>0</v>
      </c>
      <c r="AC497" s="43">
        <v>0</v>
      </c>
      <c r="AD497" s="43">
        <v>0</v>
      </c>
      <c r="AE497" s="43">
        <v>0</v>
      </c>
      <c r="AF497" s="43">
        <v>0</v>
      </c>
      <c r="AG497" s="43">
        <v>0</v>
      </c>
      <c r="AH497" s="43">
        <v>0</v>
      </c>
      <c r="AI497" s="43">
        <v>0</v>
      </c>
      <c r="AJ497" s="43">
        <v>0</v>
      </c>
      <c r="AK497" s="43">
        <v>0</v>
      </c>
      <c r="AL497" s="43">
        <v>0</v>
      </c>
      <c r="AM497" s="43">
        <v>0</v>
      </c>
      <c r="AN497" s="43">
        <v>0</v>
      </c>
      <c r="AO497" s="43">
        <v>0</v>
      </c>
      <c r="AP497" s="43">
        <v>0</v>
      </c>
      <c r="AQ497" s="43">
        <v>0</v>
      </c>
      <c r="AR497" s="43">
        <v>0</v>
      </c>
      <c r="AS497" s="43">
        <v>0</v>
      </c>
      <c r="AT497" s="43">
        <v>0</v>
      </c>
      <c r="AU497" s="43">
        <v>0</v>
      </c>
      <c r="AV497" s="43">
        <v>0</v>
      </c>
      <c r="AW497" s="43">
        <v>0</v>
      </c>
      <c r="AX497" s="43">
        <v>0</v>
      </c>
      <c r="AY497" s="43">
        <v>0</v>
      </c>
      <c r="AZ497" s="43">
        <v>0</v>
      </c>
      <c r="BA497" s="43">
        <v>0</v>
      </c>
      <c r="BB497" s="43">
        <v>0</v>
      </c>
      <c r="BC497" s="43">
        <v>0</v>
      </c>
      <c r="BD497" s="43">
        <v>0</v>
      </c>
      <c r="BE497" s="43">
        <v>0</v>
      </c>
      <c r="BF497" s="43">
        <v>0</v>
      </c>
    </row>
    <row r="498" spans="1:58" ht="14.15" customHeight="1">
      <c r="A498" s="404">
        <f t="shared" si="1159"/>
        <v>492</v>
      </c>
      <c r="B498" s="22" t="s">
        <v>769</v>
      </c>
      <c r="C498" s="38">
        <f t="shared" si="1185"/>
        <v>-7.1299999999999955</v>
      </c>
      <c r="D498" s="43"/>
      <c r="E498" s="43"/>
      <c r="F498" s="43"/>
      <c r="G498" s="43"/>
      <c r="H498" s="43"/>
      <c r="I498" s="43"/>
      <c r="J498" s="43"/>
      <c r="K498" s="43">
        <v>0</v>
      </c>
      <c r="L498" s="43"/>
      <c r="M498" s="43"/>
      <c r="N498" s="43"/>
      <c r="O498" s="43"/>
      <c r="P498" s="43"/>
      <c r="Q498" s="43"/>
      <c r="R498" s="43"/>
      <c r="S498" s="43"/>
      <c r="T498" s="43"/>
      <c r="U498" s="43">
        <v>-7.1299999999999955</v>
      </c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  <c r="AM498" s="43"/>
      <c r="AN498" s="43"/>
      <c r="AO498" s="43"/>
      <c r="AP498" s="43"/>
      <c r="AQ498" s="43"/>
      <c r="AR498" s="43"/>
      <c r="AS498" s="43"/>
      <c r="AT498" s="43"/>
      <c r="AU498" s="43"/>
      <c r="AV498" s="43"/>
      <c r="AW498" s="43"/>
      <c r="AX498" s="43"/>
      <c r="AY498" s="43"/>
      <c r="AZ498" s="43"/>
      <c r="BA498" s="43"/>
      <c r="BB498" s="43"/>
      <c r="BC498" s="43"/>
      <c r="BD498" s="43"/>
      <c r="BE498" s="43"/>
      <c r="BF498" s="43"/>
    </row>
    <row r="499" spans="1:58" ht="14.15" customHeight="1">
      <c r="A499" s="404">
        <f t="shared" si="1159"/>
        <v>493</v>
      </c>
      <c r="B499" s="22" t="s">
        <v>770</v>
      </c>
      <c r="C499" s="38">
        <f t="shared" si="1185"/>
        <v>0</v>
      </c>
      <c r="D499" s="43"/>
      <c r="E499" s="43"/>
      <c r="F499" s="43"/>
      <c r="G499" s="43"/>
      <c r="H499" s="43"/>
      <c r="I499" s="43"/>
      <c r="J499" s="43"/>
      <c r="K499" s="43">
        <v>0</v>
      </c>
      <c r="L499" s="43"/>
      <c r="M499" s="43"/>
      <c r="N499" s="43"/>
      <c r="O499" s="43"/>
      <c r="P499" s="43"/>
      <c r="Q499" s="43"/>
      <c r="R499" s="43"/>
      <c r="S499" s="43"/>
      <c r="T499" s="43"/>
      <c r="U499" s="43">
        <v>0</v>
      </c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  <c r="AM499" s="43"/>
      <c r="AN499" s="43"/>
      <c r="AO499" s="43"/>
      <c r="AP499" s="43"/>
      <c r="AQ499" s="43"/>
      <c r="AR499" s="43"/>
      <c r="AS499" s="43"/>
      <c r="AT499" s="43"/>
      <c r="AU499" s="43"/>
      <c r="AV499" s="43"/>
      <c r="AW499" s="43"/>
      <c r="AX499" s="43"/>
      <c r="AY499" s="43"/>
      <c r="AZ499" s="43"/>
      <c r="BA499" s="43"/>
      <c r="BB499" s="43"/>
      <c r="BC499" s="43"/>
      <c r="BD499" s="43"/>
      <c r="BE499" s="43"/>
      <c r="BF499" s="43"/>
    </row>
    <row r="500" spans="1:58" ht="14.15" customHeight="1">
      <c r="A500" s="404">
        <f t="shared" si="1159"/>
        <v>494</v>
      </c>
      <c r="B500" s="56" t="s">
        <v>306</v>
      </c>
      <c r="C500" s="38">
        <f t="shared" si="1185"/>
        <v>0</v>
      </c>
      <c r="D500" s="64">
        <v>0</v>
      </c>
      <c r="E500" s="64">
        <v>0</v>
      </c>
      <c r="F500" s="64">
        <v>0</v>
      </c>
      <c r="G500" s="64">
        <v>0</v>
      </c>
      <c r="H500" s="64">
        <v>0</v>
      </c>
      <c r="I500" s="64">
        <v>0</v>
      </c>
      <c r="J500" s="64">
        <v>0</v>
      </c>
      <c r="K500" s="64">
        <v>0</v>
      </c>
      <c r="L500" s="64">
        <v>0</v>
      </c>
      <c r="M500" s="64">
        <v>0</v>
      </c>
      <c r="N500" s="64">
        <v>0</v>
      </c>
      <c r="O500" s="64">
        <v>0</v>
      </c>
      <c r="P500" s="64">
        <v>0</v>
      </c>
      <c r="Q500" s="64">
        <v>0</v>
      </c>
      <c r="R500" s="64">
        <v>0</v>
      </c>
      <c r="S500" s="64">
        <v>0</v>
      </c>
      <c r="T500" s="64">
        <v>0</v>
      </c>
      <c r="U500" s="64">
        <v>0</v>
      </c>
      <c r="V500" s="64">
        <v>0</v>
      </c>
      <c r="W500" s="64">
        <v>0</v>
      </c>
      <c r="X500" s="64">
        <v>0</v>
      </c>
      <c r="Y500" s="64">
        <v>0</v>
      </c>
      <c r="Z500" s="64">
        <v>0</v>
      </c>
      <c r="AA500" s="64">
        <v>0</v>
      </c>
      <c r="AB500" s="64">
        <v>0</v>
      </c>
      <c r="AC500" s="64">
        <v>0</v>
      </c>
      <c r="AD500" s="64">
        <v>0</v>
      </c>
      <c r="AE500" s="64">
        <v>0</v>
      </c>
      <c r="AF500" s="64">
        <v>0</v>
      </c>
      <c r="AG500" s="64">
        <v>0</v>
      </c>
      <c r="AH500" s="64">
        <v>0</v>
      </c>
      <c r="AI500" s="64">
        <v>0</v>
      </c>
      <c r="AJ500" s="64">
        <v>0</v>
      </c>
      <c r="AK500" s="64">
        <v>0</v>
      </c>
      <c r="AL500" s="64">
        <v>0</v>
      </c>
      <c r="AM500" s="64">
        <v>0</v>
      </c>
      <c r="AN500" s="64">
        <v>0</v>
      </c>
      <c r="AO500" s="64">
        <v>0</v>
      </c>
      <c r="AP500" s="64">
        <v>0</v>
      </c>
      <c r="AQ500" s="64">
        <v>0</v>
      </c>
      <c r="AR500" s="64">
        <v>0</v>
      </c>
      <c r="AS500" s="64">
        <v>0</v>
      </c>
      <c r="AT500" s="64">
        <v>0</v>
      </c>
      <c r="AU500" s="64">
        <v>0</v>
      </c>
      <c r="AV500" s="64">
        <v>0</v>
      </c>
      <c r="AW500" s="64">
        <v>0</v>
      </c>
      <c r="AX500" s="64">
        <v>0</v>
      </c>
      <c r="AY500" s="64">
        <v>0</v>
      </c>
      <c r="AZ500" s="64">
        <v>0</v>
      </c>
      <c r="BA500" s="64">
        <v>0</v>
      </c>
      <c r="BB500" s="64">
        <v>0</v>
      </c>
      <c r="BC500" s="64">
        <v>0</v>
      </c>
      <c r="BD500" s="64">
        <v>0</v>
      </c>
      <c r="BE500" s="64">
        <v>0</v>
      </c>
      <c r="BF500" s="64">
        <v>0</v>
      </c>
    </row>
    <row r="501" spans="1:58" ht="14.15" customHeight="1">
      <c r="A501" s="404">
        <f t="shared" si="1159"/>
        <v>495</v>
      </c>
      <c r="B501" s="13" t="s">
        <v>307</v>
      </c>
      <c r="C501" s="47">
        <f t="shared" ref="C501:V501" si="1186">SUM(C493:C500)</f>
        <v>153068.90000000008</v>
      </c>
      <c r="D501" s="47">
        <f t="shared" ref="D501:I501" si="1187">SUM(D493:D500)</f>
        <v>0</v>
      </c>
      <c r="E501" s="47">
        <f t="shared" si="1187"/>
        <v>0</v>
      </c>
      <c r="F501" s="47">
        <f t="shared" si="1187"/>
        <v>0</v>
      </c>
      <c r="G501" s="47">
        <f t="shared" si="1187"/>
        <v>0</v>
      </c>
      <c r="H501" s="47">
        <f t="shared" si="1187"/>
        <v>0</v>
      </c>
      <c r="I501" s="47">
        <f t="shared" si="1187"/>
        <v>0</v>
      </c>
      <c r="J501" s="47">
        <f t="shared" si="1186"/>
        <v>0</v>
      </c>
      <c r="K501" s="47">
        <f t="shared" ref="K501:U501" si="1188">SUM(K493:K500)</f>
        <v>0</v>
      </c>
      <c r="L501" s="47">
        <f t="shared" si="1188"/>
        <v>0</v>
      </c>
      <c r="M501" s="47">
        <f t="shared" si="1188"/>
        <v>0</v>
      </c>
      <c r="N501" s="47">
        <f t="shared" si="1188"/>
        <v>0</v>
      </c>
      <c r="O501" s="47">
        <f t="shared" si="1188"/>
        <v>0</v>
      </c>
      <c r="P501" s="47">
        <f t="shared" si="1188"/>
        <v>0</v>
      </c>
      <c r="Q501" s="47">
        <f t="shared" si="1188"/>
        <v>0</v>
      </c>
      <c r="R501" s="47">
        <f t="shared" si="1188"/>
        <v>0</v>
      </c>
      <c r="S501" s="47">
        <f t="shared" si="1188"/>
        <v>0</v>
      </c>
      <c r="T501" s="47">
        <f t="shared" si="1188"/>
        <v>0</v>
      </c>
      <c r="U501" s="47">
        <f t="shared" si="1188"/>
        <v>28502.250000000091</v>
      </c>
      <c r="V501" s="47">
        <f t="shared" si="1186"/>
        <v>0</v>
      </c>
      <c r="W501" s="47">
        <f>SUM(W493:W500)</f>
        <v>0</v>
      </c>
      <c r="X501" s="47">
        <f t="shared" ref="X501:AD501" si="1189">SUM(X493:X500)</f>
        <v>0</v>
      </c>
      <c r="Y501" s="47">
        <f>SUM(Y493:Y500)</f>
        <v>0</v>
      </c>
      <c r="Z501" s="47">
        <f t="shared" si="1189"/>
        <v>0</v>
      </c>
      <c r="AA501" s="47">
        <f t="shared" si="1189"/>
        <v>0</v>
      </c>
      <c r="AB501" s="47">
        <f t="shared" si="1189"/>
        <v>0</v>
      </c>
      <c r="AC501" s="47">
        <f t="shared" si="1189"/>
        <v>0</v>
      </c>
      <c r="AD501" s="47">
        <f t="shared" si="1189"/>
        <v>0</v>
      </c>
      <c r="AE501" s="47">
        <f>SUM(AE493:AE500)</f>
        <v>0</v>
      </c>
      <c r="AF501" s="47">
        <f>SUM(AF493:AF500)</f>
        <v>0</v>
      </c>
      <c r="AG501" s="47">
        <f>SUM(AG493:AG500)</f>
        <v>0</v>
      </c>
      <c r="AH501" s="47">
        <f t="shared" ref="AH501" si="1190">SUM(AH493:AH500)</f>
        <v>0</v>
      </c>
      <c r="AI501" s="47">
        <f t="shared" ref="AI501:AL501" si="1191">SUM(AI493:AI500)</f>
        <v>0</v>
      </c>
      <c r="AJ501" s="47">
        <f t="shared" si="1191"/>
        <v>0</v>
      </c>
      <c r="AK501" s="47">
        <f t="shared" si="1191"/>
        <v>124566.65</v>
      </c>
      <c r="AL501" s="47">
        <f t="shared" si="1191"/>
        <v>0</v>
      </c>
      <c r="AM501" s="47">
        <f>SUM(AM493:AM500)</f>
        <v>0</v>
      </c>
      <c r="AN501" s="47">
        <f>SUM(AN493:AN500)</f>
        <v>0</v>
      </c>
      <c r="AO501" s="47">
        <f>SUM(AO493:AO500)</f>
        <v>0</v>
      </c>
      <c r="AP501" s="47">
        <f>SUM(AP493:AP500)</f>
        <v>0</v>
      </c>
      <c r="AQ501" s="47">
        <f>SUM(AQ493:AQ500)</f>
        <v>0</v>
      </c>
      <c r="AR501" s="47">
        <f t="shared" ref="AR501" si="1192">SUM(AR493:AR500)</f>
        <v>0</v>
      </c>
      <c r="AS501" s="47">
        <f>SUM(AS493:AS500)</f>
        <v>0</v>
      </c>
      <c r="AT501" s="47">
        <f t="shared" ref="AT501" si="1193">SUM(AT493:AT500)</f>
        <v>0</v>
      </c>
      <c r="AU501" s="47">
        <f t="shared" ref="AU501" si="1194">SUM(AU493:AU500)</f>
        <v>0</v>
      </c>
      <c r="AV501" s="47">
        <f t="shared" ref="AV501" si="1195">SUM(AV493:AV500)</f>
        <v>0</v>
      </c>
      <c r="AW501" s="47">
        <f>SUM(AW493:AW500)</f>
        <v>0</v>
      </c>
      <c r="AX501" s="47">
        <f t="shared" ref="AX501" si="1196">SUM(AX493:AX500)</f>
        <v>0</v>
      </c>
      <c r="AY501" s="47">
        <f t="shared" ref="AY501:BF501" si="1197">SUM(AY493:AY500)</f>
        <v>0</v>
      </c>
      <c r="AZ501" s="47">
        <f t="shared" si="1197"/>
        <v>0</v>
      </c>
      <c r="BA501" s="47">
        <f t="shared" si="1197"/>
        <v>0</v>
      </c>
      <c r="BB501" s="47">
        <f t="shared" si="1197"/>
        <v>0</v>
      </c>
      <c r="BC501" s="47">
        <f t="shared" si="1197"/>
        <v>0</v>
      </c>
      <c r="BD501" s="47">
        <f t="shared" si="1197"/>
        <v>0</v>
      </c>
      <c r="BE501" s="47">
        <f t="shared" si="1197"/>
        <v>0</v>
      </c>
      <c r="BF501" s="47">
        <f t="shared" si="1197"/>
        <v>0</v>
      </c>
    </row>
    <row r="502" spans="1:58" ht="14.15" customHeight="1">
      <c r="A502" s="404">
        <f t="shared" si="1159"/>
        <v>496</v>
      </c>
      <c r="B502" s="22"/>
      <c r="C502" s="65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  <c r="AL502" s="43"/>
      <c r="AM502" s="43"/>
      <c r="AN502" s="43"/>
      <c r="AO502" s="43"/>
      <c r="AP502" s="43"/>
      <c r="AQ502" s="43"/>
      <c r="AR502" s="43"/>
      <c r="AS502" s="43"/>
      <c r="AT502" s="43"/>
      <c r="AU502" s="43"/>
      <c r="AV502" s="43"/>
      <c r="AW502" s="43"/>
      <c r="AX502" s="43"/>
      <c r="AY502" s="43"/>
      <c r="AZ502" s="43"/>
      <c r="BA502" s="43"/>
      <c r="BB502" s="43"/>
      <c r="BC502" s="43"/>
      <c r="BD502" s="43"/>
      <c r="BE502" s="43"/>
      <c r="BF502" s="43"/>
    </row>
    <row r="503" spans="1:58" ht="14.15" customHeight="1">
      <c r="A503" s="404">
        <f t="shared" si="1159"/>
        <v>497</v>
      </c>
      <c r="B503" s="22"/>
      <c r="C503" s="65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  <c r="AM503" s="43"/>
      <c r="AN503" s="43"/>
      <c r="AO503" s="43"/>
      <c r="AP503" s="43"/>
      <c r="AQ503" s="43"/>
      <c r="AR503" s="43"/>
      <c r="AS503" s="43"/>
      <c r="AT503" s="43"/>
      <c r="AU503" s="43"/>
      <c r="AV503" s="43"/>
      <c r="AW503" s="43"/>
      <c r="AX503" s="43"/>
      <c r="AY503" s="43"/>
      <c r="AZ503" s="43"/>
      <c r="BA503" s="43"/>
      <c r="BB503" s="43"/>
      <c r="BC503" s="43"/>
      <c r="BD503" s="43"/>
      <c r="BE503" s="43"/>
      <c r="BF503" s="43"/>
    </row>
    <row r="504" spans="1:58" ht="13.9" customHeight="1">
      <c r="A504" s="404">
        <f t="shared" si="1159"/>
        <v>498</v>
      </c>
      <c r="B504" s="13" t="s">
        <v>308</v>
      </c>
      <c r="C504" s="61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  <c r="AL504" s="43"/>
      <c r="AM504" s="43"/>
      <c r="AN504" s="43"/>
      <c r="AO504" s="43"/>
      <c r="AP504" s="43"/>
      <c r="AQ504" s="43"/>
      <c r="AR504" s="43"/>
      <c r="AS504" s="43"/>
      <c r="AT504" s="43"/>
      <c r="AU504" s="43"/>
      <c r="AV504" s="43"/>
      <c r="AW504" s="43"/>
      <c r="AX504" s="43"/>
      <c r="AY504" s="43"/>
      <c r="AZ504" s="43"/>
      <c r="BA504" s="43"/>
      <c r="BB504" s="43"/>
      <c r="BC504" s="43"/>
      <c r="BD504" s="43"/>
      <c r="BE504" s="43"/>
      <c r="BF504" s="43"/>
    </row>
    <row r="505" spans="1:58" ht="13.5" customHeight="1">
      <c r="A505" s="404">
        <f t="shared" si="1159"/>
        <v>499</v>
      </c>
      <c r="B505" s="123" t="s">
        <v>324</v>
      </c>
      <c r="C505" s="38">
        <v>-140918.22003622132</v>
      </c>
      <c r="D505" s="201">
        <f>ROUND((((D12)-(D23+D25+D26+D28+D29-D512))*$C$514),0)</f>
        <v>122717</v>
      </c>
      <c r="E505" s="201">
        <f>ROUND((((E12)-(E23+E25+E26+E28+E29-E512))*$C$514),0)</f>
        <v>-25818</v>
      </c>
      <c r="F505" s="201">
        <f>ROUND((((F12)-(F23+F25+F26+F28+F29-F512))*$C$514),0)</f>
        <v>7266</v>
      </c>
      <c r="G505" s="201">
        <f>ROUND((((G12)-(G23+G25+G26+G28+G29-G512))*$C$514),0)</f>
        <v>135886</v>
      </c>
      <c r="H505" s="201">
        <f>ROUND((((H12)-(H23+H25+H26+H28+H29))*$C$514),0)</f>
        <v>1653256</v>
      </c>
      <c r="I505" s="201">
        <f>ROUND((((I12)-(I23+I25+I26+I28+I29))*$C$514),0)</f>
        <v>32220</v>
      </c>
      <c r="J505" s="201">
        <f t="shared" ref="J505:AK505" si="1198">ROUND((((J12)-(J23+J25+J26+J28+J29-J512))*$C$514),0)</f>
        <v>10222</v>
      </c>
      <c r="K505" s="201">
        <f t="shared" ref="K505:T505" si="1199">ROUND((((K12)-(K23+K25+K26+K28+K29-K512))*$C$514),0)</f>
        <v>-1086300</v>
      </c>
      <c r="L505" s="201">
        <f t="shared" si="1199"/>
        <v>-340001</v>
      </c>
      <c r="M505" s="201">
        <f t="shared" si="1199"/>
        <v>-661715</v>
      </c>
      <c r="N505" s="201">
        <f t="shared" si="1199"/>
        <v>-2897</v>
      </c>
      <c r="O505" s="201">
        <f t="shared" si="1199"/>
        <v>0</v>
      </c>
      <c r="P505" s="201">
        <f t="shared" si="1199"/>
        <v>0</v>
      </c>
      <c r="Q505" s="201">
        <f t="shared" si="1199"/>
        <v>-109171</v>
      </c>
      <c r="R505" s="201">
        <f t="shared" si="1199"/>
        <v>-29285</v>
      </c>
      <c r="S505" s="201">
        <f t="shared" si="1199"/>
        <v>-500062</v>
      </c>
      <c r="T505" s="201">
        <f t="shared" si="1199"/>
        <v>-14655</v>
      </c>
      <c r="U505" s="201">
        <f>ROUND((((U12)-(U23+U25+U26+U28+U29))*$C$514),0)</f>
        <v>-243261</v>
      </c>
      <c r="V505" s="201">
        <f t="shared" si="1198"/>
        <v>655562</v>
      </c>
      <c r="W505" s="201">
        <f t="shared" ref="W505:AG505" si="1200">ROUND((((W12)-(W23+W25+W26+W28+W29-W512))*$C$514),0)</f>
        <v>12218</v>
      </c>
      <c r="X505" s="201">
        <f t="shared" si="1200"/>
        <v>-10791</v>
      </c>
      <c r="Y505" s="201">
        <f t="shared" si="1200"/>
        <v>0</v>
      </c>
      <c r="Z505" s="201">
        <f t="shared" si="1200"/>
        <v>-12120</v>
      </c>
      <c r="AA505" s="201">
        <f t="shared" si="1200"/>
        <v>2746</v>
      </c>
      <c r="AB505" s="201">
        <f t="shared" si="1200"/>
        <v>-5859</v>
      </c>
      <c r="AC505" s="201">
        <f t="shared" si="1200"/>
        <v>0</v>
      </c>
      <c r="AD505" s="201">
        <f t="shared" si="1200"/>
        <v>3095</v>
      </c>
      <c r="AE505" s="201">
        <f t="shared" si="1200"/>
        <v>-23319</v>
      </c>
      <c r="AF505" s="366">
        <f t="shared" si="1200"/>
        <v>154627</v>
      </c>
      <c r="AG505" s="201">
        <f t="shared" si="1200"/>
        <v>-169230</v>
      </c>
      <c r="AH505" s="201">
        <f t="shared" si="1198"/>
        <v>1211</v>
      </c>
      <c r="AI505" s="201">
        <f t="shared" si="1198"/>
        <v>0</v>
      </c>
      <c r="AJ505" s="201">
        <f t="shared" si="1198"/>
        <v>0</v>
      </c>
      <c r="AK505" s="201">
        <f t="shared" si="1198"/>
        <v>-6240</v>
      </c>
      <c r="AL505" s="201">
        <f t="shared" ref="AL505:AS505" si="1201">ROUND((((AL12)-(AL23+AL25+AL26+AL28+AL29-AL512))*$C$514),0)</f>
        <v>-5738</v>
      </c>
      <c r="AM505" s="201">
        <f t="shared" si="1201"/>
        <v>-294880</v>
      </c>
      <c r="AN505" s="201">
        <f t="shared" si="1201"/>
        <v>-213554</v>
      </c>
      <c r="AO505" s="201">
        <f t="shared" si="1201"/>
        <v>0</v>
      </c>
      <c r="AP505" s="201">
        <f t="shared" si="1201"/>
        <v>-59642</v>
      </c>
      <c r="AQ505" s="201">
        <f t="shared" si="1201"/>
        <v>-60727</v>
      </c>
      <c r="AR505" s="201">
        <f t="shared" si="1201"/>
        <v>84628</v>
      </c>
      <c r="AS505" s="201">
        <f t="shared" si="1201"/>
        <v>-7052</v>
      </c>
      <c r="AT505" s="201">
        <f t="shared" ref="AT505" si="1202">ROUND((((AT12)-(AT23+AT25+AT26+AT28+AT29-AT512))*$C$514),0)</f>
        <v>-422112</v>
      </c>
      <c r="AU505" s="201">
        <f t="shared" ref="AU505" si="1203">ROUND((((AU12)-(AU23+AU25+AU26+AU28+AU29-AU512))*$C$514),0)</f>
        <v>422112</v>
      </c>
      <c r="AV505" s="201">
        <f t="shared" ref="AV505" si="1204">ROUND((((AV12)-(AV23+AV25+AV26+AV28+AV29-AV512))*$C$514),0)</f>
        <v>279289</v>
      </c>
      <c r="AW505" s="201">
        <f>ROUND((((AW12)-(AW23+AW25+AW26+AW28+AW29))*$C$514),0)</f>
        <v>-45887</v>
      </c>
      <c r="AX505" s="201">
        <f t="shared" ref="AX505" si="1205">ROUND((((AX12)-(AX23+AX25+AX26+AX28+AX29))*$C$514),0)</f>
        <v>45887</v>
      </c>
      <c r="AY505" s="201">
        <f>ROUND((((AY12)-(AY23+AY25+AY26+AY28+AY29))*$C$514),0)</f>
        <v>0</v>
      </c>
      <c r="AZ505" s="201">
        <f>ROUND((((AZ12)-(AZ23+AZ25+AZ26+AZ28+AZ29-AZ512))*$C$514),0)</f>
        <v>0</v>
      </c>
      <c r="BA505" s="201">
        <v>594911.34996377851</v>
      </c>
      <c r="BB505" s="201">
        <f>ROUND((((BB12)-(BB23+BB25+BB26+BB28+BB29-BB512))*$C$514),0)</f>
        <v>0</v>
      </c>
      <c r="BC505" s="201">
        <v>0</v>
      </c>
      <c r="BD505" s="201">
        <f>ROUND((((BD12)-(BD23+BD25+BD26+BD28+BD29-BD512))*$C$514),0)</f>
        <v>0</v>
      </c>
      <c r="BE505" s="201">
        <f>ROUND((((BE12)-(BE23+BE25+BE26+BE28+BE29-BE512))*$C$514),0)</f>
        <v>0</v>
      </c>
      <c r="BF505" s="201">
        <f t="shared" ref="BF505" si="1206">ROUND((((BF12)-(BF23+BF25+BF26+BF28+BF29))*$C$514),0)</f>
        <v>0</v>
      </c>
    </row>
    <row r="506" spans="1:58" ht="14.15" customHeight="1">
      <c r="A506" s="404">
        <f t="shared" si="1159"/>
        <v>500</v>
      </c>
      <c r="B506" s="123" t="s">
        <v>309</v>
      </c>
      <c r="C506" s="38">
        <v>-469374.66569704702</v>
      </c>
      <c r="D506" s="201">
        <f>ROUND((((D12)-(D23+D25+D26+D28+D29-D512+D505))*$C$515),0)</f>
        <v>488642</v>
      </c>
      <c r="E506" s="201">
        <f>ROUND((((E12)-(E23+E25+E26+E28+E29-E512+E505))*$C$515),0)</f>
        <v>-102804</v>
      </c>
      <c r="F506" s="201">
        <f>ROUND((((F12)-(F23+F25+F26+F28+F29-F512+F505))*$C$515),0)</f>
        <v>28931</v>
      </c>
      <c r="G506" s="201">
        <f>ROUND((((G12)-(G23+G25+G26+G28+G29-G512+G505))*$C$515),0)</f>
        <v>541078</v>
      </c>
      <c r="H506" s="201">
        <f>ROUND((((H12)-(H23+H25+H26+H28+H29+H505))*$C$515),0)</f>
        <v>6583047</v>
      </c>
      <c r="I506" s="201">
        <f>ROUND((((I12)-(I23+I25+I26+I28+I29+I505))*$C$515),0)</f>
        <v>128295</v>
      </c>
      <c r="J506" s="201">
        <f t="shared" ref="J506:AL506" si="1207">ROUND((((J12)-(J23+J25+J26+J28+J29-J512+J505))*$C$515),0)</f>
        <v>40702</v>
      </c>
      <c r="K506" s="201">
        <f t="shared" ref="K506:T506" si="1208">ROUND((((K12)-(K23+K25+K26+K28+K29-K512+K505))*$C$515),0)</f>
        <v>-4325502</v>
      </c>
      <c r="L506" s="201">
        <f t="shared" si="1208"/>
        <v>-1353840</v>
      </c>
      <c r="M506" s="201">
        <f t="shared" si="1208"/>
        <v>-2634861</v>
      </c>
      <c r="N506" s="201">
        <f t="shared" si="1208"/>
        <v>-11535</v>
      </c>
      <c r="O506" s="201">
        <f t="shared" si="1208"/>
        <v>0</v>
      </c>
      <c r="P506" s="201">
        <f t="shared" si="1208"/>
        <v>0</v>
      </c>
      <c r="Q506" s="201">
        <f t="shared" si="1208"/>
        <v>-434705</v>
      </c>
      <c r="R506" s="201">
        <f t="shared" si="1208"/>
        <v>-116608</v>
      </c>
      <c r="S506" s="201">
        <f t="shared" si="1208"/>
        <v>-1991180</v>
      </c>
      <c r="T506" s="201">
        <f t="shared" si="1208"/>
        <v>-58356</v>
      </c>
      <c r="U506" s="201">
        <f>ROUND((((U12)-(U23+U25+U26+U28+U29+U505))*$C$515),0)</f>
        <v>-968632</v>
      </c>
      <c r="V506" s="201">
        <f t="shared" si="1207"/>
        <v>2610361</v>
      </c>
      <c r="W506" s="201">
        <f t="shared" ref="W506:AG506" si="1209">ROUND((((W12)-(W23+W25+W26+W28+W29-W512+W505))*$C$515),0)</f>
        <v>48649</v>
      </c>
      <c r="X506" s="201">
        <f t="shared" si="1209"/>
        <v>-42970</v>
      </c>
      <c r="Y506" s="201">
        <f t="shared" si="1209"/>
        <v>0</v>
      </c>
      <c r="Z506" s="201">
        <f t="shared" si="1209"/>
        <v>-48262</v>
      </c>
      <c r="AA506" s="201">
        <f t="shared" si="1209"/>
        <v>10932</v>
      </c>
      <c r="AB506" s="201">
        <f t="shared" si="1209"/>
        <v>-23328</v>
      </c>
      <c r="AC506" s="201">
        <f t="shared" si="1209"/>
        <v>0</v>
      </c>
      <c r="AD506" s="201">
        <f t="shared" si="1209"/>
        <v>12325</v>
      </c>
      <c r="AE506" s="201">
        <f t="shared" si="1209"/>
        <v>-92853</v>
      </c>
      <c r="AF506" s="366">
        <f t="shared" si="1209"/>
        <v>615704</v>
      </c>
      <c r="AG506" s="201">
        <f t="shared" si="1209"/>
        <v>-673853</v>
      </c>
      <c r="AH506" s="201">
        <f t="shared" si="1207"/>
        <v>4822</v>
      </c>
      <c r="AI506" s="201">
        <f t="shared" si="1207"/>
        <v>0</v>
      </c>
      <c r="AJ506" s="201">
        <f t="shared" si="1207"/>
        <v>0</v>
      </c>
      <c r="AK506" s="201">
        <f t="shared" si="1207"/>
        <v>-24849</v>
      </c>
      <c r="AL506" s="201">
        <f t="shared" si="1207"/>
        <v>-22846</v>
      </c>
      <c r="AM506" s="201">
        <f t="shared" ref="AM506" si="1210">ROUND((((AM12)-(AM23+AM25+AM26+AM28+AM29-AM512+AM505))*$C$515),0)</f>
        <v>-1174172</v>
      </c>
      <c r="AN506" s="201">
        <f>ROUND((((AN12)-(AN23+AN25+AN26+AN28+AN29-AN512+AN505))*$C$515),0)</f>
        <v>-850344</v>
      </c>
      <c r="AO506" s="201">
        <f t="shared" ref="AO506:AP506" si="1211">ROUND((((AO12)-(AO23+AO25+AO26+AO28+AO29-AO512+AO505))*$C$515),0)</f>
        <v>0</v>
      </c>
      <c r="AP506" s="201">
        <f t="shared" si="1211"/>
        <v>-237485</v>
      </c>
      <c r="AQ506" s="201">
        <f>ROUND((((AQ12)-(AQ23+AQ25+AQ26+AQ28+AQ29-AQ512+AQ505))*$C$515),0)</f>
        <v>-241809</v>
      </c>
      <c r="AR506" s="201">
        <f t="shared" ref="AR506" si="1212">ROUND((((AR12)-(AR23+AR25+AR26+AR28+AR29-AR512+AR505))*$C$515),0)</f>
        <v>336976</v>
      </c>
      <c r="AS506" s="201">
        <f>ROUND((((AS12)-(AS23+AS25+AS26+AS28+AS29-AS512+AS505))*$C$515),0)</f>
        <v>-28081</v>
      </c>
      <c r="AT506" s="201">
        <f t="shared" ref="AT506" si="1213">ROUND((((AT12)-(AT23+AT25+AT26+AT28+AT29-AT512+AT505))*$C$515),0)</f>
        <v>-1680795</v>
      </c>
      <c r="AU506" s="201">
        <f t="shared" ref="AU506" si="1214">ROUND((((AU12)-(AU23+AU25+AU26+AU28+AU29-AU512+AU505))*$C$515),0)</f>
        <v>1680795</v>
      </c>
      <c r="AV506" s="201">
        <f t="shared" ref="AV506" si="1215">ROUND((((AV12)-(AV23+AV25+AV26+AV28+AV29-AV512+AV505))*$C$515),0)</f>
        <v>1112091</v>
      </c>
      <c r="AW506" s="201">
        <f>ROUND((((AW12)-(AW23+AW25+AW26+AW28+AW29+AW505))*$C$515),0)</f>
        <v>-182717</v>
      </c>
      <c r="AX506" s="201">
        <f t="shared" ref="AX506" si="1216">ROUND((((AX12)-(AX23+AX25+AX26+AX28+AX29+AX505))*$C$515),0)</f>
        <v>182717</v>
      </c>
      <c r="AY506" s="201">
        <f>ROUND((((AY12)-(AY23+AY25+AY26+AY28+AY29+AY505))*$C$515),0)</f>
        <v>0</v>
      </c>
      <c r="AZ506" s="201">
        <f>ROUND((((AZ12)-(AZ23+AZ25+AZ26+AZ28+AZ29-AZ512+AZ505))*$C$515),0)</f>
        <v>0</v>
      </c>
      <c r="BA506" s="201">
        <v>2368858.334302953</v>
      </c>
      <c r="BB506" s="201">
        <f>ROUND((((BB12)-(BB23+BB25+BB26+BB28+BB29-BB512+BB505))*$C$515),0)</f>
        <v>0</v>
      </c>
      <c r="BC506" s="201">
        <f>ROUND((((BC12)-(BC23+BC25+BC26+BC28+BC29-BC512+BC505))*$C$515),0)</f>
        <v>0</v>
      </c>
      <c r="BD506" s="201">
        <f>ROUND((((BD12)-(BD23+BD25+BD26+BD28+BD29-BD512+BD505))*$C$515),0)</f>
        <v>0</v>
      </c>
      <c r="BE506" s="201">
        <f>ROUND((((BE12)-(BE23+BE25+BE26+BE28+BE29-BE512+BE505))*$C$515),0)</f>
        <v>0</v>
      </c>
      <c r="BF506" s="201">
        <f t="shared" ref="BF506" si="1217">ROUND((((BF12)-(BF23+BF25+BF26+BF28+BF29+BF505))*$C$515),0)</f>
        <v>0</v>
      </c>
    </row>
    <row r="507" spans="1:58" ht="14.15" customHeight="1">
      <c r="A507" s="404">
        <f t="shared" si="1159"/>
        <v>501</v>
      </c>
      <c r="B507" s="123" t="s">
        <v>310</v>
      </c>
      <c r="C507" s="38">
        <f>SUM(D507:BF507)</f>
        <v>4873835</v>
      </c>
      <c r="D507" s="43">
        <f>ROUND(D512*D513*$C$515*-1,0)</f>
        <v>0</v>
      </c>
      <c r="E507" s="43">
        <f>ROUND(E512*E513*$C$515*-1,0)</f>
        <v>0</v>
      </c>
      <c r="F507" s="43">
        <v>0</v>
      </c>
      <c r="G507" s="43">
        <f>ROUND(G512*G513*$C$515*-1,0)</f>
        <v>0</v>
      </c>
      <c r="H507" s="43">
        <f>ROUND(H512*H513*$C$515*-1,0)</f>
        <v>0</v>
      </c>
      <c r="I507" s="43">
        <f>ROUND(I512*I513*$C$515*-1,0)</f>
        <v>0</v>
      </c>
      <c r="J507" s="43">
        <f t="shared" ref="J507:V507" si="1218">ROUND(J512*J513*$C$515*-1,0)</f>
        <v>0</v>
      </c>
      <c r="K507" s="43">
        <f t="shared" ref="K507:T507" si="1219">ROUND(K512*K513*$C$515*-1,0)</f>
        <v>0</v>
      </c>
      <c r="L507" s="43">
        <f t="shared" si="1219"/>
        <v>0</v>
      </c>
      <c r="M507" s="43">
        <f t="shared" si="1219"/>
        <v>0</v>
      </c>
      <c r="N507" s="43">
        <f t="shared" si="1219"/>
        <v>0</v>
      </c>
      <c r="O507" s="43">
        <f t="shared" si="1219"/>
        <v>0</v>
      </c>
      <c r="P507" s="43">
        <f t="shared" si="1219"/>
        <v>0</v>
      </c>
      <c r="Q507" s="43">
        <f t="shared" si="1219"/>
        <v>0</v>
      </c>
      <c r="R507" s="43">
        <f t="shared" si="1219"/>
        <v>0</v>
      </c>
      <c r="S507" s="43">
        <f t="shared" si="1219"/>
        <v>0</v>
      </c>
      <c r="T507" s="43">
        <f t="shared" si="1219"/>
        <v>0</v>
      </c>
      <c r="U507" s="43">
        <v>195366</v>
      </c>
      <c r="V507" s="43">
        <f t="shared" si="1218"/>
        <v>0</v>
      </c>
      <c r="W507" s="43">
        <f>ROUND(W512*W513*$C$515*-1,0)</f>
        <v>0</v>
      </c>
      <c r="X507" s="43">
        <f t="shared" ref="X507:AD507" si="1220">ROUND(X512*X513*$C$515*-1,0)</f>
        <v>0</v>
      </c>
      <c r="Y507" s="43">
        <f>ROUND(Y512*Y513*$C$515*-1,0)</f>
        <v>0</v>
      </c>
      <c r="Z507" s="43">
        <f t="shared" si="1220"/>
        <v>0</v>
      </c>
      <c r="AA507" s="43">
        <f t="shared" si="1220"/>
        <v>0</v>
      </c>
      <c r="AB507" s="43">
        <f t="shared" si="1220"/>
        <v>0</v>
      </c>
      <c r="AC507" s="43">
        <f t="shared" si="1220"/>
        <v>-1046851</v>
      </c>
      <c r="AD507" s="43">
        <f t="shared" si="1220"/>
        <v>0</v>
      </c>
      <c r="AE507" s="43">
        <f>ROUND(AE512*AE513*$C$515*-1,0)</f>
        <v>0</v>
      </c>
      <c r="AF507" s="43">
        <f>ROUND(AF512*AF513*$C$515*-1,0)</f>
        <v>0</v>
      </c>
      <c r="AG507" s="43">
        <f>ROUND(AG512*AG513*$C$515*-1,0)</f>
        <v>0</v>
      </c>
      <c r="AH507" s="43">
        <f t="shared" ref="AH507" si="1221">ROUND(AH512*AH513*$C$515*-1,0)</f>
        <v>0</v>
      </c>
      <c r="AI507" s="43">
        <f t="shared" ref="AI507:AM507" si="1222">ROUND(AI512*AI513*$C$515*-1,0)</f>
        <v>-442599</v>
      </c>
      <c r="AJ507" s="43">
        <f t="shared" si="1222"/>
        <v>-23807</v>
      </c>
      <c r="AK507" s="43">
        <f t="shared" si="1222"/>
        <v>0</v>
      </c>
      <c r="AL507" s="43">
        <f t="shared" si="1222"/>
        <v>0</v>
      </c>
      <c r="AM507" s="43">
        <f t="shared" si="1222"/>
        <v>1236096</v>
      </c>
      <c r="AN507" s="43">
        <f>ROUND(AN512*AN513*$C$515*-1,0)</f>
        <v>0</v>
      </c>
      <c r="AO507" s="43">
        <f t="shared" ref="AO507:AP507" si="1223">ROUND(AO512*AO513*$C$515*-1,0)</f>
        <v>0</v>
      </c>
      <c r="AP507" s="43">
        <f t="shared" si="1223"/>
        <v>0</v>
      </c>
      <c r="AQ507" s="43">
        <v>0</v>
      </c>
      <c r="AR507" s="43">
        <v>0</v>
      </c>
      <c r="AS507" s="43">
        <v>0</v>
      </c>
      <c r="AT507" s="43">
        <f t="shared" ref="AT507:AU507" si="1224">ROUND(AT512*AT513*$C$515*-1,0)</f>
        <v>1053489</v>
      </c>
      <c r="AU507" s="43">
        <f t="shared" si="1224"/>
        <v>0</v>
      </c>
      <c r="AV507" s="43">
        <f t="shared" ref="AV507" si="1225">ROUND(AV512*AV513*$C$515*-1,0)</f>
        <v>0</v>
      </c>
      <c r="AW507" s="43">
        <f>ROUND(AW512*AW513*$C$515*-1,0)</f>
        <v>0</v>
      </c>
      <c r="AX507" s="43">
        <f t="shared" ref="AX507" si="1226">ROUND(AX512*AX513*$C$515*-1,0)</f>
        <v>0</v>
      </c>
      <c r="AY507" s="43">
        <f>ROUND(AY512*AY513*$C$515*-1,0)</f>
        <v>0</v>
      </c>
      <c r="AZ507" s="43">
        <v>3902141</v>
      </c>
      <c r="BA507" s="43">
        <v>0</v>
      </c>
      <c r="BB507" s="43">
        <f t="shared" ref="BB507" si="1227">ROUND(BB512*BB513*$C$515*-1,0)</f>
        <v>0</v>
      </c>
      <c r="BC507" s="43">
        <f>ROUND(BC512*BC513*$C$515*-1,0)</f>
        <v>0</v>
      </c>
      <c r="BD507" s="43">
        <f>ROUND(BD512*BD513*$C$515*-1,0)</f>
        <v>0</v>
      </c>
      <c r="BE507" s="43">
        <f>ROUND(BE512*BE513*$C$515*-1,0)</f>
        <v>0</v>
      </c>
      <c r="BF507" s="43">
        <f t="shared" ref="BF507" si="1228">ROUND(BF512*BF513*$C$515*-1,0)</f>
        <v>0</v>
      </c>
    </row>
    <row r="508" spans="1:58" ht="14.15" customHeight="1">
      <c r="A508" s="404">
        <f t="shared" si="1159"/>
        <v>502</v>
      </c>
      <c r="B508" s="123" t="s">
        <v>311</v>
      </c>
      <c r="C508" s="38">
        <f>SUM(D508:BF508)</f>
        <v>0</v>
      </c>
      <c r="D508" s="43">
        <v>0</v>
      </c>
      <c r="E508" s="43">
        <v>0</v>
      </c>
      <c r="F508" s="43">
        <v>0</v>
      </c>
      <c r="G508" s="43">
        <v>0</v>
      </c>
      <c r="H508" s="43">
        <v>0</v>
      </c>
      <c r="I508" s="43">
        <v>0</v>
      </c>
      <c r="J508" s="43">
        <v>0</v>
      </c>
      <c r="K508" s="43">
        <v>0</v>
      </c>
      <c r="L508" s="43">
        <v>0</v>
      </c>
      <c r="M508" s="43">
        <v>0</v>
      </c>
      <c r="N508" s="43">
        <v>0</v>
      </c>
      <c r="O508" s="43">
        <v>0</v>
      </c>
      <c r="P508" s="43">
        <v>0</v>
      </c>
      <c r="Q508" s="43">
        <v>0</v>
      </c>
      <c r="R508" s="43">
        <v>0</v>
      </c>
      <c r="S508" s="43">
        <v>0</v>
      </c>
      <c r="T508" s="43">
        <v>0</v>
      </c>
      <c r="U508" s="43">
        <v>0</v>
      </c>
      <c r="V508" s="43">
        <v>0</v>
      </c>
      <c r="W508" s="43">
        <v>0</v>
      </c>
      <c r="X508" s="43">
        <v>0</v>
      </c>
      <c r="Y508" s="43">
        <v>0</v>
      </c>
      <c r="Z508" s="43">
        <v>0</v>
      </c>
      <c r="AA508" s="43">
        <v>0</v>
      </c>
      <c r="AB508" s="43">
        <v>0</v>
      </c>
      <c r="AC508" s="43">
        <v>0</v>
      </c>
      <c r="AD508" s="43">
        <v>0</v>
      </c>
      <c r="AE508" s="43">
        <v>0</v>
      </c>
      <c r="AF508" s="43">
        <v>0</v>
      </c>
      <c r="AG508" s="43">
        <v>0</v>
      </c>
      <c r="AH508" s="43">
        <v>0</v>
      </c>
      <c r="AI508" s="43">
        <v>0</v>
      </c>
      <c r="AJ508" s="43">
        <v>0</v>
      </c>
      <c r="AK508" s="43">
        <v>0</v>
      </c>
      <c r="AL508" s="43">
        <v>0</v>
      </c>
      <c r="AM508" s="43">
        <v>0</v>
      </c>
      <c r="AN508" s="43">
        <v>0</v>
      </c>
      <c r="AO508" s="43">
        <v>0</v>
      </c>
      <c r="AP508" s="43">
        <v>0</v>
      </c>
      <c r="AQ508" s="43">
        <v>0</v>
      </c>
      <c r="AR508" s="43">
        <v>0</v>
      </c>
      <c r="AS508" s="43">
        <v>0</v>
      </c>
      <c r="AT508" s="43">
        <v>0</v>
      </c>
      <c r="AU508" s="43">
        <v>0</v>
      </c>
      <c r="AV508" s="43">
        <v>0</v>
      </c>
      <c r="AW508" s="43">
        <v>0</v>
      </c>
      <c r="AX508" s="43">
        <v>0</v>
      </c>
      <c r="AY508" s="43">
        <v>0</v>
      </c>
      <c r="AZ508" s="43">
        <v>0</v>
      </c>
      <c r="BA508" s="43">
        <v>0</v>
      </c>
      <c r="BB508" s="43">
        <v>0</v>
      </c>
      <c r="BC508" s="43">
        <v>0</v>
      </c>
      <c r="BD508" s="43">
        <v>0</v>
      </c>
      <c r="BE508" s="43">
        <v>0</v>
      </c>
      <c r="BF508" s="43">
        <v>0</v>
      </c>
    </row>
    <row r="509" spans="1:58" ht="14.15" customHeight="1">
      <c r="A509" s="404">
        <f t="shared" si="1159"/>
        <v>503</v>
      </c>
      <c r="B509" s="57" t="s">
        <v>325</v>
      </c>
      <c r="C509" s="38">
        <f>SUM(D509:BF509)</f>
        <v>0</v>
      </c>
      <c r="D509" s="43">
        <v>0</v>
      </c>
      <c r="E509" s="43">
        <v>0</v>
      </c>
      <c r="F509" s="43">
        <v>0</v>
      </c>
      <c r="G509" s="43">
        <v>0</v>
      </c>
      <c r="H509" s="43">
        <v>0</v>
      </c>
      <c r="I509" s="43">
        <v>0</v>
      </c>
      <c r="J509" s="43">
        <v>0</v>
      </c>
      <c r="K509" s="43">
        <v>0</v>
      </c>
      <c r="L509" s="43">
        <v>0</v>
      </c>
      <c r="M509" s="43">
        <v>0</v>
      </c>
      <c r="N509" s="43">
        <v>0</v>
      </c>
      <c r="O509" s="43">
        <v>0</v>
      </c>
      <c r="P509" s="43">
        <v>0</v>
      </c>
      <c r="Q509" s="43">
        <v>0</v>
      </c>
      <c r="R509" s="43">
        <v>0</v>
      </c>
      <c r="S509" s="43">
        <v>0</v>
      </c>
      <c r="T509" s="43">
        <v>0</v>
      </c>
      <c r="U509" s="43">
        <v>0</v>
      </c>
      <c r="V509" s="43">
        <v>0</v>
      </c>
      <c r="W509" s="43">
        <v>0</v>
      </c>
      <c r="X509" s="43">
        <v>0</v>
      </c>
      <c r="Y509" s="43">
        <v>0</v>
      </c>
      <c r="Z509" s="43">
        <v>0</v>
      </c>
      <c r="AA509" s="43">
        <v>0</v>
      </c>
      <c r="AB509" s="43">
        <v>0</v>
      </c>
      <c r="AC509" s="43">
        <v>0</v>
      </c>
      <c r="AD509" s="43">
        <v>0</v>
      </c>
      <c r="AE509" s="43">
        <v>0</v>
      </c>
      <c r="AF509" s="43">
        <v>0</v>
      </c>
      <c r="AG509" s="43">
        <v>0</v>
      </c>
      <c r="AH509" s="43">
        <v>0</v>
      </c>
      <c r="AI509" s="43">
        <v>0</v>
      </c>
      <c r="AJ509" s="43">
        <v>0</v>
      </c>
      <c r="AK509" s="43">
        <v>0</v>
      </c>
      <c r="AL509" s="43">
        <v>0</v>
      </c>
      <c r="AM509" s="43">
        <v>0</v>
      </c>
      <c r="AN509" s="43">
        <v>0</v>
      </c>
      <c r="AO509" s="43">
        <v>0</v>
      </c>
      <c r="AP509" s="43">
        <v>0</v>
      </c>
      <c r="AQ509" s="43">
        <v>0</v>
      </c>
      <c r="AR509" s="43">
        <v>0</v>
      </c>
      <c r="AS509" s="43">
        <v>0</v>
      </c>
      <c r="AT509" s="43">
        <v>0</v>
      </c>
      <c r="AU509" s="43">
        <v>0</v>
      </c>
      <c r="AV509" s="43">
        <v>0</v>
      </c>
      <c r="AW509" s="43">
        <v>0</v>
      </c>
      <c r="AX509" s="43">
        <v>0</v>
      </c>
      <c r="AY509" s="43">
        <v>0</v>
      </c>
      <c r="AZ509" s="43">
        <v>0</v>
      </c>
      <c r="BA509" s="43">
        <v>0</v>
      </c>
      <c r="BB509" s="43">
        <v>0</v>
      </c>
      <c r="BC509" s="43">
        <v>0</v>
      </c>
      <c r="BD509" s="43">
        <v>0</v>
      </c>
      <c r="BE509" s="43">
        <v>0</v>
      </c>
      <c r="BF509" s="43">
        <v>0</v>
      </c>
    </row>
    <row r="510" spans="1:58" ht="14.15" customHeight="1">
      <c r="A510" s="404">
        <f>+A509+1</f>
        <v>504</v>
      </c>
      <c r="B510" s="13" t="s">
        <v>312</v>
      </c>
      <c r="C510" s="47">
        <f t="shared" ref="C510" si="1229">SUM(C504:C509)</f>
        <v>4263542.1142667318</v>
      </c>
      <c r="D510" s="47">
        <f t="shared" ref="D510:W510" si="1230">SUM(D504:D509)</f>
        <v>611359</v>
      </c>
      <c r="E510" s="47">
        <f t="shared" si="1230"/>
        <v>-128622</v>
      </c>
      <c r="F510" s="47">
        <f t="shared" si="1230"/>
        <v>36197</v>
      </c>
      <c r="G510" s="47">
        <f t="shared" si="1230"/>
        <v>676964</v>
      </c>
      <c r="H510" s="47">
        <f t="shared" si="1230"/>
        <v>8236303</v>
      </c>
      <c r="I510" s="47">
        <f t="shared" si="1230"/>
        <v>160515</v>
      </c>
      <c r="J510" s="47">
        <f t="shared" si="1230"/>
        <v>50924</v>
      </c>
      <c r="K510" s="47">
        <f t="shared" si="1230"/>
        <v>-5411802</v>
      </c>
      <c r="L510" s="47">
        <f t="shared" si="1230"/>
        <v>-1693841</v>
      </c>
      <c r="M510" s="47">
        <f t="shared" si="1230"/>
        <v>-3296576</v>
      </c>
      <c r="N510" s="47">
        <f t="shared" si="1230"/>
        <v>-14432</v>
      </c>
      <c r="O510" s="47">
        <f t="shared" si="1230"/>
        <v>0</v>
      </c>
      <c r="P510" s="47">
        <f t="shared" si="1230"/>
        <v>0</v>
      </c>
      <c r="Q510" s="47">
        <f t="shared" si="1230"/>
        <v>-543876</v>
      </c>
      <c r="R510" s="47">
        <f t="shared" si="1230"/>
        <v>-145893</v>
      </c>
      <c r="S510" s="47">
        <f t="shared" si="1230"/>
        <v>-2491242</v>
      </c>
      <c r="T510" s="47">
        <f t="shared" si="1230"/>
        <v>-73011</v>
      </c>
      <c r="U510" s="47">
        <f t="shared" si="1230"/>
        <v>-1016527</v>
      </c>
      <c r="V510" s="47">
        <f t="shared" si="1230"/>
        <v>3265923</v>
      </c>
      <c r="W510" s="47">
        <f t="shared" si="1230"/>
        <v>60867</v>
      </c>
      <c r="X510" s="47">
        <f t="shared" ref="X510:AD510" si="1231">SUM(X504:X509)</f>
        <v>-53761</v>
      </c>
      <c r="Y510" s="47">
        <f>SUM(Y504:Y509)</f>
        <v>0</v>
      </c>
      <c r="Z510" s="47">
        <f t="shared" si="1231"/>
        <v>-60382</v>
      </c>
      <c r="AA510" s="47">
        <f t="shared" si="1231"/>
        <v>13678</v>
      </c>
      <c r="AB510" s="47">
        <f t="shared" si="1231"/>
        <v>-29187</v>
      </c>
      <c r="AC510" s="47">
        <f t="shared" si="1231"/>
        <v>-1046851</v>
      </c>
      <c r="AD510" s="47">
        <f t="shared" si="1231"/>
        <v>15420</v>
      </c>
      <c r="AE510" s="47">
        <f>SUM(AE504:AE509)</f>
        <v>-116172</v>
      </c>
      <c r="AF510" s="47">
        <f>SUM(AF504:AF509)</f>
        <v>770331</v>
      </c>
      <c r="AG510" s="47">
        <f>SUM(AG504:AG509)</f>
        <v>-843083</v>
      </c>
      <c r="AH510" s="47">
        <f t="shared" ref="AH510:AL510" si="1232">SUM(AH504:AH509)</f>
        <v>6033</v>
      </c>
      <c r="AI510" s="47">
        <f t="shared" si="1232"/>
        <v>-442599</v>
      </c>
      <c r="AJ510" s="47">
        <f t="shared" si="1232"/>
        <v>-23807</v>
      </c>
      <c r="AK510" s="47">
        <f t="shared" si="1232"/>
        <v>-31089</v>
      </c>
      <c r="AL510" s="47">
        <f t="shared" si="1232"/>
        <v>-28584</v>
      </c>
      <c r="AM510" s="47">
        <f>SUM(AM504:AM509)</f>
        <v>-232956</v>
      </c>
      <c r="AN510" s="47">
        <f>SUM(AN504:AN509)</f>
        <v>-1063898</v>
      </c>
      <c r="AO510" s="47">
        <f>SUM(AO504:AO509)</f>
        <v>0</v>
      </c>
      <c r="AP510" s="47">
        <f>SUM(AP504:AP509)</f>
        <v>-297127</v>
      </c>
      <c r="AQ510" s="47">
        <f>SUM(AQ504:AQ509)</f>
        <v>-302536</v>
      </c>
      <c r="AR510" s="47">
        <f t="shared" ref="AR510" si="1233">SUM(AR504:AR509)</f>
        <v>421604</v>
      </c>
      <c r="AS510" s="47">
        <f>SUM(AS504:AS509)</f>
        <v>-35133</v>
      </c>
      <c r="AT510" s="47">
        <f t="shared" ref="AT510" si="1234">SUM(AT504:AT509)</f>
        <v>-1049418</v>
      </c>
      <c r="AU510" s="47">
        <f t="shared" ref="AU510" si="1235">SUM(AU504:AU509)</f>
        <v>2102907</v>
      </c>
      <c r="AV510" s="47">
        <f t="shared" ref="AV510" si="1236">SUM(AV504:AV509)</f>
        <v>1391380</v>
      </c>
      <c r="AW510" s="47">
        <f>SUM(AW504:AW509)</f>
        <v>-228604</v>
      </c>
      <c r="AX510" s="47">
        <f t="shared" ref="AX510" si="1237">SUM(AX504:AX509)</f>
        <v>228604</v>
      </c>
      <c r="AY510" s="47">
        <f t="shared" ref="AY510:BF510" si="1238">SUM(AY504:AY509)</f>
        <v>0</v>
      </c>
      <c r="AZ510" s="47">
        <f t="shared" si="1238"/>
        <v>3902141</v>
      </c>
      <c r="BA510" s="47">
        <f t="shared" si="1238"/>
        <v>2963769.6842667316</v>
      </c>
      <c r="BB510" s="47">
        <f t="shared" si="1238"/>
        <v>0</v>
      </c>
      <c r="BC510" s="47">
        <f t="shared" si="1238"/>
        <v>0</v>
      </c>
      <c r="BD510" s="47">
        <f t="shared" si="1238"/>
        <v>0</v>
      </c>
      <c r="BE510" s="47">
        <f t="shared" si="1238"/>
        <v>0</v>
      </c>
      <c r="BF510" s="47">
        <f t="shared" si="1238"/>
        <v>0</v>
      </c>
    </row>
    <row r="511" spans="1:58" ht="14.15" customHeight="1">
      <c r="B511" s="22"/>
      <c r="C511" s="22"/>
    </row>
    <row r="512" spans="1:58" ht="14.15" customHeight="1">
      <c r="B512" s="15" t="s">
        <v>783</v>
      </c>
      <c r="C512" s="88">
        <f>SUM(J512:BF512)</f>
        <v>-4103301.3391264006</v>
      </c>
      <c r="D512" s="88">
        <v>0</v>
      </c>
      <c r="E512" s="88">
        <v>0</v>
      </c>
      <c r="F512" s="88">
        <v>0</v>
      </c>
      <c r="G512" s="88">
        <v>0</v>
      </c>
      <c r="H512" s="88">
        <v>0</v>
      </c>
      <c r="I512" s="88">
        <v>0</v>
      </c>
      <c r="J512" s="88">
        <v>0</v>
      </c>
      <c r="K512" s="88">
        <v>0</v>
      </c>
      <c r="L512" s="88">
        <v>0</v>
      </c>
      <c r="M512" s="88">
        <v>0</v>
      </c>
      <c r="N512" s="88">
        <v>0</v>
      </c>
      <c r="O512" s="88">
        <v>0</v>
      </c>
      <c r="P512" s="88">
        <v>0</v>
      </c>
      <c r="Q512" s="88">
        <v>0</v>
      </c>
      <c r="R512" s="88">
        <v>0</v>
      </c>
      <c r="S512" s="88">
        <v>0</v>
      </c>
      <c r="T512" s="88">
        <v>0</v>
      </c>
      <c r="U512" s="88">
        <v>0</v>
      </c>
      <c r="V512" s="88">
        <v>0</v>
      </c>
      <c r="W512" s="88">
        <v>0</v>
      </c>
      <c r="X512" s="88">
        <v>0</v>
      </c>
      <c r="Y512" s="88">
        <v>0</v>
      </c>
      <c r="Z512" s="88">
        <v>0</v>
      </c>
      <c r="AA512" s="88">
        <v>0</v>
      </c>
      <c r="AB512" s="88">
        <v>0</v>
      </c>
      <c r="AC512" s="88">
        <v>4985006.8612336004</v>
      </c>
      <c r="AD512" s="88">
        <v>0</v>
      </c>
      <c r="AE512" s="88">
        <v>0</v>
      </c>
      <c r="AF512" s="88">
        <v>0</v>
      </c>
      <c r="AG512" s="88">
        <v>0</v>
      </c>
      <c r="AH512" s="88">
        <v>0</v>
      </c>
      <c r="AI512" s="88">
        <v>3942450</v>
      </c>
      <c r="AJ512" s="88">
        <v>113368.78</v>
      </c>
      <c r="AK512" s="88">
        <v>0</v>
      </c>
      <c r="AL512" s="88">
        <v>0</v>
      </c>
      <c r="AM512" s="88">
        <v>-5886172.9803599995</v>
      </c>
      <c r="AN512" s="88">
        <v>0</v>
      </c>
      <c r="AO512" s="88">
        <f>0</f>
        <v>0</v>
      </c>
      <c r="AP512" s="88">
        <v>0</v>
      </c>
      <c r="AQ512" s="88">
        <v>0</v>
      </c>
      <c r="AR512" s="88">
        <v>0</v>
      </c>
      <c r="AS512" s="88">
        <v>0</v>
      </c>
      <c r="AT512" s="88">
        <v>-7257954</v>
      </c>
      <c r="AU512" s="88">
        <f>0</f>
        <v>0</v>
      </c>
      <c r="AV512" s="88">
        <v>0</v>
      </c>
      <c r="AW512" s="88">
        <v>0</v>
      </c>
      <c r="AX512" s="88">
        <v>0</v>
      </c>
      <c r="AY512" s="88">
        <v>0</v>
      </c>
      <c r="AZ512" s="88">
        <v>0</v>
      </c>
      <c r="BA512" s="88">
        <v>0</v>
      </c>
      <c r="BB512" s="88">
        <v>0</v>
      </c>
      <c r="BC512" s="88">
        <v>0</v>
      </c>
      <c r="BD512" s="88">
        <v>0</v>
      </c>
      <c r="BE512" s="88">
        <v>0</v>
      </c>
      <c r="BF512" s="88">
        <v>0</v>
      </c>
    </row>
    <row r="513" spans="2:58" ht="14.15" customHeight="1">
      <c r="B513" s="15" t="s">
        <v>784</v>
      </c>
      <c r="C513" s="186"/>
      <c r="D513" s="90">
        <v>1</v>
      </c>
      <c r="E513" s="90">
        <v>1</v>
      </c>
      <c r="F513" s="90">
        <v>1</v>
      </c>
      <c r="G513" s="90">
        <v>1</v>
      </c>
      <c r="H513" s="90">
        <v>1</v>
      </c>
      <c r="I513" s="90">
        <v>1</v>
      </c>
      <c r="J513" s="90">
        <v>1</v>
      </c>
      <c r="K513" s="90">
        <v>1</v>
      </c>
      <c r="L513" s="90">
        <v>1</v>
      </c>
      <c r="M513" s="90">
        <v>1</v>
      </c>
      <c r="N513" s="90">
        <v>1</v>
      </c>
      <c r="O513" s="90">
        <v>1</v>
      </c>
      <c r="P513" s="90">
        <v>1</v>
      </c>
      <c r="Q513" s="90">
        <v>1</v>
      </c>
      <c r="R513" s="90">
        <v>1</v>
      </c>
      <c r="S513" s="90">
        <v>1</v>
      </c>
      <c r="T513" s="90">
        <v>1</v>
      </c>
      <c r="U513" s="90">
        <v>1</v>
      </c>
      <c r="V513" s="90">
        <v>1</v>
      </c>
      <c r="W513" s="90">
        <v>1</v>
      </c>
      <c r="X513" s="90">
        <v>1</v>
      </c>
      <c r="Y513" s="90">
        <v>1</v>
      </c>
      <c r="Z513" s="90">
        <v>1</v>
      </c>
      <c r="AA513" s="90">
        <v>1</v>
      </c>
      <c r="AB513" s="90">
        <v>1</v>
      </c>
      <c r="AC513" s="90">
        <v>1</v>
      </c>
      <c r="AD513" s="90">
        <v>1</v>
      </c>
      <c r="AE513" s="90">
        <v>1</v>
      </c>
      <c r="AF513" s="90">
        <v>1</v>
      </c>
      <c r="AG513" s="90">
        <v>1</v>
      </c>
      <c r="AH513" s="90">
        <v>1</v>
      </c>
      <c r="AI513" s="90">
        <v>0.53459473170236782</v>
      </c>
      <c r="AJ513" s="90">
        <v>1</v>
      </c>
      <c r="AK513" s="90">
        <v>1</v>
      </c>
      <c r="AL513" s="90">
        <v>1</v>
      </c>
      <c r="AM513" s="90">
        <v>1</v>
      </c>
      <c r="AN513" s="90">
        <v>1</v>
      </c>
      <c r="AO513" s="90">
        <v>1</v>
      </c>
      <c r="AP513" s="90">
        <v>1</v>
      </c>
      <c r="AQ513" s="90">
        <v>1</v>
      </c>
      <c r="AR513" s="90">
        <v>1</v>
      </c>
      <c r="AS513" s="90">
        <v>1</v>
      </c>
      <c r="AT513" s="90">
        <v>0.69118831560519678</v>
      </c>
      <c r="AU513" s="90">
        <v>0.69118831560519678</v>
      </c>
      <c r="AV513" s="90">
        <v>1</v>
      </c>
      <c r="AW513" s="90">
        <v>1</v>
      </c>
      <c r="AX513" s="90">
        <v>1</v>
      </c>
      <c r="AY513" s="90">
        <v>1</v>
      </c>
      <c r="AZ513" s="90">
        <v>1</v>
      </c>
      <c r="BA513" s="90">
        <v>1</v>
      </c>
      <c r="BB513" s="90">
        <v>1</v>
      </c>
      <c r="BC513" s="90">
        <v>1</v>
      </c>
      <c r="BD513" s="90">
        <v>1</v>
      </c>
      <c r="BE513" s="90">
        <v>1</v>
      </c>
      <c r="BF513" s="90">
        <v>1</v>
      </c>
    </row>
    <row r="514" spans="2:58" ht="14.15" customHeight="1">
      <c r="B514" s="193" t="s">
        <v>380</v>
      </c>
      <c r="C514" s="283">
        <f>'2 P2'!G43</f>
        <v>5.0097000000000003E-2</v>
      </c>
    </row>
    <row r="515" spans="2:58" ht="14.15" customHeight="1">
      <c r="B515" s="193" t="s">
        <v>381</v>
      </c>
      <c r="C515" s="334">
        <v>0.21</v>
      </c>
    </row>
    <row r="516" spans="2:58" ht="14.15" customHeight="1">
      <c r="B516" s="193" t="s">
        <v>893</v>
      </c>
      <c r="C516" s="202"/>
      <c r="D516" s="107">
        <f t="shared" ref="D516:I516" si="1239">D510/(D30+D27)</f>
        <v>0.24957676469831805</v>
      </c>
      <c r="E516" s="107">
        <f t="shared" si="1239"/>
        <v>0.2495762019729019</v>
      </c>
      <c r="F516" s="107">
        <f t="shared" si="1239"/>
        <v>0.24957596149868308</v>
      </c>
      <c r="G516" s="107">
        <f t="shared" si="1239"/>
        <v>0.24957663818383721</v>
      </c>
      <c r="H516" s="107">
        <f t="shared" si="1239"/>
        <v>0.24957664628579379</v>
      </c>
      <c r="I516" s="107">
        <f t="shared" si="1239"/>
        <v>0.24957708023658629</v>
      </c>
      <c r="J516" s="107">
        <f t="shared" ref="J516:AL516" si="1240">J510/(J30+J27)</f>
        <v>0.24957590866160825</v>
      </c>
      <c r="K516" s="107">
        <f t="shared" ref="K516:U516" si="1241">K510/(K30+K27)</f>
        <v>0.24957662067298103</v>
      </c>
      <c r="L516" s="107">
        <f t="shared" si="1241"/>
        <v>0.24957668175072523</v>
      </c>
      <c r="M516" s="107">
        <f t="shared" si="1241"/>
        <v>0.24957664460412801</v>
      </c>
      <c r="N516" s="107">
        <f t="shared" si="1241"/>
        <v>0.2495726897751977</v>
      </c>
      <c r="O516" s="107" t="e">
        <f t="shared" si="1241"/>
        <v>#DIV/0!</v>
      </c>
      <c r="P516" s="107" t="e">
        <f t="shared" si="1241"/>
        <v>#DIV/0!</v>
      </c>
      <c r="Q516" s="107">
        <f t="shared" si="1241"/>
        <v>0.24957665634893306</v>
      </c>
      <c r="R516" s="107">
        <f t="shared" si="1241"/>
        <v>0.2495762691158338</v>
      </c>
      <c r="S516" s="107">
        <f t="shared" si="1241"/>
        <v>0.24957660751644506</v>
      </c>
      <c r="T516" s="107">
        <f t="shared" si="1241"/>
        <v>0.24957436036464772</v>
      </c>
      <c r="U516" s="107">
        <f t="shared" si="1241"/>
        <v>0.20934317383615958</v>
      </c>
      <c r="V516" s="107">
        <f t="shared" si="1240"/>
        <v>0.24957666108226359</v>
      </c>
      <c r="W516" s="107">
        <f t="shared" ref="W516:AG516" si="1242">W510/(W30+W27)</f>
        <v>0.24957879864307905</v>
      </c>
      <c r="X516" s="107">
        <f t="shared" si="1242"/>
        <v>0.24957752269390951</v>
      </c>
      <c r="Y516" s="107" t="e">
        <f t="shared" si="1242"/>
        <v>#DIV/0!</v>
      </c>
      <c r="Z516" s="107">
        <f t="shared" si="1242"/>
        <v>0.24957534743474136</v>
      </c>
      <c r="AA516" s="107">
        <f t="shared" si="1242"/>
        <v>0.24958137004078371</v>
      </c>
      <c r="AB516" s="107">
        <f t="shared" si="1242"/>
        <v>0.2495821485015067</v>
      </c>
      <c r="AC516" s="107">
        <f t="shared" si="1242"/>
        <v>0.20999991156299913</v>
      </c>
      <c r="AD516" s="107">
        <f t="shared" si="1242"/>
        <v>0.24956706103225598</v>
      </c>
      <c r="AE516" s="107">
        <f t="shared" si="1242"/>
        <v>0.24957720411676321</v>
      </c>
      <c r="AF516" s="107">
        <f t="shared" si="1242"/>
        <v>0.24957679272222796</v>
      </c>
      <c r="AG516" s="107">
        <f t="shared" si="1242"/>
        <v>0.24957658936712745</v>
      </c>
      <c r="AH516" s="107">
        <f t="shared" si="1240"/>
        <v>0.24959270012717519</v>
      </c>
      <c r="AI516" s="107">
        <f t="shared" si="1240"/>
        <v>0.11226496214282997</v>
      </c>
      <c r="AJ516" s="107">
        <f t="shared" si="1240"/>
        <v>0.20999608534201392</v>
      </c>
      <c r="AK516" s="107">
        <f t="shared" si="1240"/>
        <v>0.24957723435606563</v>
      </c>
      <c r="AL516" s="107">
        <f t="shared" si="1240"/>
        <v>0.24957931949296217</v>
      </c>
      <c r="AM516" s="107" t="e">
        <f t="shared" ref="AM516:AS516" si="1243">AM510/(AM30+AM27)</f>
        <v>#DIV/0!</v>
      </c>
      <c r="AN516" s="107">
        <f t="shared" si="1243"/>
        <v>0.24957649115370181</v>
      </c>
      <c r="AO516" s="107" t="e">
        <f t="shared" si="1243"/>
        <v>#DIV/0!</v>
      </c>
      <c r="AP516" s="107">
        <f t="shared" si="1243"/>
        <v>0.24957644736565801</v>
      </c>
      <c r="AQ516" s="107">
        <f t="shared" si="1243"/>
        <v>0.24957646139637379</v>
      </c>
      <c r="AR516" s="107">
        <f t="shared" si="1243"/>
        <v>0.24957674175208788</v>
      </c>
      <c r="AS516" s="107">
        <f t="shared" si="1243"/>
        <v>0.24957200599546789</v>
      </c>
      <c r="AT516" s="107">
        <f t="shared" ref="AT516" si="1244">AT510/(AT30+AT27)</f>
        <v>0.89851900831171561</v>
      </c>
      <c r="AU516" s="107">
        <f t="shared" ref="AU516" si="1245">AU510/(AU30+AU27)</f>
        <v>0.24957666272195358</v>
      </c>
      <c r="AV516" s="107">
        <f>AV510/(AV30+AV27)</f>
        <v>0.24957659799570284</v>
      </c>
      <c r="AW516" s="107"/>
      <c r="AX516" s="107"/>
      <c r="AY516" s="107"/>
      <c r="AZ516" s="107"/>
      <c r="BA516" s="107"/>
      <c r="BB516" s="107"/>
      <c r="BC516" s="107"/>
      <c r="BD516" s="107"/>
      <c r="BE516" s="107"/>
      <c r="BF516" s="107"/>
    </row>
    <row r="517" spans="2:58" ht="14.15" customHeight="1">
      <c r="B517" s="193"/>
      <c r="C517" s="242"/>
      <c r="D517" s="221"/>
      <c r="J517" s="95" t="s">
        <v>1090</v>
      </c>
      <c r="K517" s="95" t="s">
        <v>1091</v>
      </c>
      <c r="L517" s="221">
        <v>7012</v>
      </c>
      <c r="M517" s="95">
        <v>7328</v>
      </c>
      <c r="N517" s="95">
        <v>7099</v>
      </c>
      <c r="AC517" s="95" t="s">
        <v>1088</v>
      </c>
      <c r="AE517" s="95">
        <v>7359</v>
      </c>
      <c r="AG517" s="95">
        <v>7048</v>
      </c>
      <c r="AI517" s="95" t="s">
        <v>1089</v>
      </c>
      <c r="AJ517" s="95">
        <v>6004</v>
      </c>
      <c r="AK517" s="95">
        <v>7581</v>
      </c>
      <c r="AM517" s="83">
        <v>6002</v>
      </c>
      <c r="AO517" s="95">
        <v>7587</v>
      </c>
      <c r="AT517" s="95" t="s">
        <v>1089</v>
      </c>
      <c r="AU517" s="95" t="s">
        <v>1089</v>
      </c>
      <c r="AZ517" s="95"/>
    </row>
    <row r="518" spans="2:58" ht="14.15" customHeight="1">
      <c r="B518" s="22"/>
      <c r="C518" s="22"/>
      <c r="D518" s="95" t="s">
        <v>890</v>
      </c>
      <c r="L518" s="95" t="s">
        <v>890</v>
      </c>
      <c r="M518" s="95" t="s">
        <v>892</v>
      </c>
      <c r="N518" s="95" t="s">
        <v>891</v>
      </c>
      <c r="AZ518" s="83" t="s">
        <v>996</v>
      </c>
    </row>
    <row r="519" spans="2:58" ht="14.15" customHeight="1">
      <c r="B519" s="22" t="s">
        <v>996</v>
      </c>
      <c r="C519" s="65">
        <v>0</v>
      </c>
    </row>
    <row r="520" spans="2:58" ht="14.15" customHeight="1">
      <c r="B520" s="22" t="s">
        <v>1092</v>
      </c>
      <c r="C520" s="65">
        <v>1611.7700581746176</v>
      </c>
    </row>
    <row r="521" spans="2:58" ht="14.15" customHeight="1">
      <c r="B521" s="22" t="s">
        <v>1093</v>
      </c>
      <c r="C521" s="182">
        <v>407.54567739262711</v>
      </c>
    </row>
    <row r="522" spans="2:58" ht="14.15" customHeight="1">
      <c r="B522" s="22"/>
      <c r="C522" s="22"/>
      <c r="J522" s="83" t="s">
        <v>48</v>
      </c>
      <c r="AI522" s="43"/>
    </row>
    <row r="523" spans="2:58" ht="14.15" customHeight="1">
      <c r="B523" s="22"/>
      <c r="C523" s="22"/>
    </row>
    <row r="524" spans="2:58" ht="14.15" customHeight="1">
      <c r="B524" s="22"/>
      <c r="C524" s="22"/>
    </row>
    <row r="525" spans="2:58" ht="14.15" customHeight="1">
      <c r="B525" s="22"/>
      <c r="C525" s="22"/>
    </row>
    <row r="526" spans="2:58" ht="14.15" customHeight="1">
      <c r="B526" s="22"/>
      <c r="C526" s="22"/>
    </row>
    <row r="527" spans="2:58" ht="14.15" customHeight="1">
      <c r="B527" s="22"/>
      <c r="C527" s="22"/>
    </row>
    <row r="528" spans="2:58" ht="14.15" customHeight="1">
      <c r="B528" s="22"/>
      <c r="C528" s="22"/>
    </row>
    <row r="529" spans="2:3" ht="14.15" customHeight="1">
      <c r="B529" s="22"/>
      <c r="C529" s="22"/>
    </row>
    <row r="530" spans="2:3" ht="14.15" customHeight="1">
      <c r="B530" s="22"/>
      <c r="C530" s="22"/>
    </row>
    <row r="531" spans="2:3" ht="14.15" customHeight="1">
      <c r="B531" s="22"/>
      <c r="C531" s="22"/>
    </row>
    <row r="532" spans="2:3" ht="14.15" customHeight="1">
      <c r="B532" s="22"/>
      <c r="C532" s="22"/>
    </row>
    <row r="533" spans="2:3" ht="14.15" customHeight="1">
      <c r="B533" s="22"/>
      <c r="C533" s="22"/>
    </row>
    <row r="534" spans="2:3" ht="14.15" customHeight="1">
      <c r="B534" s="22"/>
      <c r="C534" s="22"/>
    </row>
    <row r="535" spans="2:3" ht="14.15" customHeight="1">
      <c r="B535" s="22"/>
      <c r="C535" s="22"/>
    </row>
    <row r="536" spans="2:3" ht="14.15" customHeight="1">
      <c r="B536" s="22"/>
      <c r="C536" s="22"/>
    </row>
    <row r="537" spans="2:3" ht="14.15" customHeight="1">
      <c r="B537" s="22"/>
      <c r="C537" s="22"/>
    </row>
    <row r="538" spans="2:3" ht="14.15" customHeight="1">
      <c r="B538" s="22"/>
      <c r="C538" s="22"/>
    </row>
    <row r="539" spans="2:3" ht="14.15" customHeight="1">
      <c r="B539" s="22"/>
      <c r="C539" s="22"/>
    </row>
    <row r="540" spans="2:3" ht="14.15" customHeight="1">
      <c r="B540" s="22"/>
      <c r="C540" s="22"/>
    </row>
    <row r="541" spans="2:3" ht="14.15" customHeight="1">
      <c r="B541" s="22"/>
      <c r="C541" s="22"/>
    </row>
    <row r="542" spans="2:3" ht="14.15" customHeight="1">
      <c r="B542" s="22"/>
      <c r="C542" s="22"/>
    </row>
    <row r="543" spans="2:3" ht="14.15" customHeight="1">
      <c r="B543" s="22"/>
      <c r="C543" s="22"/>
    </row>
    <row r="544" spans="2:3" ht="14.15" customHeight="1">
      <c r="B544" s="22"/>
      <c r="C544" s="22"/>
    </row>
    <row r="545" spans="2:3" ht="14.15" customHeight="1">
      <c r="B545" s="22"/>
      <c r="C545" s="22"/>
    </row>
    <row r="546" spans="2:3" ht="14.15" customHeight="1">
      <c r="B546" s="22"/>
      <c r="C546" s="22"/>
    </row>
    <row r="547" spans="2:3" ht="14.15" customHeight="1">
      <c r="B547" s="22"/>
      <c r="C547" s="22"/>
    </row>
    <row r="548" spans="2:3" ht="14.15" customHeight="1">
      <c r="B548" s="22"/>
      <c r="C548" s="22"/>
    </row>
    <row r="549" spans="2:3" ht="14.15" customHeight="1">
      <c r="B549" s="22"/>
      <c r="C549" s="22"/>
    </row>
    <row r="550" spans="2:3" ht="14.15" customHeight="1">
      <c r="B550" s="22"/>
      <c r="C550" s="22"/>
    </row>
    <row r="551" spans="2:3" ht="14.15" customHeight="1">
      <c r="B551" s="22"/>
      <c r="C551" s="22"/>
    </row>
    <row r="552" spans="2:3" ht="14.15" customHeight="1">
      <c r="B552" s="22"/>
      <c r="C552" s="22"/>
    </row>
    <row r="553" spans="2:3" ht="14.15" customHeight="1">
      <c r="B553" s="22"/>
      <c r="C553" s="22"/>
    </row>
    <row r="554" spans="2:3" ht="14.15" customHeight="1">
      <c r="B554" s="22"/>
      <c r="C554" s="22"/>
    </row>
    <row r="555" spans="2:3" ht="14.15" customHeight="1">
      <c r="B555" s="22"/>
      <c r="C555" s="22"/>
    </row>
    <row r="556" spans="2:3" ht="14.15" customHeight="1">
      <c r="B556" s="22"/>
      <c r="C556" s="22"/>
    </row>
    <row r="557" spans="2:3" ht="14.15" customHeight="1">
      <c r="B557" s="22"/>
      <c r="C557" s="22"/>
    </row>
    <row r="558" spans="2:3" ht="14.15" customHeight="1">
      <c r="B558" s="22"/>
      <c r="C558" s="22"/>
    </row>
    <row r="559" spans="2:3" ht="14.15" customHeight="1">
      <c r="B559" s="22"/>
      <c r="C559" s="22"/>
    </row>
    <row r="560" spans="2:3" ht="14.15" customHeight="1">
      <c r="B560" s="22"/>
      <c r="C560" s="22"/>
    </row>
    <row r="561" spans="2:3" ht="14.15" customHeight="1">
      <c r="B561" s="22"/>
      <c r="C561" s="22"/>
    </row>
    <row r="562" spans="2:3" ht="14.15" customHeight="1">
      <c r="B562" s="22"/>
      <c r="C562" s="22"/>
    </row>
    <row r="563" spans="2:3" ht="14.15" customHeight="1">
      <c r="B563" s="22"/>
      <c r="C563" s="22"/>
    </row>
    <row r="564" spans="2:3" ht="14.15" customHeight="1">
      <c r="B564" s="22"/>
      <c r="C564" s="22"/>
    </row>
    <row r="565" spans="2:3" ht="14.15" customHeight="1">
      <c r="B565" s="22"/>
      <c r="C565" s="22"/>
    </row>
    <row r="566" spans="2:3" ht="14.15" customHeight="1">
      <c r="B566" s="22"/>
      <c r="C566" s="22"/>
    </row>
    <row r="567" spans="2:3" ht="14.15" customHeight="1">
      <c r="B567" s="22"/>
      <c r="C567" s="22"/>
    </row>
    <row r="568" spans="2:3" ht="14.15" customHeight="1">
      <c r="B568" s="22"/>
      <c r="C568" s="22"/>
    </row>
    <row r="569" spans="2:3" ht="14.15" customHeight="1">
      <c r="B569" s="22"/>
      <c r="C569" s="22"/>
    </row>
    <row r="570" spans="2:3" ht="14.15" customHeight="1">
      <c r="B570" s="22"/>
      <c r="C570" s="22"/>
    </row>
    <row r="571" spans="2:3" ht="14.15" customHeight="1">
      <c r="B571" s="22"/>
      <c r="C571" s="22"/>
    </row>
    <row r="572" spans="2:3" ht="14.15" customHeight="1">
      <c r="B572" s="22"/>
      <c r="C572" s="22"/>
    </row>
    <row r="573" spans="2:3" ht="14.15" customHeight="1">
      <c r="B573" s="22"/>
      <c r="C573" s="22"/>
    </row>
    <row r="574" spans="2:3" ht="14.15" customHeight="1">
      <c r="B574" s="22"/>
      <c r="C574" s="22"/>
    </row>
    <row r="575" spans="2:3" ht="14.15" customHeight="1">
      <c r="B575" s="22"/>
      <c r="C575" s="22"/>
    </row>
    <row r="576" spans="2:3" ht="14.15" customHeight="1">
      <c r="B576" s="22"/>
      <c r="C576" s="22"/>
    </row>
    <row r="577" spans="2:3" ht="14.15" customHeight="1">
      <c r="B577" s="22"/>
      <c r="C577" s="22"/>
    </row>
    <row r="578" spans="2:3" ht="14.15" customHeight="1">
      <c r="B578" s="22"/>
      <c r="C578" s="22"/>
    </row>
    <row r="579" spans="2:3" ht="14.15" customHeight="1">
      <c r="B579" s="22"/>
      <c r="C579" s="22"/>
    </row>
    <row r="580" spans="2:3" ht="14.15" customHeight="1">
      <c r="B580" s="22"/>
      <c r="C580" s="22"/>
    </row>
    <row r="581" spans="2:3" ht="14.15" customHeight="1">
      <c r="B581" s="22"/>
      <c r="C581" s="22"/>
    </row>
    <row r="582" spans="2:3" ht="14.15" customHeight="1">
      <c r="B582" s="22"/>
      <c r="C582" s="22"/>
    </row>
    <row r="583" spans="2:3" ht="14.15" customHeight="1">
      <c r="B583" s="22"/>
      <c r="C583" s="22"/>
    </row>
    <row r="584" spans="2:3" ht="14.15" customHeight="1">
      <c r="B584" s="22"/>
      <c r="C584" s="22"/>
    </row>
    <row r="585" spans="2:3" ht="14.15" customHeight="1">
      <c r="B585" s="22"/>
      <c r="C585" s="22"/>
    </row>
    <row r="586" spans="2:3" ht="14.15" customHeight="1">
      <c r="B586" s="22"/>
      <c r="C586" s="22"/>
    </row>
    <row r="587" spans="2:3" ht="14.15" customHeight="1">
      <c r="B587" s="22"/>
      <c r="C587" s="22"/>
    </row>
    <row r="588" spans="2:3" ht="14.15" customHeight="1">
      <c r="B588" s="22"/>
      <c r="C588" s="22"/>
    </row>
    <row r="589" spans="2:3" ht="14.15" customHeight="1">
      <c r="B589" s="22"/>
      <c r="C589" s="22"/>
    </row>
    <row r="590" spans="2:3" ht="14.15" customHeight="1">
      <c r="B590" s="22"/>
      <c r="C590" s="22"/>
    </row>
    <row r="591" spans="2:3" ht="14.15" customHeight="1">
      <c r="B591" s="22"/>
      <c r="C591" s="22"/>
    </row>
    <row r="592" spans="2:3" ht="14.15" customHeight="1">
      <c r="B592" s="22"/>
      <c r="C592" s="22"/>
    </row>
    <row r="593" spans="2:3" ht="14.15" customHeight="1">
      <c r="B593" s="22"/>
      <c r="C593" s="22"/>
    </row>
    <row r="594" spans="2:3" ht="14.15" customHeight="1">
      <c r="B594" s="22"/>
      <c r="C594" s="22"/>
    </row>
    <row r="595" spans="2:3" ht="14.15" customHeight="1">
      <c r="B595" s="22"/>
      <c r="C595" s="22"/>
    </row>
    <row r="596" spans="2:3" ht="14.15" customHeight="1">
      <c r="B596" s="22"/>
      <c r="C596" s="22"/>
    </row>
    <row r="597" spans="2:3" ht="14.15" customHeight="1">
      <c r="B597" s="22"/>
      <c r="C597" s="22"/>
    </row>
    <row r="598" spans="2:3" ht="14.15" customHeight="1">
      <c r="B598" s="22"/>
      <c r="C598" s="22"/>
    </row>
    <row r="599" spans="2:3" ht="14.15" customHeight="1">
      <c r="B599" s="22"/>
      <c r="C599" s="22"/>
    </row>
    <row r="600" spans="2:3" ht="14.15" customHeight="1">
      <c r="B600" s="22"/>
      <c r="C600" s="22"/>
    </row>
    <row r="601" spans="2:3" ht="14.15" customHeight="1">
      <c r="B601" s="22"/>
      <c r="C601" s="22"/>
    </row>
    <row r="602" spans="2:3" ht="14.15" customHeight="1">
      <c r="B602" s="22"/>
      <c r="C602" s="22"/>
    </row>
    <row r="603" spans="2:3" ht="14.15" customHeight="1">
      <c r="B603" s="22"/>
      <c r="C603" s="22"/>
    </row>
    <row r="604" spans="2:3" ht="14.15" customHeight="1">
      <c r="B604" s="22"/>
      <c r="C604" s="22"/>
    </row>
    <row r="605" spans="2:3" ht="14.15" customHeight="1">
      <c r="B605" s="22"/>
      <c r="C605" s="22"/>
    </row>
    <row r="606" spans="2:3" ht="14.15" customHeight="1">
      <c r="B606" s="22"/>
      <c r="C606" s="22"/>
    </row>
    <row r="607" spans="2:3" ht="14.15" customHeight="1">
      <c r="B607" s="22"/>
      <c r="C607" s="22"/>
    </row>
    <row r="608" spans="2:3" ht="14.15" customHeight="1">
      <c r="B608" s="22"/>
      <c r="C608" s="22"/>
    </row>
    <row r="609" spans="2:3" ht="14.15" customHeight="1">
      <c r="B609" s="22"/>
      <c r="C609" s="22"/>
    </row>
    <row r="610" spans="2:3" ht="14.15" customHeight="1">
      <c r="B610" s="22"/>
      <c r="C610" s="22"/>
    </row>
    <row r="611" spans="2:3" ht="14.15" customHeight="1">
      <c r="B611" s="22"/>
      <c r="C611" s="22"/>
    </row>
    <row r="612" spans="2:3" ht="14.15" customHeight="1">
      <c r="B612" s="22"/>
      <c r="C612" s="22"/>
    </row>
    <row r="613" spans="2:3" ht="14.15" customHeight="1">
      <c r="B613" s="22"/>
      <c r="C613" s="22"/>
    </row>
    <row r="614" spans="2:3" ht="14.15" customHeight="1">
      <c r="B614" s="22"/>
      <c r="C614" s="22"/>
    </row>
    <row r="615" spans="2:3" ht="14.15" customHeight="1">
      <c r="B615" s="22"/>
      <c r="C615" s="22"/>
    </row>
    <row r="616" spans="2:3" ht="14.15" customHeight="1">
      <c r="B616" s="22"/>
      <c r="C616" s="22"/>
    </row>
    <row r="617" spans="2:3" ht="14.15" customHeight="1">
      <c r="B617" s="22"/>
      <c r="C617" s="22"/>
    </row>
    <row r="618" spans="2:3" ht="14.15" customHeight="1">
      <c r="B618" s="22"/>
      <c r="C618" s="22"/>
    </row>
    <row r="619" spans="2:3" ht="14.15" customHeight="1">
      <c r="B619" s="22"/>
      <c r="C619" s="22"/>
    </row>
    <row r="656" spans="1:58" s="14" customFormat="1" ht="14.15" customHeight="1">
      <c r="A656" s="404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  <c r="AA656" s="83"/>
      <c r="AB656" s="83"/>
      <c r="AC656" s="83"/>
      <c r="AD656" s="83"/>
      <c r="AE656" s="83"/>
      <c r="AF656" s="83"/>
      <c r="AG656" s="83"/>
      <c r="AH656" s="83"/>
      <c r="AI656" s="83"/>
      <c r="AJ656" s="83"/>
      <c r="AK656" s="83"/>
      <c r="AL656" s="83"/>
      <c r="AM656" s="83"/>
      <c r="AN656" s="83"/>
      <c r="AO656" s="83"/>
      <c r="AP656" s="83"/>
      <c r="AQ656" s="83"/>
      <c r="AR656" s="83"/>
      <c r="AS656" s="83"/>
      <c r="AT656" s="83"/>
      <c r="AU656" s="83"/>
      <c r="AV656" s="83"/>
      <c r="AW656" s="83"/>
      <c r="AX656" s="83"/>
      <c r="AY656" s="83"/>
      <c r="AZ656" s="83"/>
      <c r="BA656" s="83"/>
      <c r="BB656" s="83"/>
      <c r="BC656" s="83"/>
      <c r="BD656" s="83"/>
      <c r="BE656" s="83"/>
      <c r="BF656" s="83"/>
    </row>
    <row r="657" spans="1:58" s="14" customFormat="1" ht="14.15" customHeight="1">
      <c r="A657" s="404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  <c r="AA657" s="83"/>
      <c r="AB657" s="83"/>
      <c r="AC657" s="83"/>
      <c r="AD657" s="83"/>
      <c r="AE657" s="83"/>
      <c r="AF657" s="83"/>
      <c r="AG657" s="83"/>
      <c r="AH657" s="83"/>
      <c r="AI657" s="83"/>
      <c r="AJ657" s="83"/>
      <c r="AK657" s="83"/>
      <c r="AL657" s="83"/>
      <c r="AM657" s="83"/>
      <c r="AN657" s="83"/>
      <c r="AO657" s="83"/>
      <c r="AP657" s="83"/>
      <c r="AQ657" s="83"/>
      <c r="AR657" s="83"/>
      <c r="AS657" s="83"/>
      <c r="AT657" s="83"/>
      <c r="AU657" s="83"/>
      <c r="AV657" s="83"/>
      <c r="AW657" s="83"/>
      <c r="AX657" s="83"/>
      <c r="AY657" s="83"/>
      <c r="AZ657" s="83"/>
      <c r="BA657" s="83"/>
      <c r="BB657" s="83"/>
      <c r="BC657" s="83"/>
      <c r="BD657" s="83"/>
      <c r="BE657" s="83"/>
      <c r="BF657" s="83"/>
    </row>
    <row r="658" spans="1:58" s="14" customFormat="1" ht="14.15" customHeight="1">
      <c r="A658" s="404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  <c r="AA658" s="83"/>
      <c r="AB658" s="83"/>
      <c r="AC658" s="83"/>
      <c r="AD658" s="83"/>
      <c r="AE658" s="83"/>
      <c r="AF658" s="83"/>
      <c r="AG658" s="83"/>
      <c r="AH658" s="83"/>
      <c r="AI658" s="83"/>
      <c r="AJ658" s="83"/>
      <c r="AK658" s="83"/>
      <c r="AL658" s="83"/>
      <c r="AM658" s="83"/>
      <c r="AN658" s="83"/>
      <c r="AO658" s="83"/>
      <c r="AP658" s="83"/>
      <c r="AQ658" s="83"/>
      <c r="AR658" s="83"/>
      <c r="AS658" s="83"/>
      <c r="AT658" s="83"/>
      <c r="AU658" s="83"/>
      <c r="AV658" s="83"/>
      <c r="AW658" s="83"/>
      <c r="AX658" s="83"/>
      <c r="AY658" s="83"/>
      <c r="AZ658" s="83"/>
      <c r="BA658" s="83"/>
      <c r="BB658" s="83"/>
      <c r="BC658" s="83"/>
      <c r="BD658" s="83"/>
      <c r="BE658" s="83"/>
      <c r="BF658" s="83"/>
    </row>
    <row r="659" spans="1:58" s="14" customFormat="1" ht="14.15" customHeight="1">
      <c r="A659" s="404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  <c r="AA659" s="83"/>
      <c r="AB659" s="83"/>
      <c r="AC659" s="83"/>
      <c r="AD659" s="83"/>
      <c r="AE659" s="83"/>
      <c r="AF659" s="83"/>
      <c r="AG659" s="83"/>
      <c r="AH659" s="83"/>
      <c r="AI659" s="83"/>
      <c r="AJ659" s="83"/>
      <c r="AK659" s="83"/>
      <c r="AL659" s="83"/>
      <c r="AM659" s="83"/>
      <c r="AN659" s="83"/>
      <c r="AO659" s="83"/>
      <c r="AP659" s="83"/>
      <c r="AQ659" s="83"/>
      <c r="AR659" s="83"/>
      <c r="AS659" s="83"/>
      <c r="AT659" s="83"/>
      <c r="AU659" s="83"/>
      <c r="AV659" s="83"/>
      <c r="AW659" s="83"/>
      <c r="AX659" s="83"/>
      <c r="AY659" s="83"/>
      <c r="AZ659" s="83"/>
      <c r="BA659" s="83"/>
      <c r="BB659" s="83"/>
      <c r="BC659" s="83"/>
      <c r="BD659" s="83"/>
      <c r="BE659" s="83"/>
      <c r="BF659" s="83"/>
    </row>
    <row r="660" spans="1:58" s="14" customFormat="1" ht="14.15" customHeight="1">
      <c r="A660" s="404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  <c r="AA660" s="83"/>
      <c r="AB660" s="83"/>
      <c r="AC660" s="83"/>
      <c r="AD660" s="83"/>
      <c r="AE660" s="83"/>
      <c r="AF660" s="83"/>
      <c r="AG660" s="83"/>
      <c r="AH660" s="83"/>
      <c r="AI660" s="83"/>
      <c r="AJ660" s="83"/>
      <c r="AK660" s="83"/>
      <c r="AL660" s="83"/>
      <c r="AM660" s="83"/>
      <c r="AN660" s="83"/>
      <c r="AO660" s="83"/>
      <c r="AP660" s="83"/>
      <c r="AQ660" s="83"/>
      <c r="AR660" s="83"/>
      <c r="AS660" s="83"/>
      <c r="AT660" s="83"/>
      <c r="AU660" s="83"/>
      <c r="AV660" s="83"/>
      <c r="AW660" s="83"/>
      <c r="AX660" s="83"/>
      <c r="AY660" s="83"/>
      <c r="AZ660" s="83"/>
      <c r="BA660" s="83"/>
      <c r="BB660" s="83"/>
      <c r="BC660" s="83"/>
      <c r="BD660" s="83"/>
      <c r="BE660" s="83"/>
      <c r="BF660" s="83"/>
    </row>
    <row r="661" spans="1:58" s="14" customFormat="1" ht="14.15" customHeight="1">
      <c r="A661" s="404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  <c r="AA661" s="83"/>
      <c r="AB661" s="83"/>
      <c r="AC661" s="83"/>
      <c r="AD661" s="83"/>
      <c r="AE661" s="83"/>
      <c r="AF661" s="83"/>
      <c r="AG661" s="83"/>
      <c r="AH661" s="83"/>
      <c r="AI661" s="83"/>
      <c r="AJ661" s="83"/>
      <c r="AK661" s="83"/>
      <c r="AL661" s="83"/>
      <c r="AM661" s="83"/>
      <c r="AN661" s="83"/>
      <c r="AO661" s="83"/>
      <c r="AP661" s="83"/>
      <c r="AQ661" s="83"/>
      <c r="AR661" s="83"/>
      <c r="AS661" s="83"/>
      <c r="AT661" s="83"/>
      <c r="AU661" s="83"/>
      <c r="AV661" s="83"/>
      <c r="AW661" s="83"/>
      <c r="AX661" s="83"/>
      <c r="AY661" s="83"/>
      <c r="AZ661" s="83"/>
      <c r="BA661" s="83"/>
      <c r="BB661" s="83"/>
      <c r="BC661" s="83"/>
      <c r="BD661" s="83"/>
      <c r="BE661" s="83"/>
      <c r="BF661" s="83"/>
    </row>
    <row r="662" spans="1:58" s="14" customFormat="1" ht="14.15" customHeight="1">
      <c r="A662" s="404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  <c r="AA662" s="83"/>
      <c r="AB662" s="83"/>
      <c r="AC662" s="83"/>
      <c r="AD662" s="83"/>
      <c r="AE662" s="83"/>
      <c r="AF662" s="83"/>
      <c r="AG662" s="83"/>
      <c r="AH662" s="83"/>
      <c r="AI662" s="83"/>
      <c r="AJ662" s="83"/>
      <c r="AK662" s="83"/>
      <c r="AL662" s="83"/>
      <c r="AM662" s="83"/>
      <c r="AN662" s="83"/>
      <c r="AO662" s="83"/>
      <c r="AP662" s="83"/>
      <c r="AQ662" s="83"/>
      <c r="AR662" s="83"/>
      <c r="AS662" s="83"/>
      <c r="AT662" s="83"/>
      <c r="AU662" s="83"/>
      <c r="AV662" s="83"/>
      <c r="AW662" s="83"/>
      <c r="AX662" s="83"/>
      <c r="AY662" s="83"/>
      <c r="AZ662" s="83"/>
      <c r="BA662" s="83"/>
      <c r="BB662" s="83"/>
      <c r="BC662" s="83"/>
      <c r="BD662" s="83"/>
      <c r="BE662" s="83"/>
      <c r="BF662" s="83"/>
    </row>
    <row r="663" spans="1:58" s="14" customFormat="1" ht="14.15" customHeight="1">
      <c r="A663" s="404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  <c r="AA663" s="83"/>
      <c r="AB663" s="83"/>
      <c r="AC663" s="83"/>
      <c r="AD663" s="83"/>
      <c r="AE663" s="83"/>
      <c r="AF663" s="83"/>
      <c r="AG663" s="83"/>
      <c r="AH663" s="83"/>
      <c r="AI663" s="83"/>
      <c r="AJ663" s="83"/>
      <c r="AK663" s="83"/>
      <c r="AL663" s="83"/>
      <c r="AM663" s="83"/>
      <c r="AN663" s="83"/>
      <c r="AO663" s="83"/>
      <c r="AP663" s="83"/>
      <c r="AQ663" s="83"/>
      <c r="AR663" s="83"/>
      <c r="AS663" s="83"/>
      <c r="AT663" s="83"/>
      <c r="AU663" s="83"/>
      <c r="AV663" s="83"/>
      <c r="AW663" s="83"/>
      <c r="AX663" s="83"/>
      <c r="AY663" s="83"/>
      <c r="AZ663" s="83"/>
      <c r="BA663" s="83"/>
      <c r="BB663" s="83"/>
      <c r="BC663" s="83"/>
      <c r="BD663" s="83"/>
      <c r="BE663" s="83"/>
      <c r="BF663" s="83"/>
    </row>
    <row r="664" spans="1:58" s="14" customFormat="1" ht="14.15" customHeight="1">
      <c r="A664" s="404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  <c r="AA664" s="83"/>
      <c r="AB664" s="83"/>
      <c r="AC664" s="83"/>
      <c r="AD664" s="83"/>
      <c r="AE664" s="83"/>
      <c r="AF664" s="83"/>
      <c r="AG664" s="83"/>
      <c r="AH664" s="83"/>
      <c r="AI664" s="83"/>
      <c r="AJ664" s="83"/>
      <c r="AK664" s="83"/>
      <c r="AL664" s="83"/>
      <c r="AM664" s="83"/>
      <c r="AN664" s="83"/>
      <c r="AO664" s="83"/>
      <c r="AP664" s="83"/>
      <c r="AQ664" s="83"/>
      <c r="AR664" s="83"/>
      <c r="AS664" s="83"/>
      <c r="AT664" s="83"/>
      <c r="AU664" s="83"/>
      <c r="AV664" s="83"/>
      <c r="AW664" s="83"/>
      <c r="AX664" s="83"/>
      <c r="AY664" s="83"/>
      <c r="AZ664" s="83"/>
      <c r="BA664" s="83"/>
      <c r="BB664" s="83"/>
      <c r="BC664" s="83"/>
      <c r="BD664" s="83"/>
      <c r="BE664" s="83"/>
      <c r="BF664" s="83"/>
    </row>
    <row r="665" spans="1:58" s="14" customFormat="1" ht="14.15" customHeight="1">
      <c r="A665" s="404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  <c r="AA665" s="83"/>
      <c r="AB665" s="83"/>
      <c r="AC665" s="83"/>
      <c r="AD665" s="83"/>
      <c r="AE665" s="83"/>
      <c r="AF665" s="83"/>
      <c r="AG665" s="83"/>
      <c r="AH665" s="83"/>
      <c r="AI665" s="83"/>
      <c r="AJ665" s="83"/>
      <c r="AK665" s="83"/>
      <c r="AL665" s="83"/>
      <c r="AM665" s="83"/>
      <c r="AN665" s="83"/>
      <c r="AO665" s="83"/>
      <c r="AP665" s="83"/>
      <c r="AQ665" s="83"/>
      <c r="AR665" s="83"/>
      <c r="AS665" s="83"/>
      <c r="AT665" s="83"/>
      <c r="AU665" s="83"/>
      <c r="AV665" s="83"/>
      <c r="AW665" s="83"/>
      <c r="AX665" s="83"/>
      <c r="AY665" s="83"/>
      <c r="AZ665" s="83"/>
      <c r="BA665" s="83"/>
      <c r="BB665" s="83"/>
      <c r="BC665" s="83"/>
      <c r="BD665" s="83"/>
      <c r="BE665" s="83"/>
      <c r="BF665" s="83"/>
    </row>
    <row r="666" spans="1:58" s="14" customFormat="1" ht="14.15" customHeight="1">
      <c r="A666" s="404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  <c r="AA666" s="83"/>
      <c r="AB666" s="83"/>
      <c r="AC666" s="83"/>
      <c r="AD666" s="83"/>
      <c r="AE666" s="83"/>
      <c r="AF666" s="83"/>
      <c r="AG666" s="83"/>
      <c r="AH666" s="83"/>
      <c r="AI666" s="83"/>
      <c r="AJ666" s="83"/>
      <c r="AK666" s="83"/>
      <c r="AL666" s="83"/>
      <c r="AM666" s="83"/>
      <c r="AN666" s="83"/>
      <c r="AO666" s="83"/>
      <c r="AP666" s="83"/>
      <c r="AQ666" s="83"/>
      <c r="AR666" s="83"/>
      <c r="AS666" s="83"/>
      <c r="AT666" s="83"/>
      <c r="AU666" s="83"/>
      <c r="AV666" s="83"/>
      <c r="AW666" s="83"/>
      <c r="AX666" s="83"/>
      <c r="AY666" s="83"/>
      <c r="AZ666" s="83"/>
      <c r="BA666" s="83"/>
      <c r="BB666" s="83"/>
      <c r="BC666" s="83"/>
      <c r="BD666" s="83"/>
      <c r="BE666" s="83"/>
      <c r="BF666" s="83"/>
    </row>
    <row r="667" spans="1:58" s="14" customFormat="1" ht="14.15" customHeight="1">
      <c r="A667" s="404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  <c r="AA667" s="83"/>
      <c r="AB667" s="83"/>
      <c r="AC667" s="83"/>
      <c r="AD667" s="83"/>
      <c r="AE667" s="83"/>
      <c r="AF667" s="83"/>
      <c r="AG667" s="83"/>
      <c r="AH667" s="83"/>
      <c r="AI667" s="83"/>
      <c r="AJ667" s="83"/>
      <c r="AK667" s="83"/>
      <c r="AL667" s="83"/>
      <c r="AM667" s="83"/>
      <c r="AN667" s="83"/>
      <c r="AO667" s="83"/>
      <c r="AP667" s="83"/>
      <c r="AQ667" s="83"/>
      <c r="AR667" s="83"/>
      <c r="AS667" s="83"/>
      <c r="AT667" s="83"/>
      <c r="AU667" s="83"/>
      <c r="AV667" s="83"/>
      <c r="AW667" s="83"/>
      <c r="AX667" s="83"/>
      <c r="AY667" s="83"/>
      <c r="AZ667" s="83"/>
      <c r="BA667" s="83"/>
      <c r="BB667" s="83"/>
      <c r="BC667" s="83"/>
      <c r="BD667" s="83"/>
      <c r="BE667" s="83"/>
      <c r="BF667" s="83"/>
    </row>
    <row r="668" spans="1:58" s="14" customFormat="1" ht="14.15" customHeight="1">
      <c r="A668" s="404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  <c r="AA668" s="83"/>
      <c r="AB668" s="83"/>
      <c r="AC668" s="83"/>
      <c r="AD668" s="83"/>
      <c r="AE668" s="83"/>
      <c r="AF668" s="83"/>
      <c r="AG668" s="83"/>
      <c r="AH668" s="83"/>
      <c r="AI668" s="83"/>
      <c r="AJ668" s="83"/>
      <c r="AK668" s="83"/>
      <c r="AL668" s="83"/>
      <c r="AM668" s="83"/>
      <c r="AN668" s="83"/>
      <c r="AO668" s="83"/>
      <c r="AP668" s="83"/>
      <c r="AQ668" s="83"/>
      <c r="AR668" s="83"/>
      <c r="AS668" s="83"/>
      <c r="AT668" s="83"/>
      <c r="AU668" s="83"/>
      <c r="AV668" s="83"/>
      <c r="AW668" s="83"/>
      <c r="AX668" s="83"/>
      <c r="AY668" s="83"/>
      <c r="AZ668" s="83"/>
      <c r="BA668" s="83"/>
      <c r="BB668" s="83"/>
      <c r="BC668" s="83"/>
      <c r="BD668" s="83"/>
      <c r="BE668" s="83"/>
      <c r="BF668" s="83"/>
    </row>
    <row r="669" spans="1:58" s="14" customFormat="1" ht="14.15" customHeight="1">
      <c r="A669" s="404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  <c r="AA669" s="83"/>
      <c r="AB669" s="83"/>
      <c r="AC669" s="83"/>
      <c r="AD669" s="83"/>
      <c r="AE669" s="83"/>
      <c r="AF669" s="83"/>
      <c r="AG669" s="83"/>
      <c r="AH669" s="83"/>
      <c r="AI669" s="83"/>
      <c r="AJ669" s="83"/>
      <c r="AK669" s="83"/>
      <c r="AL669" s="83"/>
      <c r="AM669" s="83"/>
      <c r="AN669" s="83"/>
      <c r="AO669" s="83"/>
      <c r="AP669" s="83"/>
      <c r="AQ669" s="83"/>
      <c r="AR669" s="83"/>
      <c r="AS669" s="83"/>
      <c r="AT669" s="83"/>
      <c r="AU669" s="83"/>
      <c r="AV669" s="83"/>
      <c r="AW669" s="83"/>
      <c r="AX669" s="83"/>
      <c r="AY669" s="83"/>
      <c r="AZ669" s="83"/>
      <c r="BA669" s="83"/>
      <c r="BB669" s="83"/>
      <c r="BC669" s="83"/>
      <c r="BD669" s="83"/>
      <c r="BE669" s="83"/>
      <c r="BF669" s="83"/>
    </row>
    <row r="670" spans="1:58" s="14" customFormat="1" ht="14.15" customHeight="1">
      <c r="A670" s="404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  <c r="AA670" s="83"/>
      <c r="AB670" s="83"/>
      <c r="AC670" s="83"/>
      <c r="AD670" s="83"/>
      <c r="AE670" s="83"/>
      <c r="AF670" s="83"/>
      <c r="AG670" s="83"/>
      <c r="AH670" s="83"/>
      <c r="AI670" s="83"/>
      <c r="AJ670" s="83"/>
      <c r="AK670" s="83"/>
      <c r="AL670" s="83"/>
      <c r="AM670" s="83"/>
      <c r="AN670" s="83"/>
      <c r="AO670" s="83"/>
      <c r="AP670" s="83"/>
      <c r="AQ670" s="83"/>
      <c r="AR670" s="83"/>
      <c r="AS670" s="83"/>
      <c r="AT670" s="83"/>
      <c r="AU670" s="83"/>
      <c r="AV670" s="83"/>
      <c r="AW670" s="83"/>
      <c r="AX670" s="83"/>
      <c r="AY670" s="83"/>
      <c r="AZ670" s="83"/>
      <c r="BA670" s="83"/>
      <c r="BB670" s="83"/>
      <c r="BC670" s="83"/>
      <c r="BD670" s="83"/>
      <c r="BE670" s="83"/>
      <c r="BF670" s="83"/>
    </row>
    <row r="671" spans="1:58" s="14" customFormat="1" ht="14.15" customHeight="1">
      <c r="A671" s="404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  <c r="AA671" s="83"/>
      <c r="AB671" s="83"/>
      <c r="AC671" s="83"/>
      <c r="AD671" s="83"/>
      <c r="AE671" s="83"/>
      <c r="AF671" s="83"/>
      <c r="AG671" s="83"/>
      <c r="AH671" s="83"/>
      <c r="AI671" s="83"/>
      <c r="AJ671" s="83"/>
      <c r="AK671" s="83"/>
      <c r="AL671" s="83"/>
      <c r="AM671" s="83"/>
      <c r="AN671" s="83"/>
      <c r="AO671" s="83"/>
      <c r="AP671" s="83"/>
      <c r="AQ671" s="83"/>
      <c r="AR671" s="83"/>
      <c r="AS671" s="83"/>
      <c r="AT671" s="83"/>
      <c r="AU671" s="83"/>
      <c r="AV671" s="83"/>
      <c r="AW671" s="83"/>
      <c r="AX671" s="83"/>
      <c r="AY671" s="83"/>
      <c r="AZ671" s="83"/>
      <c r="BA671" s="83"/>
      <c r="BB671" s="83"/>
      <c r="BC671" s="83"/>
      <c r="BD671" s="83"/>
      <c r="BE671" s="83"/>
      <c r="BF671" s="83"/>
    </row>
    <row r="672" spans="1:58" s="14" customFormat="1" ht="14.15" customHeight="1">
      <c r="A672" s="404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  <c r="AA672" s="83"/>
      <c r="AB672" s="83"/>
      <c r="AC672" s="83"/>
      <c r="AD672" s="83"/>
      <c r="AE672" s="83"/>
      <c r="AF672" s="83"/>
      <c r="AG672" s="83"/>
      <c r="AH672" s="83"/>
      <c r="AI672" s="83"/>
      <c r="AJ672" s="83"/>
      <c r="AK672" s="83"/>
      <c r="AL672" s="83"/>
      <c r="AM672" s="83"/>
      <c r="AN672" s="83"/>
      <c r="AO672" s="83"/>
      <c r="AP672" s="83"/>
      <c r="AQ672" s="83"/>
      <c r="AR672" s="83"/>
      <c r="AS672" s="83"/>
      <c r="AT672" s="83"/>
      <c r="AU672" s="83"/>
      <c r="AV672" s="83"/>
      <c r="AW672" s="83"/>
      <c r="AX672" s="83"/>
      <c r="AY672" s="83"/>
      <c r="AZ672" s="83"/>
      <c r="BA672" s="83"/>
      <c r="BB672" s="83"/>
      <c r="BC672" s="83"/>
      <c r="BD672" s="83"/>
      <c r="BE672" s="83"/>
      <c r="BF672" s="83"/>
    </row>
    <row r="673" spans="1:58" s="14" customFormat="1" ht="14.15" customHeight="1">
      <c r="A673" s="404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  <c r="AA673" s="83"/>
      <c r="AB673" s="83"/>
      <c r="AC673" s="83"/>
      <c r="AD673" s="83"/>
      <c r="AE673" s="83"/>
      <c r="AF673" s="83"/>
      <c r="AG673" s="83"/>
      <c r="AH673" s="83"/>
      <c r="AI673" s="83"/>
      <c r="AJ673" s="83"/>
      <c r="AK673" s="83"/>
      <c r="AL673" s="83"/>
      <c r="AM673" s="83"/>
      <c r="AN673" s="83"/>
      <c r="AO673" s="83"/>
      <c r="AP673" s="83"/>
      <c r="AQ673" s="83"/>
      <c r="AR673" s="83"/>
      <c r="AS673" s="83"/>
      <c r="AT673" s="83"/>
      <c r="AU673" s="83"/>
      <c r="AV673" s="83"/>
      <c r="AW673" s="83"/>
      <c r="AX673" s="83"/>
      <c r="AY673" s="83"/>
      <c r="AZ673" s="83"/>
      <c r="BA673" s="83"/>
      <c r="BB673" s="83"/>
      <c r="BC673" s="83"/>
      <c r="BD673" s="83"/>
      <c r="BE673" s="83"/>
      <c r="BF673" s="83"/>
    </row>
    <row r="674" spans="1:58" s="14" customFormat="1" ht="14.15" customHeight="1">
      <c r="A674" s="404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  <c r="AA674" s="83"/>
      <c r="AB674" s="83"/>
      <c r="AC674" s="83"/>
      <c r="AD674" s="83"/>
      <c r="AE674" s="83"/>
      <c r="AF674" s="83"/>
      <c r="AG674" s="83"/>
      <c r="AH674" s="83"/>
      <c r="AI674" s="83"/>
      <c r="AJ674" s="83"/>
      <c r="AK674" s="83"/>
      <c r="AL674" s="83"/>
      <c r="AM674" s="83"/>
      <c r="AN674" s="83"/>
      <c r="AO674" s="83"/>
      <c r="AP674" s="83"/>
      <c r="AQ674" s="83"/>
      <c r="AR674" s="83"/>
      <c r="AS674" s="83"/>
      <c r="AT674" s="83"/>
      <c r="AU674" s="83"/>
      <c r="AV674" s="83"/>
      <c r="AW674" s="83"/>
      <c r="AX674" s="83"/>
      <c r="AY674" s="83"/>
      <c r="AZ674" s="83"/>
      <c r="BA674" s="83"/>
      <c r="BB674" s="83"/>
      <c r="BC674" s="83"/>
      <c r="BD674" s="83"/>
      <c r="BE674" s="83"/>
      <c r="BF674" s="83"/>
    </row>
    <row r="675" spans="1:58" s="14" customFormat="1" ht="14.15" customHeight="1">
      <c r="A675" s="404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  <c r="AA675" s="83"/>
      <c r="AB675" s="83"/>
      <c r="AC675" s="83"/>
      <c r="AD675" s="83"/>
      <c r="AE675" s="83"/>
      <c r="AF675" s="83"/>
      <c r="AG675" s="83"/>
      <c r="AH675" s="83"/>
      <c r="AI675" s="83"/>
      <c r="AJ675" s="83"/>
      <c r="AK675" s="83"/>
      <c r="AL675" s="83"/>
      <c r="AM675" s="83"/>
      <c r="AN675" s="83"/>
      <c r="AO675" s="83"/>
      <c r="AP675" s="83"/>
      <c r="AQ675" s="83"/>
      <c r="AR675" s="83"/>
      <c r="AS675" s="83"/>
      <c r="AT675" s="83"/>
      <c r="AU675" s="83"/>
      <c r="AV675" s="83"/>
      <c r="AW675" s="83"/>
      <c r="AX675" s="83"/>
      <c r="AY675" s="83"/>
      <c r="AZ675" s="83"/>
      <c r="BA675" s="83"/>
      <c r="BB675" s="83"/>
      <c r="BC675" s="83"/>
      <c r="BD675" s="83"/>
      <c r="BE675" s="83"/>
      <c r="BF675" s="83"/>
    </row>
    <row r="676" spans="1:58" s="14" customFormat="1" ht="14.15" customHeight="1">
      <c r="A676" s="404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  <c r="AA676" s="83"/>
      <c r="AB676" s="83"/>
      <c r="AC676" s="83"/>
      <c r="AD676" s="83"/>
      <c r="AE676" s="83"/>
      <c r="AF676" s="83"/>
      <c r="AG676" s="83"/>
      <c r="AH676" s="83"/>
      <c r="AI676" s="83"/>
      <c r="AJ676" s="83"/>
      <c r="AK676" s="83"/>
      <c r="AL676" s="83"/>
      <c r="AM676" s="83"/>
      <c r="AN676" s="83"/>
      <c r="AO676" s="83"/>
      <c r="AP676" s="83"/>
      <c r="AQ676" s="83"/>
      <c r="AR676" s="83"/>
      <c r="AS676" s="83"/>
      <c r="AT676" s="83"/>
      <c r="AU676" s="83"/>
      <c r="AV676" s="83"/>
      <c r="AW676" s="83"/>
      <c r="AX676" s="83"/>
      <c r="AY676" s="83"/>
      <c r="AZ676" s="83"/>
      <c r="BA676" s="83"/>
      <c r="BB676" s="83"/>
      <c r="BC676" s="83"/>
      <c r="BD676" s="83"/>
      <c r="BE676" s="83"/>
      <c r="BF676" s="83"/>
    </row>
    <row r="677" spans="1:58" s="14" customFormat="1" ht="14.15" customHeight="1">
      <c r="A677" s="404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  <c r="AA677" s="83"/>
      <c r="AB677" s="83"/>
      <c r="AC677" s="83"/>
      <c r="AD677" s="83"/>
      <c r="AE677" s="83"/>
      <c r="AF677" s="83"/>
      <c r="AG677" s="83"/>
      <c r="AH677" s="83"/>
      <c r="AI677" s="83"/>
      <c r="AJ677" s="83"/>
      <c r="AK677" s="83"/>
      <c r="AL677" s="83"/>
      <c r="AM677" s="83"/>
      <c r="AN677" s="83"/>
      <c r="AO677" s="83"/>
      <c r="AP677" s="83"/>
      <c r="AQ677" s="83"/>
      <c r="AR677" s="83"/>
      <c r="AS677" s="83"/>
      <c r="AT677" s="83"/>
      <c r="AU677" s="83"/>
      <c r="AV677" s="83"/>
      <c r="AW677" s="83"/>
      <c r="AX677" s="83"/>
      <c r="AY677" s="83"/>
      <c r="AZ677" s="83"/>
      <c r="BA677" s="83"/>
      <c r="BB677" s="83"/>
      <c r="BC677" s="83"/>
      <c r="BD677" s="83"/>
      <c r="BE677" s="83"/>
      <c r="BF677" s="83"/>
    </row>
    <row r="678" spans="1:58" s="14" customFormat="1" ht="14.15" customHeight="1">
      <c r="A678" s="404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  <c r="AA678" s="83"/>
      <c r="AB678" s="83"/>
      <c r="AC678" s="83"/>
      <c r="AD678" s="83"/>
      <c r="AE678" s="83"/>
      <c r="AF678" s="83"/>
      <c r="AG678" s="83"/>
      <c r="AH678" s="83"/>
      <c r="AI678" s="83"/>
      <c r="AJ678" s="83"/>
      <c r="AK678" s="83"/>
      <c r="AL678" s="83"/>
      <c r="AM678" s="83"/>
      <c r="AN678" s="83"/>
      <c r="AO678" s="83"/>
      <c r="AP678" s="83"/>
      <c r="AQ678" s="83"/>
      <c r="AR678" s="83"/>
      <c r="AS678" s="83"/>
      <c r="AT678" s="83"/>
      <c r="AU678" s="83"/>
      <c r="AV678" s="83"/>
      <c r="AW678" s="83"/>
      <c r="AX678" s="83"/>
      <c r="AY678" s="83"/>
      <c r="AZ678" s="83"/>
      <c r="BA678" s="83"/>
      <c r="BB678" s="83"/>
      <c r="BC678" s="83"/>
      <c r="BD678" s="83"/>
      <c r="BE678" s="83"/>
      <c r="BF678" s="83"/>
    </row>
    <row r="679" spans="1:58" s="14" customFormat="1" ht="14.15" customHeight="1">
      <c r="A679" s="404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  <c r="AA679" s="83"/>
      <c r="AB679" s="83"/>
      <c r="AC679" s="83"/>
      <c r="AD679" s="83"/>
      <c r="AE679" s="83"/>
      <c r="AF679" s="83"/>
      <c r="AG679" s="83"/>
      <c r="AH679" s="83"/>
      <c r="AI679" s="83"/>
      <c r="AJ679" s="83"/>
      <c r="AK679" s="83"/>
      <c r="AL679" s="83"/>
      <c r="AM679" s="83"/>
      <c r="AN679" s="83"/>
      <c r="AO679" s="83"/>
      <c r="AP679" s="83"/>
      <c r="AQ679" s="83"/>
      <c r="AR679" s="83"/>
      <c r="AS679" s="83"/>
      <c r="AT679" s="83"/>
      <c r="AU679" s="83"/>
      <c r="AV679" s="83"/>
      <c r="AW679" s="83"/>
      <c r="AX679" s="83"/>
      <c r="AY679" s="83"/>
      <c r="AZ679" s="83"/>
      <c r="BA679" s="83"/>
      <c r="BB679" s="83"/>
      <c r="BC679" s="83"/>
      <c r="BD679" s="83"/>
      <c r="BE679" s="83"/>
      <c r="BF679" s="83"/>
    </row>
    <row r="680" spans="1:58" s="14" customFormat="1" ht="14.15" customHeight="1">
      <c r="A680" s="404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  <c r="AA680" s="83"/>
      <c r="AB680" s="83"/>
      <c r="AC680" s="83"/>
      <c r="AD680" s="83"/>
      <c r="AE680" s="83"/>
      <c r="AF680" s="83"/>
      <c r="AG680" s="83"/>
      <c r="AH680" s="83"/>
      <c r="AI680" s="83"/>
      <c r="AJ680" s="83"/>
      <c r="AK680" s="83"/>
      <c r="AL680" s="83"/>
      <c r="AM680" s="83"/>
      <c r="AN680" s="83"/>
      <c r="AO680" s="83"/>
      <c r="AP680" s="83"/>
      <c r="AQ680" s="83"/>
      <c r="AR680" s="83"/>
      <c r="AS680" s="83"/>
      <c r="AT680" s="83"/>
      <c r="AU680" s="83"/>
      <c r="AV680" s="83"/>
      <c r="AW680" s="83"/>
      <c r="AX680" s="83"/>
      <c r="AY680" s="83"/>
      <c r="AZ680" s="83"/>
      <c r="BA680" s="83"/>
      <c r="BB680" s="83"/>
      <c r="BC680" s="83"/>
      <c r="BD680" s="83"/>
      <c r="BE680" s="83"/>
      <c r="BF680" s="83"/>
    </row>
    <row r="681" spans="1:58" s="14" customFormat="1" ht="14.15" customHeight="1">
      <c r="A681" s="404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  <c r="AA681" s="83"/>
      <c r="AB681" s="83"/>
      <c r="AC681" s="83"/>
      <c r="AD681" s="83"/>
      <c r="AE681" s="83"/>
      <c r="AF681" s="83"/>
      <c r="AG681" s="83"/>
      <c r="AH681" s="83"/>
      <c r="AI681" s="83"/>
      <c r="AJ681" s="83"/>
      <c r="AK681" s="83"/>
      <c r="AL681" s="83"/>
      <c r="AM681" s="83"/>
      <c r="AN681" s="83"/>
      <c r="AO681" s="83"/>
      <c r="AP681" s="83"/>
      <c r="AQ681" s="83"/>
      <c r="AR681" s="83"/>
      <c r="AS681" s="83"/>
      <c r="AT681" s="83"/>
      <c r="AU681" s="83"/>
      <c r="AV681" s="83"/>
      <c r="AW681" s="83"/>
      <c r="AX681" s="83"/>
      <c r="AY681" s="83"/>
      <c r="AZ681" s="83"/>
      <c r="BA681" s="83"/>
      <c r="BB681" s="83"/>
      <c r="BC681" s="83"/>
      <c r="BD681" s="83"/>
      <c r="BE681" s="83"/>
      <c r="BF681" s="83"/>
    </row>
    <row r="682" spans="1:58" s="14" customFormat="1" ht="14.15" customHeight="1">
      <c r="A682" s="404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  <c r="AA682" s="83"/>
      <c r="AB682" s="83"/>
      <c r="AC682" s="83"/>
      <c r="AD682" s="83"/>
      <c r="AE682" s="83"/>
      <c r="AF682" s="83"/>
      <c r="AG682" s="83"/>
      <c r="AH682" s="83"/>
      <c r="AI682" s="83"/>
      <c r="AJ682" s="83"/>
      <c r="AK682" s="83"/>
      <c r="AL682" s="83"/>
      <c r="AM682" s="83"/>
      <c r="AN682" s="83"/>
      <c r="AO682" s="83"/>
      <c r="AP682" s="83"/>
      <c r="AQ682" s="83"/>
      <c r="AR682" s="83"/>
      <c r="AS682" s="83"/>
      <c r="AT682" s="83"/>
      <c r="AU682" s="83"/>
      <c r="AV682" s="83"/>
      <c r="AW682" s="83"/>
      <c r="AX682" s="83"/>
      <c r="AY682" s="83"/>
      <c r="AZ682" s="83"/>
      <c r="BA682" s="83"/>
      <c r="BB682" s="83"/>
      <c r="BC682" s="83"/>
      <c r="BD682" s="83"/>
      <c r="BE682" s="83"/>
      <c r="BF682" s="83"/>
    </row>
    <row r="683" spans="1:58" s="14" customFormat="1" ht="14.15" customHeight="1">
      <c r="A683" s="404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  <c r="AA683" s="83"/>
      <c r="AB683" s="83"/>
      <c r="AC683" s="83"/>
      <c r="AD683" s="83"/>
      <c r="AE683" s="83"/>
      <c r="AF683" s="83"/>
      <c r="AG683" s="83"/>
      <c r="AH683" s="83"/>
      <c r="AI683" s="83"/>
      <c r="AJ683" s="83"/>
      <c r="AK683" s="83"/>
      <c r="AL683" s="83"/>
      <c r="AM683" s="83"/>
      <c r="AN683" s="83"/>
      <c r="AO683" s="83"/>
      <c r="AP683" s="83"/>
      <c r="AQ683" s="83"/>
      <c r="AR683" s="83"/>
      <c r="AS683" s="83"/>
      <c r="AT683" s="83"/>
      <c r="AU683" s="83"/>
      <c r="AV683" s="83"/>
      <c r="AW683" s="83"/>
      <c r="AX683" s="83"/>
      <c r="AY683" s="83"/>
      <c r="AZ683" s="83"/>
      <c r="BA683" s="83"/>
      <c r="BB683" s="83"/>
      <c r="BC683" s="83"/>
      <c r="BD683" s="83"/>
      <c r="BE683" s="83"/>
      <c r="BF683" s="83"/>
    </row>
    <row r="684" spans="1:58" s="14" customFormat="1" ht="14.15" customHeight="1">
      <c r="A684" s="404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  <c r="AA684" s="83"/>
      <c r="AB684" s="83"/>
      <c r="AC684" s="83"/>
      <c r="AD684" s="83"/>
      <c r="AE684" s="83"/>
      <c r="AF684" s="83"/>
      <c r="AG684" s="83"/>
      <c r="AH684" s="83"/>
      <c r="AI684" s="83"/>
      <c r="AJ684" s="83"/>
      <c r="AK684" s="83"/>
      <c r="AL684" s="83"/>
      <c r="AM684" s="83"/>
      <c r="AN684" s="83"/>
      <c r="AO684" s="83"/>
      <c r="AP684" s="83"/>
      <c r="AQ684" s="83"/>
      <c r="AR684" s="83"/>
      <c r="AS684" s="83"/>
      <c r="AT684" s="83"/>
      <c r="AU684" s="83"/>
      <c r="AV684" s="83"/>
      <c r="AW684" s="83"/>
      <c r="AX684" s="83"/>
      <c r="AY684" s="83"/>
      <c r="AZ684" s="83"/>
      <c r="BA684" s="83"/>
      <c r="BB684" s="83"/>
      <c r="BC684" s="83"/>
      <c r="BD684" s="83"/>
      <c r="BE684" s="83"/>
      <c r="BF684" s="83"/>
    </row>
    <row r="685" spans="1:58" s="14" customFormat="1" ht="14.15" customHeight="1">
      <c r="A685" s="404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  <c r="AA685" s="83"/>
      <c r="AB685" s="83"/>
      <c r="AC685" s="83"/>
      <c r="AD685" s="83"/>
      <c r="AE685" s="83"/>
      <c r="AF685" s="83"/>
      <c r="AG685" s="83"/>
      <c r="AH685" s="83"/>
      <c r="AI685" s="83"/>
      <c r="AJ685" s="83"/>
      <c r="AK685" s="83"/>
      <c r="AL685" s="83"/>
      <c r="AM685" s="83"/>
      <c r="AN685" s="83"/>
      <c r="AO685" s="83"/>
      <c r="AP685" s="83"/>
      <c r="AQ685" s="83"/>
      <c r="AR685" s="83"/>
      <c r="AS685" s="83"/>
      <c r="AT685" s="83"/>
      <c r="AU685" s="83"/>
      <c r="AV685" s="83"/>
      <c r="AW685" s="83"/>
      <c r="AX685" s="83"/>
      <c r="AY685" s="83"/>
      <c r="AZ685" s="83"/>
      <c r="BA685" s="83"/>
      <c r="BB685" s="83"/>
      <c r="BC685" s="83"/>
      <c r="BD685" s="83"/>
      <c r="BE685" s="83"/>
      <c r="BF685" s="83"/>
    </row>
    <row r="686" spans="1:58" s="14" customFormat="1" ht="14.15" customHeight="1">
      <c r="A686" s="404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  <c r="AA686" s="83"/>
      <c r="AB686" s="83"/>
      <c r="AC686" s="83"/>
      <c r="AD686" s="83"/>
      <c r="AE686" s="83"/>
      <c r="AF686" s="83"/>
      <c r="AG686" s="83"/>
      <c r="AH686" s="83"/>
      <c r="AI686" s="83"/>
      <c r="AJ686" s="83"/>
      <c r="AK686" s="83"/>
      <c r="AL686" s="83"/>
      <c r="AM686" s="83"/>
      <c r="AN686" s="83"/>
      <c r="AO686" s="83"/>
      <c r="AP686" s="83"/>
      <c r="AQ686" s="83"/>
      <c r="AR686" s="83"/>
      <c r="AS686" s="83"/>
      <c r="AT686" s="83"/>
      <c r="AU686" s="83"/>
      <c r="AV686" s="83"/>
      <c r="AW686" s="83"/>
      <c r="AX686" s="83"/>
      <c r="AY686" s="83"/>
      <c r="AZ686" s="83"/>
      <c r="BA686" s="83"/>
      <c r="BB686" s="83"/>
      <c r="BC686" s="83"/>
      <c r="BD686" s="83"/>
      <c r="BE686" s="83"/>
      <c r="BF686" s="83"/>
    </row>
    <row r="687" spans="1:58" s="14" customFormat="1" ht="14.15" customHeight="1">
      <c r="A687" s="404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  <c r="AA687" s="83"/>
      <c r="AB687" s="83"/>
      <c r="AC687" s="83"/>
      <c r="AD687" s="83"/>
      <c r="AE687" s="83"/>
      <c r="AF687" s="83"/>
      <c r="AG687" s="83"/>
      <c r="AH687" s="83"/>
      <c r="AI687" s="83"/>
      <c r="AJ687" s="83"/>
      <c r="AK687" s="83"/>
      <c r="AL687" s="83"/>
      <c r="AM687" s="83"/>
      <c r="AN687" s="83"/>
      <c r="AO687" s="83"/>
      <c r="AP687" s="83"/>
      <c r="AQ687" s="83"/>
      <c r="AR687" s="83"/>
      <c r="AS687" s="83"/>
      <c r="AT687" s="83"/>
      <c r="AU687" s="83"/>
      <c r="AV687" s="83"/>
      <c r="AW687" s="83"/>
      <c r="AX687" s="83"/>
      <c r="AY687" s="83"/>
      <c r="AZ687" s="83"/>
      <c r="BA687" s="83"/>
      <c r="BB687" s="83"/>
      <c r="BC687" s="83"/>
      <c r="BD687" s="83"/>
      <c r="BE687" s="83"/>
      <c r="BF687" s="83"/>
    </row>
    <row r="688" spans="1:58" s="14" customFormat="1" ht="14.15" customHeight="1">
      <c r="A688" s="404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  <c r="AA688" s="83"/>
      <c r="AB688" s="83"/>
      <c r="AC688" s="83"/>
      <c r="AD688" s="83"/>
      <c r="AE688" s="83"/>
      <c r="AF688" s="83"/>
      <c r="AG688" s="83"/>
      <c r="AH688" s="83"/>
      <c r="AI688" s="83"/>
      <c r="AJ688" s="83"/>
      <c r="AK688" s="83"/>
      <c r="AL688" s="83"/>
      <c r="AM688" s="83"/>
      <c r="AN688" s="83"/>
      <c r="AO688" s="83"/>
      <c r="AP688" s="83"/>
      <c r="AQ688" s="83"/>
      <c r="AR688" s="83"/>
      <c r="AS688" s="83"/>
      <c r="AT688" s="83"/>
      <c r="AU688" s="83"/>
      <c r="AV688" s="83"/>
      <c r="AW688" s="83"/>
      <c r="AX688" s="83"/>
      <c r="AY688" s="83"/>
      <c r="AZ688" s="83"/>
      <c r="BA688" s="83"/>
      <c r="BB688" s="83"/>
      <c r="BC688" s="83"/>
      <c r="BD688" s="83"/>
      <c r="BE688" s="83"/>
      <c r="BF688" s="83"/>
    </row>
    <row r="689" spans="1:58" s="14" customFormat="1" ht="14.15" customHeight="1">
      <c r="A689" s="404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  <c r="AA689" s="83"/>
      <c r="AB689" s="83"/>
      <c r="AC689" s="83"/>
      <c r="AD689" s="83"/>
      <c r="AE689" s="83"/>
      <c r="AF689" s="83"/>
      <c r="AG689" s="83"/>
      <c r="AH689" s="83"/>
      <c r="AI689" s="83"/>
      <c r="AJ689" s="83"/>
      <c r="AK689" s="83"/>
      <c r="AL689" s="83"/>
      <c r="AM689" s="83"/>
      <c r="AN689" s="83"/>
      <c r="AO689" s="83"/>
      <c r="AP689" s="83"/>
      <c r="AQ689" s="83"/>
      <c r="AR689" s="83"/>
      <c r="AS689" s="83"/>
      <c r="AT689" s="83"/>
      <c r="AU689" s="83"/>
      <c r="AV689" s="83"/>
      <c r="AW689" s="83"/>
      <c r="AX689" s="83"/>
      <c r="AY689" s="83"/>
      <c r="AZ689" s="83"/>
      <c r="BA689" s="83"/>
      <c r="BB689" s="83"/>
      <c r="BC689" s="83"/>
      <c r="BD689" s="83"/>
      <c r="BE689" s="83"/>
      <c r="BF689" s="83"/>
    </row>
    <row r="690" spans="1:58" s="14" customFormat="1" ht="14.15" customHeight="1">
      <c r="A690" s="404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  <c r="AA690" s="83"/>
      <c r="AB690" s="83"/>
      <c r="AC690" s="83"/>
      <c r="AD690" s="83"/>
      <c r="AE690" s="83"/>
      <c r="AF690" s="83"/>
      <c r="AG690" s="83"/>
      <c r="AH690" s="83"/>
      <c r="AI690" s="83"/>
      <c r="AJ690" s="83"/>
      <c r="AK690" s="83"/>
      <c r="AL690" s="83"/>
      <c r="AM690" s="83"/>
      <c r="AN690" s="83"/>
      <c r="AO690" s="83"/>
      <c r="AP690" s="83"/>
      <c r="AQ690" s="83"/>
      <c r="AR690" s="83"/>
      <c r="AS690" s="83"/>
      <c r="AT690" s="83"/>
      <c r="AU690" s="83"/>
      <c r="AV690" s="83"/>
      <c r="AW690" s="83"/>
      <c r="AX690" s="83"/>
      <c r="AY690" s="83"/>
      <c r="AZ690" s="83"/>
      <c r="BA690" s="83"/>
      <c r="BB690" s="83"/>
      <c r="BC690" s="83"/>
      <c r="BD690" s="83"/>
      <c r="BE690" s="83"/>
      <c r="BF690" s="83"/>
    </row>
    <row r="691" spans="1:58" s="14" customFormat="1" ht="14.15" customHeight="1">
      <c r="A691" s="404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  <c r="AA691" s="83"/>
      <c r="AB691" s="83"/>
      <c r="AC691" s="83"/>
      <c r="AD691" s="83"/>
      <c r="AE691" s="83"/>
      <c r="AF691" s="83"/>
      <c r="AG691" s="83"/>
      <c r="AH691" s="83"/>
      <c r="AI691" s="83"/>
      <c r="AJ691" s="83"/>
      <c r="AK691" s="83"/>
      <c r="AL691" s="83"/>
      <c r="AM691" s="83"/>
      <c r="AN691" s="83"/>
      <c r="AO691" s="83"/>
      <c r="AP691" s="83"/>
      <c r="AQ691" s="83"/>
      <c r="AR691" s="83"/>
      <c r="AS691" s="83"/>
      <c r="AT691" s="83"/>
      <c r="AU691" s="83"/>
      <c r="AV691" s="83"/>
      <c r="AW691" s="83"/>
      <c r="AX691" s="83"/>
      <c r="AY691" s="83"/>
      <c r="AZ691" s="83"/>
      <c r="BA691" s="83"/>
      <c r="BB691" s="83"/>
      <c r="BC691" s="83"/>
      <c r="BD691" s="83"/>
      <c r="BE691" s="83"/>
      <c r="BF691" s="83"/>
    </row>
    <row r="692" spans="1:58" s="14" customFormat="1" ht="14.15" customHeight="1">
      <c r="A692" s="404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  <c r="AA692" s="83"/>
      <c r="AB692" s="83"/>
      <c r="AC692" s="83"/>
      <c r="AD692" s="83"/>
      <c r="AE692" s="83"/>
      <c r="AF692" s="83"/>
      <c r="AG692" s="83"/>
      <c r="AH692" s="83"/>
      <c r="AI692" s="83"/>
      <c r="AJ692" s="83"/>
      <c r="AK692" s="83"/>
      <c r="AL692" s="83"/>
      <c r="AM692" s="83"/>
      <c r="AN692" s="83"/>
      <c r="AO692" s="83"/>
      <c r="AP692" s="83"/>
      <c r="AQ692" s="83"/>
      <c r="AR692" s="83"/>
      <c r="AS692" s="83"/>
      <c r="AT692" s="83"/>
      <c r="AU692" s="83"/>
      <c r="AV692" s="83"/>
      <c r="AW692" s="83"/>
      <c r="AX692" s="83"/>
      <c r="AY692" s="83"/>
      <c r="AZ692" s="83"/>
      <c r="BA692" s="83"/>
      <c r="BB692" s="83"/>
      <c r="BC692" s="83"/>
      <c r="BD692" s="83"/>
      <c r="BE692" s="83"/>
      <c r="BF692" s="83"/>
    </row>
    <row r="693" spans="1:58" s="14" customFormat="1" ht="14.15" customHeight="1">
      <c r="A693" s="404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  <c r="AA693" s="83"/>
      <c r="AB693" s="83"/>
      <c r="AC693" s="83"/>
      <c r="AD693" s="83"/>
      <c r="AE693" s="83"/>
      <c r="AF693" s="83"/>
      <c r="AG693" s="83"/>
      <c r="AH693" s="83"/>
      <c r="AI693" s="83"/>
      <c r="AJ693" s="83"/>
      <c r="AK693" s="83"/>
      <c r="AL693" s="83"/>
      <c r="AM693" s="83"/>
      <c r="AN693" s="83"/>
      <c r="AO693" s="83"/>
      <c r="AP693" s="83"/>
      <c r="AQ693" s="83"/>
      <c r="AR693" s="83"/>
      <c r="AS693" s="83"/>
      <c r="AT693" s="83"/>
      <c r="AU693" s="83"/>
      <c r="AV693" s="83"/>
      <c r="AW693" s="83"/>
      <c r="AX693" s="83"/>
      <c r="AY693" s="83"/>
      <c r="AZ693" s="83"/>
      <c r="BA693" s="83"/>
      <c r="BB693" s="83"/>
      <c r="BC693" s="83"/>
      <c r="BD693" s="83"/>
      <c r="BE693" s="83"/>
      <c r="BF693" s="83"/>
    </row>
    <row r="694" spans="1:58" s="14" customFormat="1" ht="14.15" customHeight="1">
      <c r="A694" s="404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  <c r="AA694" s="83"/>
      <c r="AB694" s="83"/>
      <c r="AC694" s="83"/>
      <c r="AD694" s="83"/>
      <c r="AE694" s="83"/>
      <c r="AF694" s="83"/>
      <c r="AG694" s="83"/>
      <c r="AH694" s="83"/>
      <c r="AI694" s="83"/>
      <c r="AJ694" s="83"/>
      <c r="AK694" s="83"/>
      <c r="AL694" s="83"/>
      <c r="AM694" s="83"/>
      <c r="AN694" s="83"/>
      <c r="AO694" s="83"/>
      <c r="AP694" s="83"/>
      <c r="AQ694" s="83"/>
      <c r="AR694" s="83"/>
      <c r="AS694" s="83"/>
      <c r="AT694" s="83"/>
      <c r="AU694" s="83"/>
      <c r="AV694" s="83"/>
      <c r="AW694" s="83"/>
      <c r="AX694" s="83"/>
      <c r="AY694" s="83"/>
      <c r="AZ694" s="83"/>
      <c r="BA694" s="83"/>
      <c r="BB694" s="83"/>
      <c r="BC694" s="83"/>
      <c r="BD694" s="83"/>
      <c r="BE694" s="83"/>
      <c r="BF694" s="83"/>
    </row>
    <row r="695" spans="1:58" s="14" customFormat="1" ht="14.15" customHeight="1">
      <c r="A695" s="404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  <c r="AA695" s="83"/>
      <c r="AB695" s="83"/>
      <c r="AC695" s="83"/>
      <c r="AD695" s="83"/>
      <c r="AE695" s="83"/>
      <c r="AF695" s="83"/>
      <c r="AG695" s="83"/>
      <c r="AH695" s="83"/>
      <c r="AI695" s="83"/>
      <c r="AJ695" s="83"/>
      <c r="AK695" s="83"/>
      <c r="AL695" s="83"/>
      <c r="AM695" s="83"/>
      <c r="AN695" s="83"/>
      <c r="AO695" s="83"/>
      <c r="AP695" s="83"/>
      <c r="AQ695" s="83"/>
      <c r="AR695" s="83"/>
      <c r="AS695" s="83"/>
      <c r="AT695" s="83"/>
      <c r="AU695" s="83"/>
      <c r="AV695" s="83"/>
      <c r="AW695" s="83"/>
      <c r="AX695" s="83"/>
      <c r="AY695" s="83"/>
      <c r="AZ695" s="83"/>
      <c r="BA695" s="83"/>
      <c r="BB695" s="83"/>
      <c r="BC695" s="83"/>
      <c r="BD695" s="83"/>
      <c r="BE695" s="83"/>
      <c r="BF695" s="83"/>
    </row>
    <row r="696" spans="1:58" s="14" customFormat="1" ht="14.15" customHeight="1">
      <c r="A696" s="404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  <c r="AA696" s="83"/>
      <c r="AB696" s="83"/>
      <c r="AC696" s="83"/>
      <c r="AD696" s="83"/>
      <c r="AE696" s="83"/>
      <c r="AF696" s="83"/>
      <c r="AG696" s="83"/>
      <c r="AH696" s="83"/>
      <c r="AI696" s="83"/>
      <c r="AJ696" s="83"/>
      <c r="AK696" s="83"/>
      <c r="AL696" s="83"/>
      <c r="AM696" s="83"/>
      <c r="AN696" s="83"/>
      <c r="AO696" s="83"/>
      <c r="AP696" s="83"/>
      <c r="AQ696" s="83"/>
      <c r="AR696" s="83"/>
      <c r="AS696" s="83"/>
      <c r="AT696" s="83"/>
      <c r="AU696" s="83"/>
      <c r="AV696" s="83"/>
      <c r="AW696" s="83"/>
      <c r="AX696" s="83"/>
      <c r="AY696" s="83"/>
      <c r="AZ696" s="83"/>
      <c r="BA696" s="83"/>
      <c r="BB696" s="83"/>
      <c r="BC696" s="83"/>
      <c r="BD696" s="83"/>
      <c r="BE696" s="83"/>
      <c r="BF696" s="83"/>
    </row>
    <row r="697" spans="1:58" s="14" customFormat="1" ht="14.15" customHeight="1">
      <c r="A697" s="404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  <c r="AA697" s="83"/>
      <c r="AB697" s="83"/>
      <c r="AC697" s="83"/>
      <c r="AD697" s="83"/>
      <c r="AE697" s="83"/>
      <c r="AF697" s="83"/>
      <c r="AG697" s="83"/>
      <c r="AH697" s="83"/>
      <c r="AI697" s="83"/>
      <c r="AJ697" s="83"/>
      <c r="AK697" s="83"/>
      <c r="AL697" s="83"/>
      <c r="AM697" s="83"/>
      <c r="AN697" s="83"/>
      <c r="AO697" s="83"/>
      <c r="AP697" s="83"/>
      <c r="AQ697" s="83"/>
      <c r="AR697" s="83"/>
      <c r="AS697" s="83"/>
      <c r="AT697" s="83"/>
      <c r="AU697" s="83"/>
      <c r="AV697" s="83"/>
      <c r="AW697" s="83"/>
      <c r="AX697" s="83"/>
      <c r="AY697" s="83"/>
      <c r="AZ697" s="83"/>
      <c r="BA697" s="83"/>
      <c r="BB697" s="83"/>
      <c r="BC697" s="83"/>
      <c r="BD697" s="83"/>
      <c r="BE697" s="83"/>
      <c r="BF697" s="83"/>
    </row>
    <row r="698" spans="1:58" s="14" customFormat="1" ht="14.15" customHeight="1">
      <c r="A698" s="404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  <c r="AA698" s="83"/>
      <c r="AB698" s="83"/>
      <c r="AC698" s="83"/>
      <c r="AD698" s="83"/>
      <c r="AE698" s="83"/>
      <c r="AF698" s="83"/>
      <c r="AG698" s="83"/>
      <c r="AH698" s="83"/>
      <c r="AI698" s="83"/>
      <c r="AJ698" s="83"/>
      <c r="AK698" s="83"/>
      <c r="AL698" s="83"/>
      <c r="AM698" s="83"/>
      <c r="AN698" s="83"/>
      <c r="AO698" s="83"/>
      <c r="AP698" s="83"/>
      <c r="AQ698" s="83"/>
      <c r="AR698" s="83"/>
      <c r="AS698" s="83"/>
      <c r="AT698" s="83"/>
      <c r="AU698" s="83"/>
      <c r="AV698" s="83"/>
      <c r="AW698" s="83"/>
      <c r="AX698" s="83"/>
      <c r="AY698" s="83"/>
      <c r="AZ698" s="83"/>
      <c r="BA698" s="83"/>
      <c r="BB698" s="83"/>
      <c r="BC698" s="83"/>
      <c r="BD698" s="83"/>
      <c r="BE698" s="83"/>
      <c r="BF698" s="83"/>
    </row>
    <row r="699" spans="1:58" s="14" customFormat="1" ht="14.15" customHeight="1">
      <c r="A699" s="404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  <c r="AA699" s="83"/>
      <c r="AB699" s="83"/>
      <c r="AC699" s="83"/>
      <c r="AD699" s="83"/>
      <c r="AE699" s="83"/>
      <c r="AF699" s="83"/>
      <c r="AG699" s="83"/>
      <c r="AH699" s="83"/>
      <c r="AI699" s="83"/>
      <c r="AJ699" s="83"/>
      <c r="AK699" s="83"/>
      <c r="AL699" s="83"/>
      <c r="AM699" s="83"/>
      <c r="AN699" s="83"/>
      <c r="AO699" s="83"/>
      <c r="AP699" s="83"/>
      <c r="AQ699" s="83"/>
      <c r="AR699" s="83"/>
      <c r="AS699" s="83"/>
      <c r="AT699" s="83"/>
      <c r="AU699" s="83"/>
      <c r="AV699" s="83"/>
      <c r="AW699" s="83"/>
      <c r="AX699" s="83"/>
      <c r="AY699" s="83"/>
      <c r="AZ699" s="83"/>
      <c r="BA699" s="83"/>
      <c r="BB699" s="83"/>
      <c r="BC699" s="83"/>
      <c r="BD699" s="83"/>
      <c r="BE699" s="83"/>
      <c r="BF699" s="83"/>
    </row>
    <row r="700" spans="1:58" s="14" customFormat="1" ht="14.15" customHeight="1">
      <c r="A700" s="404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  <c r="AA700" s="83"/>
      <c r="AB700" s="83"/>
      <c r="AC700" s="83"/>
      <c r="AD700" s="83"/>
      <c r="AE700" s="83"/>
      <c r="AF700" s="83"/>
      <c r="AG700" s="83"/>
      <c r="AH700" s="83"/>
      <c r="AI700" s="83"/>
      <c r="AJ700" s="83"/>
      <c r="AK700" s="83"/>
      <c r="AL700" s="83"/>
      <c r="AM700" s="83"/>
      <c r="AN700" s="83"/>
      <c r="AO700" s="83"/>
      <c r="AP700" s="83"/>
      <c r="AQ700" s="83"/>
      <c r="AR700" s="83"/>
      <c r="AS700" s="83"/>
      <c r="AT700" s="83"/>
      <c r="AU700" s="83"/>
      <c r="AV700" s="83"/>
      <c r="AW700" s="83"/>
      <c r="AX700" s="83"/>
      <c r="AY700" s="83"/>
      <c r="AZ700" s="83"/>
      <c r="BA700" s="83"/>
      <c r="BB700" s="83"/>
      <c r="BC700" s="83"/>
      <c r="BD700" s="83"/>
      <c r="BE700" s="83"/>
      <c r="BF700" s="83"/>
    </row>
    <row r="701" spans="1:58" s="14" customFormat="1" ht="14.15" customHeight="1">
      <c r="A701" s="404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  <c r="AA701" s="83"/>
      <c r="AB701" s="83"/>
      <c r="AC701" s="83"/>
      <c r="AD701" s="83"/>
      <c r="AE701" s="83"/>
      <c r="AF701" s="83"/>
      <c r="AG701" s="83"/>
      <c r="AH701" s="83"/>
      <c r="AI701" s="83"/>
      <c r="AJ701" s="83"/>
      <c r="AK701" s="83"/>
      <c r="AL701" s="83"/>
      <c r="AM701" s="83"/>
      <c r="AN701" s="83"/>
      <c r="AO701" s="83"/>
      <c r="AP701" s="83"/>
      <c r="AQ701" s="83"/>
      <c r="AR701" s="83"/>
      <c r="AS701" s="83"/>
      <c r="AT701" s="83"/>
      <c r="AU701" s="83"/>
      <c r="AV701" s="83"/>
      <c r="AW701" s="83"/>
      <c r="AX701" s="83"/>
      <c r="AY701" s="83"/>
      <c r="AZ701" s="83"/>
      <c r="BA701" s="83"/>
      <c r="BB701" s="83"/>
      <c r="BC701" s="83"/>
      <c r="BD701" s="83"/>
      <c r="BE701" s="83"/>
      <c r="BF701" s="83"/>
    </row>
    <row r="702" spans="1:58" s="14" customFormat="1" ht="14.15" customHeight="1">
      <c r="A702" s="404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  <c r="AA702" s="83"/>
      <c r="AB702" s="83"/>
      <c r="AC702" s="83"/>
      <c r="AD702" s="83"/>
      <c r="AE702" s="83"/>
      <c r="AF702" s="83"/>
      <c r="AG702" s="83"/>
      <c r="AH702" s="83"/>
      <c r="AI702" s="83"/>
      <c r="AJ702" s="83"/>
      <c r="AK702" s="83"/>
      <c r="AL702" s="83"/>
      <c r="AM702" s="83"/>
      <c r="AN702" s="83"/>
      <c r="AO702" s="83"/>
      <c r="AP702" s="83"/>
      <c r="AQ702" s="83"/>
      <c r="AR702" s="83"/>
      <c r="AS702" s="83"/>
      <c r="AT702" s="83"/>
      <c r="AU702" s="83"/>
      <c r="AV702" s="83"/>
      <c r="AW702" s="83"/>
      <c r="AX702" s="83"/>
      <c r="AY702" s="83"/>
      <c r="AZ702" s="83"/>
      <c r="BA702" s="83"/>
      <c r="BB702" s="83"/>
      <c r="BC702" s="83"/>
      <c r="BD702" s="83"/>
      <c r="BE702" s="83"/>
      <c r="BF702" s="83"/>
    </row>
    <row r="703" spans="1:58" s="14" customFormat="1" ht="14.15" customHeight="1">
      <c r="A703" s="404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  <c r="AA703" s="83"/>
      <c r="AB703" s="83"/>
      <c r="AC703" s="83"/>
      <c r="AD703" s="83"/>
      <c r="AE703" s="83"/>
      <c r="AF703" s="83"/>
      <c r="AG703" s="83"/>
      <c r="AH703" s="83"/>
      <c r="AI703" s="83"/>
      <c r="AJ703" s="83"/>
      <c r="AK703" s="83"/>
      <c r="AL703" s="83"/>
      <c r="AM703" s="83"/>
      <c r="AN703" s="83"/>
      <c r="AO703" s="83"/>
      <c r="AP703" s="83"/>
      <c r="AQ703" s="83"/>
      <c r="AR703" s="83"/>
      <c r="AS703" s="83"/>
      <c r="AT703" s="83"/>
      <c r="AU703" s="83"/>
      <c r="AV703" s="83"/>
      <c r="AW703" s="83"/>
      <c r="AX703" s="83"/>
      <c r="AY703" s="83"/>
      <c r="AZ703" s="83"/>
      <c r="BA703" s="83"/>
      <c r="BB703" s="83"/>
      <c r="BC703" s="83"/>
      <c r="BD703" s="83"/>
      <c r="BE703" s="83"/>
      <c r="BF703" s="83"/>
    </row>
    <row r="704" spans="1:58" s="14" customFormat="1" ht="14.15" customHeight="1">
      <c r="A704" s="404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  <c r="AA704" s="83"/>
      <c r="AB704" s="83"/>
      <c r="AC704" s="83"/>
      <c r="AD704" s="83"/>
      <c r="AE704" s="83"/>
      <c r="AF704" s="83"/>
      <c r="AG704" s="83"/>
      <c r="AH704" s="83"/>
      <c r="AI704" s="83"/>
      <c r="AJ704" s="83"/>
      <c r="AK704" s="83"/>
      <c r="AL704" s="83"/>
      <c r="AM704" s="83"/>
      <c r="AN704" s="83"/>
      <c r="AO704" s="83"/>
      <c r="AP704" s="83"/>
      <c r="AQ704" s="83"/>
      <c r="AR704" s="83"/>
      <c r="AS704" s="83"/>
      <c r="AT704" s="83"/>
      <c r="AU704" s="83"/>
      <c r="AV704" s="83"/>
      <c r="AW704" s="83"/>
      <c r="AX704" s="83"/>
      <c r="AY704" s="83"/>
      <c r="AZ704" s="83"/>
      <c r="BA704" s="83"/>
      <c r="BB704" s="83"/>
      <c r="BC704" s="83"/>
      <c r="BD704" s="83"/>
      <c r="BE704" s="83"/>
      <c r="BF704" s="83"/>
    </row>
    <row r="705" spans="1:58" s="14" customFormat="1" ht="14.15" customHeight="1">
      <c r="A705" s="404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  <c r="AA705" s="83"/>
      <c r="AB705" s="83"/>
      <c r="AC705" s="83"/>
      <c r="AD705" s="83"/>
      <c r="AE705" s="83"/>
      <c r="AF705" s="83"/>
      <c r="AG705" s="83"/>
      <c r="AH705" s="83"/>
      <c r="AI705" s="83"/>
      <c r="AJ705" s="83"/>
      <c r="AK705" s="83"/>
      <c r="AL705" s="83"/>
      <c r="AM705" s="83"/>
      <c r="AN705" s="83"/>
      <c r="AO705" s="83"/>
      <c r="AP705" s="83"/>
      <c r="AQ705" s="83"/>
      <c r="AR705" s="83"/>
      <c r="AS705" s="83"/>
      <c r="AT705" s="83"/>
      <c r="AU705" s="83"/>
      <c r="AV705" s="83"/>
      <c r="AW705" s="83"/>
      <c r="AX705" s="83"/>
      <c r="AY705" s="83"/>
      <c r="AZ705" s="83"/>
      <c r="BA705" s="83"/>
      <c r="BB705" s="83"/>
      <c r="BC705" s="83"/>
      <c r="BD705" s="83"/>
      <c r="BE705" s="83"/>
      <c r="BF705" s="83"/>
    </row>
    <row r="706" spans="1:58" s="14" customFormat="1" ht="14.15" customHeight="1">
      <c r="A706" s="404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  <c r="AA706" s="83"/>
      <c r="AB706" s="83"/>
      <c r="AC706" s="83"/>
      <c r="AD706" s="83"/>
      <c r="AE706" s="83"/>
      <c r="AF706" s="83"/>
      <c r="AG706" s="83"/>
      <c r="AH706" s="83"/>
      <c r="AI706" s="83"/>
      <c r="AJ706" s="83"/>
      <c r="AK706" s="83"/>
      <c r="AL706" s="83"/>
      <c r="AM706" s="83"/>
      <c r="AN706" s="83"/>
      <c r="AO706" s="83"/>
      <c r="AP706" s="83"/>
      <c r="AQ706" s="83"/>
      <c r="AR706" s="83"/>
      <c r="AS706" s="83"/>
      <c r="AT706" s="83"/>
      <c r="AU706" s="83"/>
      <c r="AV706" s="83"/>
      <c r="AW706" s="83"/>
      <c r="AX706" s="83"/>
      <c r="AY706" s="83"/>
      <c r="AZ706" s="83"/>
      <c r="BA706" s="83"/>
      <c r="BB706" s="83"/>
      <c r="BC706" s="83"/>
      <c r="BD706" s="83"/>
      <c r="BE706" s="83"/>
      <c r="BF706" s="83"/>
    </row>
    <row r="707" spans="1:58" s="14" customFormat="1" ht="14.15" customHeight="1">
      <c r="A707" s="404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  <c r="AA707" s="83"/>
      <c r="AB707" s="83"/>
      <c r="AC707" s="83"/>
      <c r="AD707" s="83"/>
      <c r="AE707" s="83"/>
      <c r="AF707" s="83"/>
      <c r="AG707" s="83"/>
      <c r="AH707" s="83"/>
      <c r="AI707" s="83"/>
      <c r="AJ707" s="83"/>
      <c r="AK707" s="83"/>
      <c r="AL707" s="83"/>
      <c r="AM707" s="83"/>
      <c r="AN707" s="83"/>
      <c r="AO707" s="83"/>
      <c r="AP707" s="83"/>
      <c r="AQ707" s="83"/>
      <c r="AR707" s="83"/>
      <c r="AS707" s="83"/>
      <c r="AT707" s="83"/>
      <c r="AU707" s="83"/>
      <c r="AV707" s="83"/>
      <c r="AW707" s="83"/>
      <c r="AX707" s="83"/>
      <c r="AY707" s="83"/>
      <c r="AZ707" s="83"/>
      <c r="BA707" s="83"/>
      <c r="BB707" s="83"/>
      <c r="BC707" s="83"/>
      <c r="BD707" s="83"/>
      <c r="BE707" s="83"/>
      <c r="BF707" s="83"/>
    </row>
    <row r="708" spans="1:58" s="14" customFormat="1" ht="14.15" customHeight="1">
      <c r="A708" s="404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  <c r="AA708" s="83"/>
      <c r="AB708" s="83"/>
      <c r="AC708" s="83"/>
      <c r="AD708" s="83"/>
      <c r="AE708" s="83"/>
      <c r="AF708" s="83"/>
      <c r="AG708" s="83"/>
      <c r="AH708" s="83"/>
      <c r="AI708" s="83"/>
      <c r="AJ708" s="83"/>
      <c r="AK708" s="83"/>
      <c r="AL708" s="83"/>
      <c r="AM708" s="83"/>
      <c r="AN708" s="83"/>
      <c r="AO708" s="83"/>
      <c r="AP708" s="83"/>
      <c r="AQ708" s="83"/>
      <c r="AR708" s="83"/>
      <c r="AS708" s="83"/>
      <c r="AT708" s="83"/>
      <c r="AU708" s="83"/>
      <c r="AV708" s="83"/>
      <c r="AW708" s="83"/>
      <c r="AX708" s="83"/>
      <c r="AY708" s="83"/>
      <c r="AZ708" s="83"/>
      <c r="BA708" s="83"/>
      <c r="BB708" s="83"/>
      <c r="BC708" s="83"/>
      <c r="BD708" s="83"/>
      <c r="BE708" s="83"/>
      <c r="BF708" s="83"/>
    </row>
    <row r="709" spans="1:58" s="14" customFormat="1" ht="14.15" customHeight="1">
      <c r="A709" s="404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  <c r="AA709" s="83"/>
      <c r="AB709" s="83"/>
      <c r="AC709" s="83"/>
      <c r="AD709" s="83"/>
      <c r="AE709" s="83"/>
      <c r="AF709" s="83"/>
      <c r="AG709" s="83"/>
      <c r="AH709" s="83"/>
      <c r="AI709" s="83"/>
      <c r="AJ709" s="83"/>
      <c r="AK709" s="83"/>
      <c r="AL709" s="83"/>
      <c r="AM709" s="83"/>
      <c r="AN709" s="83"/>
      <c r="AO709" s="83"/>
      <c r="AP709" s="83"/>
      <c r="AQ709" s="83"/>
      <c r="AR709" s="83"/>
      <c r="AS709" s="83"/>
      <c r="AT709" s="83"/>
      <c r="AU709" s="83"/>
      <c r="AV709" s="83"/>
      <c r="AW709" s="83"/>
      <c r="AX709" s="83"/>
      <c r="AY709" s="83"/>
      <c r="AZ709" s="83"/>
      <c r="BA709" s="83"/>
      <c r="BB709" s="83"/>
      <c r="BC709" s="83"/>
      <c r="BD709" s="83"/>
      <c r="BE709" s="83"/>
      <c r="BF709" s="83"/>
    </row>
    <row r="710" spans="1:58" s="14" customFormat="1" ht="14.15" customHeight="1">
      <c r="A710" s="404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  <c r="AA710" s="83"/>
      <c r="AB710" s="83"/>
      <c r="AC710" s="83"/>
      <c r="AD710" s="83"/>
      <c r="AE710" s="83"/>
      <c r="AF710" s="83"/>
      <c r="AG710" s="83"/>
      <c r="AH710" s="83"/>
      <c r="AI710" s="83"/>
      <c r="AJ710" s="83"/>
      <c r="AK710" s="83"/>
      <c r="AL710" s="83"/>
      <c r="AM710" s="83"/>
      <c r="AN710" s="83"/>
      <c r="AO710" s="83"/>
      <c r="AP710" s="83"/>
      <c r="AQ710" s="83"/>
      <c r="AR710" s="83"/>
      <c r="AS710" s="83"/>
      <c r="AT710" s="83"/>
      <c r="AU710" s="83"/>
      <c r="AV710" s="83"/>
      <c r="AW710" s="83"/>
      <c r="AX710" s="83"/>
      <c r="AY710" s="83"/>
      <c r="AZ710" s="83"/>
      <c r="BA710" s="83"/>
      <c r="BB710" s="83"/>
      <c r="BC710" s="83"/>
      <c r="BD710" s="83"/>
      <c r="BE710" s="83"/>
      <c r="BF710" s="83"/>
    </row>
    <row r="711" spans="1:58" s="14" customFormat="1" ht="14.15" customHeight="1">
      <c r="A711" s="404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  <c r="AA711" s="83"/>
      <c r="AB711" s="83"/>
      <c r="AC711" s="83"/>
      <c r="AD711" s="83"/>
      <c r="AE711" s="83"/>
      <c r="AF711" s="83"/>
      <c r="AG711" s="83"/>
      <c r="AH711" s="83"/>
      <c r="AI711" s="83"/>
      <c r="AJ711" s="83"/>
      <c r="AK711" s="83"/>
      <c r="AL711" s="83"/>
      <c r="AM711" s="83"/>
      <c r="AN711" s="83"/>
      <c r="AO711" s="83"/>
      <c r="AP711" s="83"/>
      <c r="AQ711" s="83"/>
      <c r="AR711" s="83"/>
      <c r="AS711" s="83"/>
      <c r="AT711" s="83"/>
      <c r="AU711" s="83"/>
      <c r="AV711" s="83"/>
      <c r="AW711" s="83"/>
      <c r="AX711" s="83"/>
      <c r="AY711" s="83"/>
      <c r="AZ711" s="83"/>
      <c r="BA711" s="83"/>
      <c r="BB711" s="83"/>
      <c r="BC711" s="83"/>
      <c r="BD711" s="83"/>
      <c r="BE711" s="83"/>
      <c r="BF711" s="83"/>
    </row>
    <row r="712" spans="1:58" s="14" customFormat="1" ht="14.15" customHeight="1">
      <c r="A712" s="404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  <c r="AA712" s="83"/>
      <c r="AB712" s="83"/>
      <c r="AC712" s="83"/>
      <c r="AD712" s="83"/>
      <c r="AE712" s="83"/>
      <c r="AF712" s="83"/>
      <c r="AG712" s="83"/>
      <c r="AH712" s="83"/>
      <c r="AI712" s="83"/>
      <c r="AJ712" s="83"/>
      <c r="AK712" s="83"/>
      <c r="AL712" s="83"/>
      <c r="AM712" s="83"/>
      <c r="AN712" s="83"/>
      <c r="AO712" s="83"/>
      <c r="AP712" s="83"/>
      <c r="AQ712" s="83"/>
      <c r="AR712" s="83"/>
      <c r="AS712" s="83"/>
      <c r="AT712" s="83"/>
      <c r="AU712" s="83"/>
      <c r="AV712" s="83"/>
      <c r="AW712" s="83"/>
      <c r="AX712" s="83"/>
      <c r="AY712" s="83"/>
      <c r="AZ712" s="83"/>
      <c r="BA712" s="83"/>
      <c r="BB712" s="83"/>
      <c r="BC712" s="83"/>
      <c r="BD712" s="83"/>
      <c r="BE712" s="83"/>
      <c r="BF712" s="83"/>
    </row>
    <row r="713" spans="1:58" s="14" customFormat="1" ht="14.15" customHeight="1">
      <c r="A713" s="404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  <c r="AA713" s="83"/>
      <c r="AB713" s="83"/>
      <c r="AC713" s="83"/>
      <c r="AD713" s="83"/>
      <c r="AE713" s="83"/>
      <c r="AF713" s="83"/>
      <c r="AG713" s="83"/>
      <c r="AH713" s="83"/>
      <c r="AI713" s="83"/>
      <c r="AJ713" s="83"/>
      <c r="AK713" s="83"/>
      <c r="AL713" s="83"/>
      <c r="AM713" s="83"/>
      <c r="AN713" s="83"/>
      <c r="AO713" s="83"/>
      <c r="AP713" s="83"/>
      <c r="AQ713" s="83"/>
      <c r="AR713" s="83"/>
      <c r="AS713" s="83"/>
      <c r="AT713" s="83"/>
      <c r="AU713" s="83"/>
      <c r="AV713" s="83"/>
      <c r="AW713" s="83"/>
      <c r="AX713" s="83"/>
      <c r="AY713" s="83"/>
      <c r="AZ713" s="83"/>
      <c r="BA713" s="83"/>
      <c r="BB713" s="83"/>
      <c r="BC713" s="83"/>
      <c r="BD713" s="83"/>
      <c r="BE713" s="83"/>
      <c r="BF713" s="83"/>
    </row>
    <row r="714" spans="1:58" s="14" customFormat="1" ht="14.15" customHeight="1">
      <c r="A714" s="404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  <c r="AA714" s="83"/>
      <c r="AB714" s="83"/>
      <c r="AC714" s="83"/>
      <c r="AD714" s="83"/>
      <c r="AE714" s="83"/>
      <c r="AF714" s="83"/>
      <c r="AG714" s="83"/>
      <c r="AH714" s="83"/>
      <c r="AI714" s="83"/>
      <c r="AJ714" s="83"/>
      <c r="AK714" s="83"/>
      <c r="AL714" s="83"/>
      <c r="AM714" s="83"/>
      <c r="AN714" s="83"/>
      <c r="AO714" s="83"/>
      <c r="AP714" s="83"/>
      <c r="AQ714" s="83"/>
      <c r="AR714" s="83"/>
      <c r="AS714" s="83"/>
      <c r="AT714" s="83"/>
      <c r="AU714" s="83"/>
      <c r="AV714" s="83"/>
      <c r="AW714" s="83"/>
      <c r="AX714" s="83"/>
      <c r="AY714" s="83"/>
      <c r="AZ714" s="83"/>
      <c r="BA714" s="83"/>
      <c r="BB714" s="83"/>
      <c r="BC714" s="83"/>
      <c r="BD714" s="83"/>
      <c r="BE714" s="83"/>
      <c r="BF714" s="83"/>
    </row>
    <row r="715" spans="1:58" s="14" customFormat="1" ht="14.15" customHeight="1">
      <c r="A715" s="404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  <c r="AA715" s="83"/>
      <c r="AB715" s="83"/>
      <c r="AC715" s="83"/>
      <c r="AD715" s="83"/>
      <c r="AE715" s="83"/>
      <c r="AF715" s="83"/>
      <c r="AG715" s="83"/>
      <c r="AH715" s="83"/>
      <c r="AI715" s="83"/>
      <c r="AJ715" s="83"/>
      <c r="AK715" s="83"/>
      <c r="AL715" s="83"/>
      <c r="AM715" s="83"/>
      <c r="AN715" s="83"/>
      <c r="AO715" s="83"/>
      <c r="AP715" s="83"/>
      <c r="AQ715" s="83"/>
      <c r="AR715" s="83"/>
      <c r="AS715" s="83"/>
      <c r="AT715" s="83"/>
      <c r="AU715" s="83"/>
      <c r="AV715" s="83"/>
      <c r="AW715" s="83"/>
      <c r="AX715" s="83"/>
      <c r="AY715" s="83"/>
      <c r="AZ715" s="83"/>
      <c r="BA715" s="83"/>
      <c r="BB715" s="83"/>
      <c r="BC715" s="83"/>
      <c r="BD715" s="83"/>
      <c r="BE715" s="83"/>
      <c r="BF715" s="83"/>
    </row>
    <row r="716" spans="1:58" s="14" customFormat="1" ht="14.15" customHeight="1">
      <c r="A716" s="404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  <c r="AA716" s="83"/>
      <c r="AB716" s="83"/>
      <c r="AC716" s="83"/>
      <c r="AD716" s="83"/>
      <c r="AE716" s="83"/>
      <c r="AF716" s="83"/>
      <c r="AG716" s="83"/>
      <c r="AH716" s="83"/>
      <c r="AI716" s="83"/>
      <c r="AJ716" s="83"/>
      <c r="AK716" s="83"/>
      <c r="AL716" s="83"/>
      <c r="AM716" s="83"/>
      <c r="AN716" s="83"/>
      <c r="AO716" s="83"/>
      <c r="AP716" s="83"/>
      <c r="AQ716" s="83"/>
      <c r="AR716" s="83"/>
      <c r="AS716" s="83"/>
      <c r="AT716" s="83"/>
      <c r="AU716" s="83"/>
      <c r="AV716" s="83"/>
      <c r="AW716" s="83"/>
      <c r="AX716" s="83"/>
      <c r="AY716" s="83"/>
      <c r="AZ716" s="83"/>
      <c r="BA716" s="83"/>
      <c r="BB716" s="83"/>
      <c r="BC716" s="83"/>
      <c r="BD716" s="83"/>
      <c r="BE716" s="83"/>
      <c r="BF716" s="83"/>
    </row>
    <row r="717" spans="1:58" s="14" customFormat="1" ht="14.15" customHeight="1">
      <c r="A717" s="404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  <c r="AA717" s="83"/>
      <c r="AB717" s="83"/>
      <c r="AC717" s="83"/>
      <c r="AD717" s="83"/>
      <c r="AE717" s="83"/>
      <c r="AF717" s="83"/>
      <c r="AG717" s="83"/>
      <c r="AH717" s="83"/>
      <c r="AI717" s="83"/>
      <c r="AJ717" s="83"/>
      <c r="AK717" s="83"/>
      <c r="AL717" s="83"/>
      <c r="AM717" s="83"/>
      <c r="AN717" s="83"/>
      <c r="AO717" s="83"/>
      <c r="AP717" s="83"/>
      <c r="AQ717" s="83"/>
      <c r="AR717" s="83"/>
      <c r="AS717" s="83"/>
      <c r="AT717" s="83"/>
      <c r="AU717" s="83"/>
      <c r="AV717" s="83"/>
      <c r="AW717" s="83"/>
      <c r="AX717" s="83"/>
      <c r="AY717" s="83"/>
      <c r="AZ717" s="83"/>
      <c r="BA717" s="83"/>
      <c r="BB717" s="83"/>
      <c r="BC717" s="83"/>
      <c r="BD717" s="83"/>
      <c r="BE717" s="83"/>
      <c r="BF717" s="83"/>
    </row>
    <row r="718" spans="1:58" s="14" customFormat="1" ht="14.15" customHeight="1">
      <c r="A718" s="404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  <c r="AA718" s="83"/>
      <c r="AB718" s="83"/>
      <c r="AC718" s="83"/>
      <c r="AD718" s="83"/>
      <c r="AE718" s="83"/>
      <c r="AF718" s="83"/>
      <c r="AG718" s="83"/>
      <c r="AH718" s="83"/>
      <c r="AI718" s="83"/>
      <c r="AJ718" s="83"/>
      <c r="AK718" s="83"/>
      <c r="AL718" s="83"/>
      <c r="AM718" s="83"/>
      <c r="AN718" s="83"/>
      <c r="AO718" s="83"/>
      <c r="AP718" s="83"/>
      <c r="AQ718" s="83"/>
      <c r="AR718" s="83"/>
      <c r="AS718" s="83"/>
      <c r="AT718" s="83"/>
      <c r="AU718" s="83"/>
      <c r="AV718" s="83"/>
      <c r="AW718" s="83"/>
      <c r="AX718" s="83"/>
      <c r="AY718" s="83"/>
      <c r="AZ718" s="83"/>
      <c r="BA718" s="83"/>
      <c r="BB718" s="83"/>
      <c r="BC718" s="83"/>
      <c r="BD718" s="83"/>
      <c r="BE718" s="83"/>
      <c r="BF718" s="83"/>
    </row>
    <row r="719" spans="1:58" s="14" customFormat="1" ht="14.15" customHeight="1">
      <c r="A719" s="404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  <c r="AA719" s="83"/>
      <c r="AB719" s="83"/>
      <c r="AC719" s="83"/>
      <c r="AD719" s="83"/>
      <c r="AE719" s="83"/>
      <c r="AF719" s="83"/>
      <c r="AG719" s="83"/>
      <c r="AH719" s="83"/>
      <c r="AI719" s="83"/>
      <c r="AJ719" s="83"/>
      <c r="AK719" s="83"/>
      <c r="AL719" s="83"/>
      <c r="AM719" s="83"/>
      <c r="AN719" s="83"/>
      <c r="AO719" s="83"/>
      <c r="AP719" s="83"/>
      <c r="AQ719" s="83"/>
      <c r="AR719" s="83"/>
      <c r="AS719" s="83"/>
      <c r="AT719" s="83"/>
      <c r="AU719" s="83"/>
      <c r="AV719" s="83"/>
      <c r="AW719" s="83"/>
      <c r="AX719" s="83"/>
      <c r="AY719" s="83"/>
      <c r="AZ719" s="83"/>
      <c r="BA719" s="83"/>
      <c r="BB719" s="83"/>
      <c r="BC719" s="83"/>
      <c r="BD719" s="83"/>
      <c r="BE719" s="83"/>
      <c r="BF719" s="83"/>
    </row>
    <row r="720" spans="1:58" s="14" customFormat="1" ht="14.15" customHeight="1">
      <c r="A720" s="404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  <c r="AA720" s="83"/>
      <c r="AB720" s="83"/>
      <c r="AC720" s="83"/>
      <c r="AD720" s="83"/>
      <c r="AE720" s="83"/>
      <c r="AF720" s="83"/>
      <c r="AG720" s="83"/>
      <c r="AH720" s="83"/>
      <c r="AI720" s="83"/>
      <c r="AJ720" s="83"/>
      <c r="AK720" s="83"/>
      <c r="AL720" s="83"/>
      <c r="AM720" s="83"/>
      <c r="AN720" s="83"/>
      <c r="AO720" s="83"/>
      <c r="AP720" s="83"/>
      <c r="AQ720" s="83"/>
      <c r="AR720" s="83"/>
      <c r="AS720" s="83"/>
      <c r="AT720" s="83"/>
      <c r="AU720" s="83"/>
      <c r="AV720" s="83"/>
      <c r="AW720" s="83"/>
      <c r="AX720" s="83"/>
      <c r="AY720" s="83"/>
      <c r="AZ720" s="83"/>
      <c r="BA720" s="83"/>
      <c r="BB720" s="83"/>
      <c r="BC720" s="83"/>
      <c r="BD720" s="83"/>
      <c r="BE720" s="83"/>
      <c r="BF720" s="83"/>
    </row>
    <row r="721" spans="1:58" s="14" customFormat="1" ht="14.15" customHeight="1">
      <c r="A721" s="404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  <c r="AA721" s="83"/>
      <c r="AB721" s="83"/>
      <c r="AC721" s="83"/>
      <c r="AD721" s="83"/>
      <c r="AE721" s="83"/>
      <c r="AF721" s="83"/>
      <c r="AG721" s="83"/>
      <c r="AH721" s="83"/>
      <c r="AI721" s="83"/>
      <c r="AJ721" s="83"/>
      <c r="AK721" s="83"/>
      <c r="AL721" s="83"/>
      <c r="AM721" s="83"/>
      <c r="AN721" s="83"/>
      <c r="AO721" s="83"/>
      <c r="AP721" s="83"/>
      <c r="AQ721" s="83"/>
      <c r="AR721" s="83"/>
      <c r="AS721" s="83"/>
      <c r="AT721" s="83"/>
      <c r="AU721" s="83"/>
      <c r="AV721" s="83"/>
      <c r="AW721" s="83"/>
      <c r="AX721" s="83"/>
      <c r="AY721" s="83"/>
      <c r="AZ721" s="83"/>
      <c r="BA721" s="83"/>
      <c r="BB721" s="83"/>
      <c r="BC721" s="83"/>
      <c r="BD721" s="83"/>
      <c r="BE721" s="83"/>
      <c r="BF721" s="83"/>
    </row>
    <row r="722" spans="1:58" s="14" customFormat="1" ht="14.15" customHeight="1">
      <c r="A722" s="404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  <c r="AA722" s="83"/>
      <c r="AB722" s="83"/>
      <c r="AC722" s="83"/>
      <c r="AD722" s="83"/>
      <c r="AE722" s="83"/>
      <c r="AF722" s="83"/>
      <c r="AG722" s="83"/>
      <c r="AH722" s="83"/>
      <c r="AI722" s="83"/>
      <c r="AJ722" s="83"/>
      <c r="AK722" s="83"/>
      <c r="AL722" s="83"/>
      <c r="AM722" s="83"/>
      <c r="AN722" s="83"/>
      <c r="AO722" s="83"/>
      <c r="AP722" s="83"/>
      <c r="AQ722" s="83"/>
      <c r="AR722" s="83"/>
      <c r="AS722" s="83"/>
      <c r="AT722" s="83"/>
      <c r="AU722" s="83"/>
      <c r="AV722" s="83"/>
      <c r="AW722" s="83"/>
      <c r="AX722" s="83"/>
      <c r="AY722" s="83"/>
      <c r="AZ722" s="83"/>
      <c r="BA722" s="83"/>
      <c r="BB722" s="83"/>
      <c r="BC722" s="83"/>
      <c r="BD722" s="83"/>
      <c r="BE722" s="83"/>
      <c r="BF722" s="83"/>
    </row>
    <row r="723" spans="1:58" s="14" customFormat="1" ht="14.15" customHeight="1">
      <c r="A723" s="404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  <c r="AA723" s="83"/>
      <c r="AB723" s="83"/>
      <c r="AC723" s="83"/>
      <c r="AD723" s="83"/>
      <c r="AE723" s="83"/>
      <c r="AF723" s="83"/>
      <c r="AG723" s="83"/>
      <c r="AH723" s="83"/>
      <c r="AI723" s="83"/>
      <c r="AJ723" s="83"/>
      <c r="AK723" s="83"/>
      <c r="AL723" s="83"/>
      <c r="AM723" s="83"/>
      <c r="AN723" s="83"/>
      <c r="AO723" s="83"/>
      <c r="AP723" s="83"/>
      <c r="AQ723" s="83"/>
      <c r="AR723" s="83"/>
      <c r="AS723" s="83"/>
      <c r="AT723" s="83"/>
      <c r="AU723" s="83"/>
      <c r="AV723" s="83"/>
      <c r="AW723" s="83"/>
      <c r="AX723" s="83"/>
      <c r="AY723" s="83"/>
      <c r="AZ723" s="83"/>
      <c r="BA723" s="83"/>
      <c r="BB723" s="83"/>
      <c r="BC723" s="83"/>
      <c r="BD723" s="83"/>
      <c r="BE723" s="83"/>
      <c r="BF723" s="83"/>
    </row>
    <row r="724" spans="1:58" s="14" customFormat="1" ht="14.15" customHeight="1">
      <c r="A724" s="404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  <c r="AA724" s="83"/>
      <c r="AB724" s="83"/>
      <c r="AC724" s="83"/>
      <c r="AD724" s="83"/>
      <c r="AE724" s="83"/>
      <c r="AF724" s="83"/>
      <c r="AG724" s="83"/>
      <c r="AH724" s="83"/>
      <c r="AI724" s="83"/>
      <c r="AJ724" s="83"/>
      <c r="AK724" s="83"/>
      <c r="AL724" s="83"/>
      <c r="AM724" s="83"/>
      <c r="AN724" s="83"/>
      <c r="AO724" s="83"/>
      <c r="AP724" s="83"/>
      <c r="AQ724" s="83"/>
      <c r="AR724" s="83"/>
      <c r="AS724" s="83"/>
      <c r="AT724" s="83"/>
      <c r="AU724" s="83"/>
      <c r="AV724" s="83"/>
      <c r="AW724" s="83"/>
      <c r="AX724" s="83"/>
      <c r="AY724" s="83"/>
      <c r="AZ724" s="83"/>
      <c r="BA724" s="83"/>
      <c r="BB724" s="83"/>
      <c r="BC724" s="83"/>
      <c r="BD724" s="83"/>
      <c r="BE724" s="83"/>
      <c r="BF724" s="83"/>
    </row>
    <row r="725" spans="1:58" s="14" customFormat="1" ht="14.15" customHeight="1">
      <c r="A725" s="404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  <c r="AA725" s="83"/>
      <c r="AB725" s="83"/>
      <c r="AC725" s="83"/>
      <c r="AD725" s="83"/>
      <c r="AE725" s="83"/>
      <c r="AF725" s="83"/>
      <c r="AG725" s="83"/>
      <c r="AH725" s="83"/>
      <c r="AI725" s="83"/>
      <c r="AJ725" s="83"/>
      <c r="AK725" s="83"/>
      <c r="AL725" s="83"/>
      <c r="AM725" s="83"/>
      <c r="AN725" s="83"/>
      <c r="AO725" s="83"/>
      <c r="AP725" s="83"/>
      <c r="AQ725" s="83"/>
      <c r="AR725" s="83"/>
      <c r="AS725" s="83"/>
      <c r="AT725" s="83"/>
      <c r="AU725" s="83"/>
      <c r="AV725" s="83"/>
      <c r="AW725" s="83"/>
      <c r="AX725" s="83"/>
      <c r="AY725" s="83"/>
      <c r="AZ725" s="83"/>
      <c r="BA725" s="83"/>
      <c r="BB725" s="83"/>
      <c r="BC725" s="83"/>
      <c r="BD725" s="83"/>
      <c r="BE725" s="83"/>
      <c r="BF725" s="83"/>
    </row>
    <row r="726" spans="1:58" s="14" customFormat="1" ht="14.15" customHeight="1">
      <c r="A726" s="404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  <c r="AA726" s="83"/>
      <c r="AB726" s="83"/>
      <c r="AC726" s="83"/>
      <c r="AD726" s="83"/>
      <c r="AE726" s="83"/>
      <c r="AF726" s="83"/>
      <c r="AG726" s="83"/>
      <c r="AH726" s="83"/>
      <c r="AI726" s="83"/>
      <c r="AJ726" s="83"/>
      <c r="AK726" s="83"/>
      <c r="AL726" s="83"/>
      <c r="AM726" s="83"/>
      <c r="AN726" s="83"/>
      <c r="AO726" s="83"/>
      <c r="AP726" s="83"/>
      <c r="AQ726" s="83"/>
      <c r="AR726" s="83"/>
      <c r="AS726" s="83"/>
      <c r="AT726" s="83"/>
      <c r="AU726" s="83"/>
      <c r="AV726" s="83"/>
      <c r="AW726" s="83"/>
      <c r="AX726" s="83"/>
      <c r="AY726" s="83"/>
      <c r="AZ726" s="83"/>
      <c r="BA726" s="83"/>
      <c r="BB726" s="83"/>
      <c r="BC726" s="83"/>
      <c r="BD726" s="83"/>
      <c r="BE726" s="83"/>
      <c r="BF726" s="83"/>
    </row>
    <row r="727" spans="1:58" s="14" customFormat="1" ht="14.15" customHeight="1">
      <c r="A727" s="404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  <c r="AA727" s="83"/>
      <c r="AB727" s="83"/>
      <c r="AC727" s="83"/>
      <c r="AD727" s="83"/>
      <c r="AE727" s="83"/>
      <c r="AF727" s="83"/>
      <c r="AG727" s="83"/>
      <c r="AH727" s="83"/>
      <c r="AI727" s="83"/>
      <c r="AJ727" s="83"/>
      <c r="AK727" s="83"/>
      <c r="AL727" s="83"/>
      <c r="AM727" s="83"/>
      <c r="AN727" s="83"/>
      <c r="AO727" s="83"/>
      <c r="AP727" s="83"/>
      <c r="AQ727" s="83"/>
      <c r="AR727" s="83"/>
      <c r="AS727" s="83"/>
      <c r="AT727" s="83"/>
      <c r="AU727" s="83"/>
      <c r="AV727" s="83"/>
      <c r="AW727" s="83"/>
      <c r="AX727" s="83"/>
      <c r="AY727" s="83"/>
      <c r="AZ727" s="83"/>
      <c r="BA727" s="83"/>
      <c r="BB727" s="83"/>
      <c r="BC727" s="83"/>
      <c r="BD727" s="83"/>
      <c r="BE727" s="83"/>
      <c r="BF727" s="83"/>
    </row>
    <row r="728" spans="1:58" s="14" customFormat="1" ht="14.15" customHeight="1">
      <c r="A728" s="404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  <c r="AA728" s="83"/>
      <c r="AB728" s="83"/>
      <c r="AC728" s="83"/>
      <c r="AD728" s="83"/>
      <c r="AE728" s="83"/>
      <c r="AF728" s="83"/>
      <c r="AG728" s="83"/>
      <c r="AH728" s="83"/>
      <c r="AI728" s="83"/>
      <c r="AJ728" s="83"/>
      <c r="AK728" s="83"/>
      <c r="AL728" s="83"/>
      <c r="AM728" s="83"/>
      <c r="AN728" s="83"/>
      <c r="AO728" s="83"/>
      <c r="AP728" s="83"/>
      <c r="AQ728" s="83"/>
      <c r="AR728" s="83"/>
      <c r="AS728" s="83"/>
      <c r="AT728" s="83"/>
      <c r="AU728" s="83"/>
      <c r="AV728" s="83"/>
      <c r="AW728" s="83"/>
      <c r="AX728" s="83"/>
      <c r="AY728" s="83"/>
      <c r="AZ728" s="83"/>
      <c r="BA728" s="83"/>
      <c r="BB728" s="83"/>
      <c r="BC728" s="83"/>
      <c r="BD728" s="83"/>
      <c r="BE728" s="83"/>
      <c r="BF728" s="83"/>
    </row>
    <row r="729" spans="1:58" s="14" customFormat="1" ht="14.15" customHeight="1">
      <c r="A729" s="404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  <c r="AA729" s="83"/>
      <c r="AB729" s="83"/>
      <c r="AC729" s="83"/>
      <c r="AD729" s="83"/>
      <c r="AE729" s="83"/>
      <c r="AF729" s="83"/>
      <c r="AG729" s="83"/>
      <c r="AH729" s="83"/>
      <c r="AI729" s="83"/>
      <c r="AJ729" s="83"/>
      <c r="AK729" s="83"/>
      <c r="AL729" s="83"/>
      <c r="AM729" s="83"/>
      <c r="AN729" s="83"/>
      <c r="AO729" s="83"/>
      <c r="AP729" s="83"/>
      <c r="AQ729" s="83"/>
      <c r="AR729" s="83"/>
      <c r="AS729" s="83"/>
      <c r="AT729" s="83"/>
      <c r="AU729" s="83"/>
      <c r="AV729" s="83"/>
      <c r="AW729" s="83"/>
      <c r="AX729" s="83"/>
      <c r="AY729" s="83"/>
      <c r="AZ729" s="83"/>
      <c r="BA729" s="83"/>
      <c r="BB729" s="83"/>
      <c r="BC729" s="83"/>
      <c r="BD729" s="83"/>
      <c r="BE729" s="83"/>
      <c r="BF729" s="83"/>
    </row>
    <row r="730" spans="1:58" s="14" customFormat="1" ht="14.15" customHeight="1">
      <c r="A730" s="404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  <c r="AA730" s="83"/>
      <c r="AB730" s="83"/>
      <c r="AC730" s="83"/>
      <c r="AD730" s="83"/>
      <c r="AE730" s="83"/>
      <c r="AF730" s="83"/>
      <c r="AG730" s="83"/>
      <c r="AH730" s="83"/>
      <c r="AI730" s="83"/>
      <c r="AJ730" s="83"/>
      <c r="AK730" s="83"/>
      <c r="AL730" s="83"/>
      <c r="AM730" s="83"/>
      <c r="AN730" s="83"/>
      <c r="AO730" s="83"/>
      <c r="AP730" s="83"/>
      <c r="AQ730" s="83"/>
      <c r="AR730" s="83"/>
      <c r="AS730" s="83"/>
      <c r="AT730" s="83"/>
      <c r="AU730" s="83"/>
      <c r="AV730" s="83"/>
      <c r="AW730" s="83"/>
      <c r="AX730" s="83"/>
      <c r="AY730" s="83"/>
      <c r="AZ730" s="83"/>
      <c r="BA730" s="83"/>
      <c r="BB730" s="83"/>
      <c r="BC730" s="83"/>
      <c r="BD730" s="83"/>
      <c r="BE730" s="83"/>
      <c r="BF730" s="83"/>
    </row>
    <row r="731" spans="1:58" s="14" customFormat="1" ht="14.15" customHeight="1">
      <c r="A731" s="404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  <c r="AA731" s="83"/>
      <c r="AB731" s="83"/>
      <c r="AC731" s="83"/>
      <c r="AD731" s="83"/>
      <c r="AE731" s="83"/>
      <c r="AF731" s="83"/>
      <c r="AG731" s="83"/>
      <c r="AH731" s="83"/>
      <c r="AI731" s="83"/>
      <c r="AJ731" s="83"/>
      <c r="AK731" s="83"/>
      <c r="AL731" s="83"/>
      <c r="AM731" s="83"/>
      <c r="AN731" s="83"/>
      <c r="AO731" s="83"/>
      <c r="AP731" s="83"/>
      <c r="AQ731" s="83"/>
      <c r="AR731" s="83"/>
      <c r="AS731" s="83"/>
      <c r="AT731" s="83"/>
      <c r="AU731" s="83"/>
      <c r="AV731" s="83"/>
      <c r="AW731" s="83"/>
      <c r="AX731" s="83"/>
      <c r="AY731" s="83"/>
      <c r="AZ731" s="83"/>
      <c r="BA731" s="83"/>
      <c r="BB731" s="83"/>
      <c r="BC731" s="83"/>
      <c r="BD731" s="83"/>
      <c r="BE731" s="83"/>
      <c r="BF731" s="83"/>
    </row>
    <row r="732" spans="1:58" s="14" customFormat="1" ht="14.15" customHeight="1">
      <c r="A732" s="404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  <c r="AA732" s="83"/>
      <c r="AB732" s="83"/>
      <c r="AC732" s="83"/>
      <c r="AD732" s="83"/>
      <c r="AE732" s="83"/>
      <c r="AF732" s="83"/>
      <c r="AG732" s="83"/>
      <c r="AH732" s="83"/>
      <c r="AI732" s="83"/>
      <c r="AJ732" s="83"/>
      <c r="AK732" s="83"/>
      <c r="AL732" s="83"/>
      <c r="AM732" s="83"/>
      <c r="AN732" s="83"/>
      <c r="AO732" s="83"/>
      <c r="AP732" s="83"/>
      <c r="AQ732" s="83"/>
      <c r="AR732" s="83"/>
      <c r="AS732" s="83"/>
      <c r="AT732" s="83"/>
      <c r="AU732" s="83"/>
      <c r="AV732" s="83"/>
      <c r="AW732" s="83"/>
      <c r="AX732" s="83"/>
      <c r="AY732" s="83"/>
      <c r="AZ732" s="83"/>
      <c r="BA732" s="83"/>
      <c r="BB732" s="83"/>
      <c r="BC732" s="83"/>
      <c r="BD732" s="83"/>
      <c r="BE732" s="83"/>
      <c r="BF732" s="83"/>
    </row>
    <row r="733" spans="1:58" s="14" customFormat="1" ht="14.15" customHeight="1">
      <c r="A733" s="404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  <c r="AA733" s="83"/>
      <c r="AB733" s="83"/>
      <c r="AC733" s="83"/>
      <c r="AD733" s="83"/>
      <c r="AE733" s="83"/>
      <c r="AF733" s="83"/>
      <c r="AG733" s="83"/>
      <c r="AH733" s="83"/>
      <c r="AI733" s="83"/>
      <c r="AJ733" s="83"/>
      <c r="AK733" s="83"/>
      <c r="AL733" s="83"/>
      <c r="AM733" s="83"/>
      <c r="AN733" s="83"/>
      <c r="AO733" s="83"/>
      <c r="AP733" s="83"/>
      <c r="AQ733" s="83"/>
      <c r="AR733" s="83"/>
      <c r="AS733" s="83"/>
      <c r="AT733" s="83"/>
      <c r="AU733" s="83"/>
      <c r="AV733" s="83"/>
      <c r="AW733" s="83"/>
      <c r="AX733" s="83"/>
      <c r="AY733" s="83"/>
      <c r="AZ733" s="83"/>
      <c r="BA733" s="83"/>
      <c r="BB733" s="83"/>
      <c r="BC733" s="83"/>
      <c r="BD733" s="83"/>
      <c r="BE733" s="83"/>
      <c r="BF733" s="83"/>
    </row>
    <row r="734" spans="1:58" s="14" customFormat="1" ht="14.15" customHeight="1">
      <c r="A734" s="404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  <c r="AA734" s="83"/>
      <c r="AB734" s="83"/>
      <c r="AC734" s="83"/>
      <c r="AD734" s="83"/>
      <c r="AE734" s="83"/>
      <c r="AF734" s="83"/>
      <c r="AG734" s="83"/>
      <c r="AH734" s="83"/>
      <c r="AI734" s="83"/>
      <c r="AJ734" s="83"/>
      <c r="AK734" s="83"/>
      <c r="AL734" s="83"/>
      <c r="AM734" s="83"/>
      <c r="AN734" s="83"/>
      <c r="AO734" s="83"/>
      <c r="AP734" s="83"/>
      <c r="AQ734" s="83"/>
      <c r="AR734" s="83"/>
      <c r="AS734" s="83"/>
      <c r="AT734" s="83"/>
      <c r="AU734" s="83"/>
      <c r="AV734" s="83"/>
      <c r="AW734" s="83"/>
      <c r="AX734" s="83"/>
      <c r="AY734" s="83"/>
      <c r="AZ734" s="83"/>
      <c r="BA734" s="83"/>
      <c r="BB734" s="83"/>
      <c r="BC734" s="83"/>
      <c r="BD734" s="83"/>
      <c r="BE734" s="83"/>
      <c r="BF734" s="83"/>
    </row>
    <row r="735" spans="1:58" s="14" customFormat="1" ht="14.15" customHeight="1">
      <c r="A735" s="404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  <c r="AA735" s="83"/>
      <c r="AB735" s="83"/>
      <c r="AC735" s="83"/>
      <c r="AD735" s="83"/>
      <c r="AE735" s="83"/>
      <c r="AF735" s="83"/>
      <c r="AG735" s="83"/>
      <c r="AH735" s="83"/>
      <c r="AI735" s="83"/>
      <c r="AJ735" s="83"/>
      <c r="AK735" s="83"/>
      <c r="AL735" s="83"/>
      <c r="AM735" s="83"/>
      <c r="AN735" s="83"/>
      <c r="AO735" s="83"/>
      <c r="AP735" s="83"/>
      <c r="AQ735" s="83"/>
      <c r="AR735" s="83"/>
      <c r="AS735" s="83"/>
      <c r="AT735" s="83"/>
      <c r="AU735" s="83"/>
      <c r="AV735" s="83"/>
      <c r="AW735" s="83"/>
      <c r="AX735" s="83"/>
      <c r="AY735" s="83"/>
      <c r="AZ735" s="83"/>
      <c r="BA735" s="83"/>
      <c r="BB735" s="83"/>
      <c r="BC735" s="83"/>
      <c r="BD735" s="83"/>
      <c r="BE735" s="83"/>
      <c r="BF735" s="83"/>
    </row>
    <row r="736" spans="1:58" s="14" customFormat="1" ht="14.15" customHeight="1">
      <c r="A736" s="404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  <c r="AA736" s="83"/>
      <c r="AB736" s="83"/>
      <c r="AC736" s="83"/>
      <c r="AD736" s="83"/>
      <c r="AE736" s="83"/>
      <c r="AF736" s="83"/>
      <c r="AG736" s="83"/>
      <c r="AH736" s="83"/>
      <c r="AI736" s="83"/>
      <c r="AJ736" s="83"/>
      <c r="AK736" s="83"/>
      <c r="AL736" s="83"/>
      <c r="AM736" s="83"/>
      <c r="AN736" s="83"/>
      <c r="AO736" s="83"/>
      <c r="AP736" s="83"/>
      <c r="AQ736" s="83"/>
      <c r="AR736" s="83"/>
      <c r="AS736" s="83"/>
      <c r="AT736" s="83"/>
      <c r="AU736" s="83"/>
      <c r="AV736" s="83"/>
      <c r="AW736" s="83"/>
      <c r="AX736" s="83"/>
      <c r="AY736" s="83"/>
      <c r="AZ736" s="83"/>
      <c r="BA736" s="83"/>
      <c r="BB736" s="83"/>
      <c r="BC736" s="83"/>
      <c r="BD736" s="83"/>
      <c r="BE736" s="83"/>
      <c r="BF736" s="83"/>
    </row>
    <row r="737" spans="1:58" s="14" customFormat="1" ht="14.15" customHeight="1">
      <c r="A737" s="404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  <c r="AA737" s="83"/>
      <c r="AB737" s="83"/>
      <c r="AC737" s="83"/>
      <c r="AD737" s="83"/>
      <c r="AE737" s="83"/>
      <c r="AF737" s="83"/>
      <c r="AG737" s="83"/>
      <c r="AH737" s="83"/>
      <c r="AI737" s="83"/>
      <c r="AJ737" s="83"/>
      <c r="AK737" s="83"/>
      <c r="AL737" s="83"/>
      <c r="AM737" s="83"/>
      <c r="AN737" s="83"/>
      <c r="AO737" s="83"/>
      <c r="AP737" s="83"/>
      <c r="AQ737" s="83"/>
      <c r="AR737" s="83"/>
      <c r="AS737" s="83"/>
      <c r="AT737" s="83"/>
      <c r="AU737" s="83"/>
      <c r="AV737" s="83"/>
      <c r="AW737" s="83"/>
      <c r="AX737" s="83"/>
      <c r="AY737" s="83"/>
      <c r="AZ737" s="83"/>
      <c r="BA737" s="83"/>
      <c r="BB737" s="83"/>
      <c r="BC737" s="83"/>
      <c r="BD737" s="83"/>
      <c r="BE737" s="83"/>
      <c r="BF737" s="83"/>
    </row>
    <row r="738" spans="1:58" s="14" customFormat="1" ht="14.15" customHeight="1">
      <c r="A738" s="404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  <c r="AA738" s="83"/>
      <c r="AB738" s="83"/>
      <c r="AC738" s="83"/>
      <c r="AD738" s="83"/>
      <c r="AE738" s="83"/>
      <c r="AF738" s="83"/>
      <c r="AG738" s="83"/>
      <c r="AH738" s="83"/>
      <c r="AI738" s="83"/>
      <c r="AJ738" s="83"/>
      <c r="AK738" s="83"/>
      <c r="AL738" s="83"/>
      <c r="AM738" s="83"/>
      <c r="AN738" s="83"/>
      <c r="AO738" s="83"/>
      <c r="AP738" s="83"/>
      <c r="AQ738" s="83"/>
      <c r="AR738" s="83"/>
      <c r="AS738" s="83"/>
      <c r="AT738" s="83"/>
      <c r="AU738" s="83"/>
      <c r="AV738" s="83"/>
      <c r="AW738" s="83"/>
      <c r="AX738" s="83"/>
      <c r="AY738" s="83"/>
      <c r="AZ738" s="83"/>
      <c r="BA738" s="83"/>
      <c r="BB738" s="83"/>
      <c r="BC738" s="83"/>
      <c r="BD738" s="83"/>
      <c r="BE738" s="83"/>
      <c r="BF738" s="83"/>
    </row>
    <row r="739" spans="1:58" s="14" customFormat="1" ht="14.15" customHeight="1">
      <c r="A739" s="404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  <c r="AA739" s="83"/>
      <c r="AB739" s="83"/>
      <c r="AC739" s="83"/>
      <c r="AD739" s="83"/>
      <c r="AE739" s="83"/>
      <c r="AF739" s="83"/>
      <c r="AG739" s="83"/>
      <c r="AH739" s="83"/>
      <c r="AI739" s="83"/>
      <c r="AJ739" s="83"/>
      <c r="AK739" s="83"/>
      <c r="AL739" s="83"/>
      <c r="AM739" s="83"/>
      <c r="AN739" s="83"/>
      <c r="AO739" s="83"/>
      <c r="AP739" s="83"/>
      <c r="AQ739" s="83"/>
      <c r="AR739" s="83"/>
      <c r="AS739" s="83"/>
      <c r="AT739" s="83"/>
      <c r="AU739" s="83"/>
      <c r="AV739" s="83"/>
      <c r="AW739" s="83"/>
      <c r="AX739" s="83"/>
      <c r="AY739" s="83"/>
      <c r="AZ739" s="83"/>
      <c r="BA739" s="83"/>
      <c r="BB739" s="83"/>
      <c r="BC739" s="83"/>
      <c r="BD739" s="83"/>
      <c r="BE739" s="83"/>
      <c r="BF739" s="83"/>
    </row>
    <row r="740" spans="1:58" s="14" customFormat="1" ht="14.15" customHeight="1">
      <c r="A740" s="404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  <c r="AA740" s="83"/>
      <c r="AB740" s="83"/>
      <c r="AC740" s="83"/>
      <c r="AD740" s="83"/>
      <c r="AE740" s="83"/>
      <c r="AF740" s="83"/>
      <c r="AG740" s="83"/>
      <c r="AH740" s="83"/>
      <c r="AI740" s="83"/>
      <c r="AJ740" s="83"/>
      <c r="AK740" s="83"/>
      <c r="AL740" s="83"/>
      <c r="AM740" s="83"/>
      <c r="AN740" s="83"/>
      <c r="AO740" s="83"/>
      <c r="AP740" s="83"/>
      <c r="AQ740" s="83"/>
      <c r="AR740" s="83"/>
      <c r="AS740" s="83"/>
      <c r="AT740" s="83"/>
      <c r="AU740" s="83"/>
      <c r="AV740" s="83"/>
      <c r="AW740" s="83"/>
      <c r="AX740" s="83"/>
      <c r="AY740" s="83"/>
      <c r="AZ740" s="83"/>
      <c r="BA740" s="83"/>
      <c r="BB740" s="83"/>
      <c r="BC740" s="83"/>
      <c r="BD740" s="83"/>
      <c r="BE740" s="83"/>
      <c r="BF740" s="83"/>
    </row>
    <row r="741" spans="1:58" s="14" customFormat="1" ht="14.15" customHeight="1">
      <c r="A741" s="404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  <c r="AA741" s="83"/>
      <c r="AB741" s="83"/>
      <c r="AC741" s="83"/>
      <c r="AD741" s="83"/>
      <c r="AE741" s="83"/>
      <c r="AF741" s="83"/>
      <c r="AG741" s="83"/>
      <c r="AH741" s="83"/>
      <c r="AI741" s="83"/>
      <c r="AJ741" s="83"/>
      <c r="AK741" s="83"/>
      <c r="AL741" s="83"/>
      <c r="AM741" s="83"/>
      <c r="AN741" s="83"/>
      <c r="AO741" s="83"/>
      <c r="AP741" s="83"/>
      <c r="AQ741" s="83"/>
      <c r="AR741" s="83"/>
      <c r="AS741" s="83"/>
      <c r="AT741" s="83"/>
      <c r="AU741" s="83"/>
      <c r="AV741" s="83"/>
      <c r="AW741" s="83"/>
      <c r="AX741" s="83"/>
      <c r="AY741" s="83"/>
      <c r="AZ741" s="83"/>
      <c r="BA741" s="83"/>
      <c r="BB741" s="83"/>
      <c r="BC741" s="83"/>
      <c r="BD741" s="83"/>
      <c r="BE741" s="83"/>
      <c r="BF741" s="83"/>
    </row>
    <row r="742" spans="1:58" s="14" customFormat="1" ht="14.15" customHeight="1">
      <c r="A742" s="404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  <c r="AA742" s="83"/>
      <c r="AB742" s="83"/>
      <c r="AC742" s="83"/>
      <c r="AD742" s="83"/>
      <c r="AE742" s="83"/>
      <c r="AF742" s="83"/>
      <c r="AG742" s="83"/>
      <c r="AH742" s="83"/>
      <c r="AI742" s="83"/>
      <c r="AJ742" s="83"/>
      <c r="AK742" s="83"/>
      <c r="AL742" s="83"/>
      <c r="AM742" s="83"/>
      <c r="AN742" s="83"/>
      <c r="AO742" s="83"/>
      <c r="AP742" s="83"/>
      <c r="AQ742" s="83"/>
      <c r="AR742" s="83"/>
      <c r="AS742" s="83"/>
      <c r="AT742" s="83"/>
      <c r="AU742" s="83"/>
      <c r="AV742" s="83"/>
      <c r="AW742" s="83"/>
      <c r="AX742" s="83"/>
      <c r="AY742" s="83"/>
      <c r="AZ742" s="83"/>
      <c r="BA742" s="83"/>
      <c r="BB742" s="83"/>
      <c r="BC742" s="83"/>
      <c r="BD742" s="83"/>
      <c r="BE742" s="83"/>
      <c r="BF742" s="83"/>
    </row>
    <row r="743" spans="1:58" s="14" customFormat="1" ht="14.15" customHeight="1">
      <c r="A743" s="404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  <c r="AA743" s="83"/>
      <c r="AB743" s="83"/>
      <c r="AC743" s="83"/>
      <c r="AD743" s="83"/>
      <c r="AE743" s="83"/>
      <c r="AF743" s="83"/>
      <c r="AG743" s="83"/>
      <c r="AH743" s="83"/>
      <c r="AI743" s="83"/>
      <c r="AJ743" s="83"/>
      <c r="AK743" s="83"/>
      <c r="AL743" s="83"/>
      <c r="AM743" s="83"/>
      <c r="AN743" s="83"/>
      <c r="AO743" s="83"/>
      <c r="AP743" s="83"/>
      <c r="AQ743" s="83"/>
      <c r="AR743" s="83"/>
      <c r="AS743" s="83"/>
      <c r="AT743" s="83"/>
      <c r="AU743" s="83"/>
      <c r="AV743" s="83"/>
      <c r="AW743" s="83"/>
      <c r="AX743" s="83"/>
      <c r="AY743" s="83"/>
      <c r="AZ743" s="83"/>
      <c r="BA743" s="83"/>
      <c r="BB743" s="83"/>
      <c r="BC743" s="83"/>
      <c r="BD743" s="83"/>
      <c r="BE743" s="83"/>
      <c r="BF743" s="83"/>
    </row>
    <row r="744" spans="1:58" s="14" customFormat="1" ht="14.15" customHeight="1">
      <c r="A744" s="404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  <c r="AA744" s="83"/>
      <c r="AB744" s="83"/>
      <c r="AC744" s="83"/>
      <c r="AD744" s="83"/>
      <c r="AE744" s="83"/>
      <c r="AF744" s="83"/>
      <c r="AG744" s="83"/>
      <c r="AH744" s="83"/>
      <c r="AI744" s="83"/>
      <c r="AJ744" s="83"/>
      <c r="AK744" s="83"/>
      <c r="AL744" s="83"/>
      <c r="AM744" s="83"/>
      <c r="AN744" s="83"/>
      <c r="AO744" s="83"/>
      <c r="AP744" s="83"/>
      <c r="AQ744" s="83"/>
      <c r="AR744" s="83"/>
      <c r="AS744" s="83"/>
      <c r="AT744" s="83"/>
      <c r="AU744" s="83"/>
      <c r="AV744" s="83"/>
      <c r="AW744" s="83"/>
      <c r="AX744" s="83"/>
      <c r="AY744" s="83"/>
      <c r="AZ744" s="83"/>
      <c r="BA744" s="83"/>
      <c r="BB744" s="83"/>
      <c r="BC744" s="83"/>
      <c r="BD744" s="83"/>
      <c r="BE744" s="83"/>
      <c r="BF744" s="83"/>
    </row>
    <row r="745" spans="1:58" s="14" customFormat="1" ht="14.15" customHeight="1">
      <c r="A745" s="404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  <c r="AA745" s="83"/>
      <c r="AB745" s="83"/>
      <c r="AC745" s="83"/>
      <c r="AD745" s="83"/>
      <c r="AE745" s="83"/>
      <c r="AF745" s="83"/>
      <c r="AG745" s="83"/>
      <c r="AH745" s="83"/>
      <c r="AI745" s="83"/>
      <c r="AJ745" s="83"/>
      <c r="AK745" s="83"/>
      <c r="AL745" s="83"/>
      <c r="AM745" s="83"/>
      <c r="AN745" s="83"/>
      <c r="AO745" s="83"/>
      <c r="AP745" s="83"/>
      <c r="AQ745" s="83"/>
      <c r="AR745" s="83"/>
      <c r="AS745" s="83"/>
      <c r="AT745" s="83"/>
      <c r="AU745" s="83"/>
      <c r="AV745" s="83"/>
      <c r="AW745" s="83"/>
      <c r="AX745" s="83"/>
      <c r="AY745" s="83"/>
      <c r="AZ745" s="83"/>
      <c r="BA745" s="83"/>
      <c r="BB745" s="83"/>
      <c r="BC745" s="83"/>
      <c r="BD745" s="83"/>
      <c r="BE745" s="83"/>
      <c r="BF745" s="83"/>
    </row>
    <row r="746" spans="1:58" s="14" customFormat="1" ht="14.15" customHeight="1">
      <c r="A746" s="404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  <c r="AA746" s="83"/>
      <c r="AB746" s="83"/>
      <c r="AC746" s="83"/>
      <c r="AD746" s="83"/>
      <c r="AE746" s="83"/>
      <c r="AF746" s="83"/>
      <c r="AG746" s="83"/>
      <c r="AH746" s="83"/>
      <c r="AI746" s="83"/>
      <c r="AJ746" s="83"/>
      <c r="AK746" s="83"/>
      <c r="AL746" s="83"/>
      <c r="AM746" s="83"/>
      <c r="AN746" s="83"/>
      <c r="AO746" s="83"/>
      <c r="AP746" s="83"/>
      <c r="AQ746" s="83"/>
      <c r="AR746" s="83"/>
      <c r="AS746" s="83"/>
      <c r="AT746" s="83"/>
      <c r="AU746" s="83"/>
      <c r="AV746" s="83"/>
      <c r="AW746" s="83"/>
      <c r="AX746" s="83"/>
      <c r="AY746" s="83"/>
      <c r="AZ746" s="83"/>
      <c r="BA746" s="83"/>
      <c r="BB746" s="83"/>
      <c r="BC746" s="83"/>
      <c r="BD746" s="83"/>
      <c r="BE746" s="83"/>
      <c r="BF746" s="83"/>
    </row>
    <row r="747" spans="1:58" s="14" customFormat="1" ht="14.15" customHeight="1">
      <c r="A747" s="404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  <c r="AA747" s="83"/>
      <c r="AB747" s="83"/>
      <c r="AC747" s="83"/>
      <c r="AD747" s="83"/>
      <c r="AE747" s="83"/>
      <c r="AF747" s="83"/>
      <c r="AG747" s="83"/>
      <c r="AH747" s="83"/>
      <c r="AI747" s="83"/>
      <c r="AJ747" s="83"/>
      <c r="AK747" s="83"/>
      <c r="AL747" s="83"/>
      <c r="AM747" s="83"/>
      <c r="AN747" s="83"/>
      <c r="AO747" s="83"/>
      <c r="AP747" s="83"/>
      <c r="AQ747" s="83"/>
      <c r="AR747" s="83"/>
      <c r="AS747" s="83"/>
      <c r="AT747" s="83"/>
      <c r="AU747" s="83"/>
      <c r="AV747" s="83"/>
      <c r="AW747" s="83"/>
      <c r="AX747" s="83"/>
      <c r="AY747" s="83"/>
      <c r="AZ747" s="83"/>
      <c r="BA747" s="83"/>
      <c r="BB747" s="83"/>
      <c r="BC747" s="83"/>
      <c r="BD747" s="83"/>
      <c r="BE747" s="83"/>
      <c r="BF747" s="83"/>
    </row>
    <row r="748" spans="1:58" s="14" customFormat="1" ht="14.15" customHeight="1">
      <c r="A748" s="404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  <c r="AA748" s="83"/>
      <c r="AB748" s="83"/>
      <c r="AC748" s="83"/>
      <c r="AD748" s="83"/>
      <c r="AE748" s="83"/>
      <c r="AF748" s="83"/>
      <c r="AG748" s="83"/>
      <c r="AH748" s="83"/>
      <c r="AI748" s="83"/>
      <c r="AJ748" s="83"/>
      <c r="AK748" s="83"/>
      <c r="AL748" s="83"/>
      <c r="AM748" s="83"/>
      <c r="AN748" s="83"/>
      <c r="AO748" s="83"/>
      <c r="AP748" s="83"/>
      <c r="AQ748" s="83"/>
      <c r="AR748" s="83"/>
      <c r="AS748" s="83"/>
      <c r="AT748" s="83"/>
      <c r="AU748" s="83"/>
      <c r="AV748" s="83"/>
      <c r="AW748" s="83"/>
      <c r="AX748" s="83"/>
      <c r="AY748" s="83"/>
      <c r="AZ748" s="83"/>
      <c r="BA748" s="83"/>
      <c r="BB748" s="83"/>
      <c r="BC748" s="83"/>
      <c r="BD748" s="83"/>
      <c r="BE748" s="83"/>
      <c r="BF748" s="83"/>
    </row>
    <row r="749" spans="1:58" s="14" customFormat="1" ht="14.15" customHeight="1">
      <c r="A749" s="404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  <c r="AA749" s="83"/>
      <c r="AB749" s="83"/>
      <c r="AC749" s="83"/>
      <c r="AD749" s="83"/>
      <c r="AE749" s="83"/>
      <c r="AF749" s="83"/>
      <c r="AG749" s="83"/>
      <c r="AH749" s="83"/>
      <c r="AI749" s="83"/>
      <c r="AJ749" s="83"/>
      <c r="AK749" s="83"/>
      <c r="AL749" s="83"/>
      <c r="AM749" s="83"/>
      <c r="AN749" s="83"/>
      <c r="AO749" s="83"/>
      <c r="AP749" s="83"/>
      <c r="AQ749" s="83"/>
      <c r="AR749" s="83"/>
      <c r="AS749" s="83"/>
      <c r="AT749" s="83"/>
      <c r="AU749" s="83"/>
      <c r="AV749" s="83"/>
      <c r="AW749" s="83"/>
      <c r="AX749" s="83"/>
      <c r="AY749" s="83"/>
      <c r="AZ749" s="83"/>
      <c r="BA749" s="83"/>
      <c r="BB749" s="83"/>
      <c r="BC749" s="83"/>
      <c r="BD749" s="83"/>
      <c r="BE749" s="83"/>
      <c r="BF749" s="83"/>
    </row>
    <row r="750" spans="1:58" s="14" customFormat="1" ht="14.15" customHeight="1">
      <c r="A750" s="404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  <c r="AA750" s="83"/>
      <c r="AB750" s="83"/>
      <c r="AC750" s="83"/>
      <c r="AD750" s="83"/>
      <c r="AE750" s="83"/>
      <c r="AF750" s="83"/>
      <c r="AG750" s="83"/>
      <c r="AH750" s="83"/>
      <c r="AI750" s="83"/>
      <c r="AJ750" s="83"/>
      <c r="AK750" s="83"/>
      <c r="AL750" s="83"/>
      <c r="AM750" s="83"/>
      <c r="AN750" s="83"/>
      <c r="AO750" s="83"/>
      <c r="AP750" s="83"/>
      <c r="AQ750" s="83"/>
      <c r="AR750" s="83"/>
      <c r="AS750" s="83"/>
      <c r="AT750" s="83"/>
      <c r="AU750" s="83"/>
      <c r="AV750" s="83"/>
      <c r="AW750" s="83"/>
      <c r="AX750" s="83"/>
      <c r="AY750" s="83"/>
      <c r="AZ750" s="83"/>
      <c r="BA750" s="83"/>
      <c r="BB750" s="83"/>
      <c r="BC750" s="83"/>
      <c r="BD750" s="83"/>
      <c r="BE750" s="83"/>
      <c r="BF750" s="83"/>
    </row>
    <row r="751" spans="1:58" s="14" customFormat="1" ht="14.15" customHeight="1">
      <c r="A751" s="404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  <c r="AA751" s="83"/>
      <c r="AB751" s="83"/>
      <c r="AC751" s="83"/>
      <c r="AD751" s="83"/>
      <c r="AE751" s="83"/>
      <c r="AF751" s="83"/>
      <c r="AG751" s="83"/>
      <c r="AH751" s="83"/>
      <c r="AI751" s="83"/>
      <c r="AJ751" s="83"/>
      <c r="AK751" s="83"/>
      <c r="AL751" s="83"/>
      <c r="AM751" s="83"/>
      <c r="AN751" s="83"/>
      <c r="AO751" s="83"/>
      <c r="AP751" s="83"/>
      <c r="AQ751" s="83"/>
      <c r="AR751" s="83"/>
      <c r="AS751" s="83"/>
      <c r="AT751" s="83"/>
      <c r="AU751" s="83"/>
      <c r="AV751" s="83"/>
      <c r="AW751" s="83"/>
      <c r="AX751" s="83"/>
      <c r="AY751" s="83"/>
      <c r="AZ751" s="83"/>
      <c r="BA751" s="83"/>
      <c r="BB751" s="83"/>
      <c r="BC751" s="83"/>
      <c r="BD751" s="83"/>
      <c r="BE751" s="83"/>
      <c r="BF751" s="83"/>
    </row>
    <row r="752" spans="1:58" s="14" customFormat="1" ht="14.15" customHeight="1">
      <c r="A752" s="404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14">
        <v>2100000000</v>
      </c>
      <c r="AA752" s="83"/>
      <c r="AB752" s="14">
        <v>50000</v>
      </c>
      <c r="AC752" s="83"/>
      <c r="AD752" s="83"/>
      <c r="AE752" s="83"/>
      <c r="AF752" s="83"/>
      <c r="AG752" s="83"/>
      <c r="AH752" s="83"/>
      <c r="AI752" s="83"/>
      <c r="AJ752" s="83"/>
      <c r="AK752" s="83"/>
      <c r="AL752" s="83"/>
      <c r="AM752" s="83"/>
      <c r="AN752" s="83"/>
      <c r="AO752" s="83"/>
      <c r="AP752" s="83"/>
      <c r="AQ752" s="83"/>
      <c r="AR752" s="83"/>
      <c r="AS752" s="83"/>
      <c r="AT752" s="83"/>
      <c r="AU752" s="83"/>
      <c r="AV752" s="83"/>
      <c r="AW752" s="83"/>
      <c r="AX752" s="83"/>
      <c r="AY752" s="83"/>
      <c r="AZ752" s="83"/>
      <c r="BA752" s="83"/>
      <c r="BB752" s="83"/>
      <c r="BC752" s="83"/>
      <c r="BD752" s="83"/>
      <c r="BE752" s="83"/>
      <c r="BF752" s="83"/>
    </row>
    <row r="753" spans="1:58" s="14" customFormat="1" ht="14.15" customHeight="1">
      <c r="A753" s="404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329">
        <v>1.9000000000000001E-4</v>
      </c>
      <c r="AB753" s="330">
        <f>+Z753</f>
        <v>1.9000000000000001E-4</v>
      </c>
      <c r="AC753" s="83"/>
      <c r="AD753" s="83"/>
      <c r="AE753" s="83"/>
      <c r="AF753" s="83"/>
      <c r="AG753" s="83"/>
      <c r="AH753" s="83"/>
      <c r="AI753" s="83"/>
      <c r="AJ753" s="83"/>
      <c r="AK753" s="83"/>
      <c r="AL753" s="83"/>
      <c r="AM753" s="83"/>
      <c r="AN753" s="83"/>
      <c r="AO753" s="83"/>
      <c r="AP753" s="83"/>
      <c r="AQ753" s="83"/>
      <c r="AR753" s="83"/>
      <c r="AS753" s="83"/>
      <c r="AT753" s="83"/>
      <c r="AU753" s="83"/>
      <c r="AV753" s="83"/>
      <c r="AW753" s="83"/>
      <c r="AX753" s="83"/>
      <c r="AY753" s="83"/>
      <c r="AZ753" s="83"/>
      <c r="BA753" s="83"/>
      <c r="BB753" s="83"/>
      <c r="BC753" s="83"/>
      <c r="BD753" s="83"/>
      <c r="BE753" s="83"/>
      <c r="BF753" s="83"/>
    </row>
    <row r="754" spans="1:58" s="14" customFormat="1" ht="14.15" customHeight="1">
      <c r="A754" s="404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14">
        <f>+Z752*Z753</f>
        <v>399000</v>
      </c>
      <c r="AB754" s="322">
        <f>+AB752*AB753</f>
        <v>9.5</v>
      </c>
      <c r="AC754" s="83"/>
      <c r="AD754" s="83"/>
      <c r="AE754" s="83"/>
      <c r="AF754" s="83"/>
      <c r="AG754" s="83"/>
      <c r="AH754" s="83"/>
      <c r="AI754" s="83"/>
      <c r="AJ754" s="83"/>
      <c r="AK754" s="83"/>
      <c r="AL754" s="83"/>
      <c r="AM754" s="83"/>
      <c r="AN754" s="83"/>
      <c r="AO754" s="83"/>
      <c r="AP754" s="83"/>
      <c r="AQ754" s="83"/>
      <c r="AR754" s="83"/>
      <c r="AS754" s="83"/>
      <c r="AT754" s="83"/>
      <c r="AU754" s="83"/>
      <c r="AV754" s="83"/>
      <c r="AW754" s="83"/>
      <c r="AX754" s="83"/>
      <c r="AY754" s="83"/>
      <c r="AZ754" s="83"/>
      <c r="BA754" s="83"/>
      <c r="BB754" s="83"/>
      <c r="BC754" s="83"/>
      <c r="BD754" s="83"/>
      <c r="BE754" s="83"/>
      <c r="BF754" s="83"/>
    </row>
    <row r="755" spans="1:58" s="14" customFormat="1" ht="14.15" customHeight="1">
      <c r="A755" s="404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  <c r="AA755" s="83"/>
      <c r="AB755" s="83"/>
      <c r="AC755" s="83"/>
      <c r="AD755" s="83"/>
      <c r="AE755" s="83"/>
      <c r="AF755" s="83"/>
      <c r="AG755" s="83"/>
      <c r="AH755" s="83"/>
      <c r="AI755" s="83"/>
      <c r="AJ755" s="83"/>
      <c r="AK755" s="83"/>
      <c r="AL755" s="83"/>
      <c r="AM755" s="83"/>
      <c r="AN755" s="83"/>
      <c r="AO755" s="83"/>
      <c r="AP755" s="83"/>
      <c r="AQ755" s="83"/>
      <c r="AR755" s="83"/>
      <c r="AS755" s="83"/>
      <c r="AT755" s="83"/>
      <c r="AU755" s="83"/>
      <c r="AV755" s="83"/>
      <c r="AW755" s="83"/>
      <c r="AX755" s="83"/>
      <c r="AY755" s="83"/>
      <c r="AZ755" s="83"/>
      <c r="BA755" s="83"/>
      <c r="BB755" s="83"/>
      <c r="BC755" s="83"/>
      <c r="BD755" s="83"/>
      <c r="BE755" s="83"/>
      <c r="BF755" s="83"/>
    </row>
    <row r="756" spans="1:58" s="14" customFormat="1" ht="14.15" customHeight="1">
      <c r="A756" s="404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14">
        <v>400000</v>
      </c>
      <c r="AA756" s="83"/>
      <c r="AB756" s="83"/>
      <c r="AC756" s="83"/>
      <c r="AD756" s="83"/>
      <c r="AE756" s="83"/>
      <c r="AF756" s="83"/>
      <c r="AG756" s="83"/>
      <c r="AH756" s="83"/>
      <c r="AI756" s="83"/>
      <c r="AJ756" s="83"/>
      <c r="AK756" s="83"/>
      <c r="AL756" s="83"/>
      <c r="AM756" s="83"/>
      <c r="AN756" s="83"/>
      <c r="AO756" s="83"/>
      <c r="AP756" s="83"/>
      <c r="AQ756" s="83"/>
      <c r="AR756" s="83"/>
      <c r="AS756" s="83"/>
      <c r="AT756" s="83"/>
      <c r="AU756" s="83"/>
      <c r="AV756" s="83"/>
      <c r="AW756" s="83"/>
      <c r="AX756" s="83"/>
      <c r="AY756" s="83"/>
      <c r="AZ756" s="83"/>
      <c r="BA756" s="83"/>
      <c r="BB756" s="83"/>
      <c r="BC756" s="83"/>
      <c r="BD756" s="83"/>
      <c r="BE756" s="83"/>
      <c r="BF756" s="83"/>
    </row>
    <row r="757" spans="1:58" s="14" customFormat="1" ht="14.15" customHeight="1">
      <c r="A757" s="404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328">
        <f>+Z756/Z752</f>
        <v>1.9047619047619048E-4</v>
      </c>
      <c r="AA757" s="83"/>
      <c r="AB757" s="83"/>
      <c r="AC757" s="83"/>
      <c r="AD757" s="83"/>
      <c r="AE757" s="83"/>
      <c r="AF757" s="83"/>
      <c r="AG757" s="83"/>
      <c r="AH757" s="83"/>
      <c r="AI757" s="83"/>
      <c r="AJ757" s="83"/>
      <c r="AK757" s="83"/>
      <c r="AL757" s="83"/>
      <c r="AM757" s="83"/>
      <c r="AN757" s="83"/>
      <c r="AO757" s="83"/>
      <c r="AP757" s="83"/>
      <c r="AQ757" s="83"/>
      <c r="AR757" s="83"/>
      <c r="AS757" s="83"/>
      <c r="AT757" s="83"/>
      <c r="AU757" s="83"/>
      <c r="AV757" s="83"/>
      <c r="AW757" s="83"/>
      <c r="AX757" s="83"/>
      <c r="AY757" s="83"/>
      <c r="AZ757" s="83"/>
      <c r="BA757" s="83"/>
      <c r="BB757" s="83"/>
      <c r="BC757" s="83"/>
      <c r="BD757" s="83"/>
      <c r="BE757" s="83"/>
      <c r="BF757" s="83"/>
    </row>
    <row r="758" spans="1:58" s="14" customFormat="1" ht="14.15" customHeight="1">
      <c r="A758" s="404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  <c r="AA758" s="83"/>
      <c r="AB758" s="83"/>
      <c r="AC758" s="83"/>
      <c r="AD758" s="83"/>
      <c r="AE758" s="83"/>
      <c r="AF758" s="83"/>
      <c r="AG758" s="83"/>
      <c r="AH758" s="83"/>
      <c r="AI758" s="83"/>
      <c r="AJ758" s="83"/>
      <c r="AK758" s="83"/>
      <c r="AL758" s="83"/>
      <c r="AM758" s="83"/>
      <c r="AN758" s="83"/>
      <c r="AO758" s="83"/>
      <c r="AP758" s="83"/>
      <c r="AQ758" s="83"/>
      <c r="AR758" s="83"/>
      <c r="AS758" s="83"/>
      <c r="AT758" s="83"/>
      <c r="AU758" s="83"/>
      <c r="AV758" s="83"/>
      <c r="AW758" s="83"/>
      <c r="AX758" s="83"/>
      <c r="AY758" s="83"/>
      <c r="AZ758" s="83"/>
      <c r="BA758" s="83"/>
      <c r="BB758" s="83"/>
      <c r="BC758" s="83"/>
      <c r="BD758" s="83"/>
      <c r="BE758" s="83"/>
      <c r="BF758" s="83"/>
    </row>
    <row r="759" spans="1:58" s="14" customFormat="1" ht="14.15" customHeight="1">
      <c r="A759" s="404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  <c r="AA759" s="83"/>
      <c r="AB759" s="83"/>
      <c r="AC759" s="83"/>
      <c r="AD759" s="83"/>
      <c r="AE759" s="83"/>
      <c r="AF759" s="83"/>
      <c r="AG759" s="83"/>
      <c r="AH759" s="83"/>
      <c r="AI759" s="83"/>
      <c r="AJ759" s="83"/>
      <c r="AK759" s="83"/>
      <c r="AL759" s="83"/>
      <c r="AM759" s="83"/>
      <c r="AN759" s="83"/>
      <c r="AO759" s="83"/>
      <c r="AP759" s="83"/>
      <c r="AQ759" s="83"/>
      <c r="AR759" s="83"/>
      <c r="AS759" s="83"/>
      <c r="AT759" s="83"/>
      <c r="AU759" s="83"/>
      <c r="AV759" s="83"/>
      <c r="AW759" s="83"/>
      <c r="AX759" s="83"/>
      <c r="AY759" s="83"/>
      <c r="AZ759" s="83"/>
      <c r="BA759" s="83"/>
      <c r="BB759" s="83"/>
      <c r="BC759" s="83"/>
      <c r="BD759" s="83"/>
      <c r="BE759" s="83"/>
      <c r="BF759" s="83"/>
    </row>
    <row r="760" spans="1:58" s="14" customFormat="1" ht="14.15" customHeight="1">
      <c r="A760" s="404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  <c r="AA760" s="83"/>
      <c r="AB760" s="83"/>
      <c r="AC760" s="83"/>
      <c r="AD760" s="83"/>
      <c r="AE760" s="83"/>
      <c r="AF760" s="83"/>
      <c r="AG760" s="83"/>
      <c r="AH760" s="83"/>
      <c r="AI760" s="83"/>
      <c r="AJ760" s="83"/>
      <c r="AK760" s="83"/>
      <c r="AL760" s="83"/>
      <c r="AM760" s="83"/>
      <c r="AN760" s="83"/>
      <c r="AO760" s="83"/>
      <c r="AP760" s="83"/>
      <c r="AQ760" s="83"/>
      <c r="AR760" s="83"/>
      <c r="AS760" s="83"/>
      <c r="AT760" s="83"/>
      <c r="AU760" s="83"/>
      <c r="AV760" s="83"/>
      <c r="AW760" s="83"/>
      <c r="AX760" s="83"/>
      <c r="AY760" s="83"/>
      <c r="AZ760" s="83"/>
      <c r="BA760" s="83"/>
      <c r="BB760" s="83"/>
      <c r="BC760" s="83"/>
      <c r="BD760" s="83"/>
      <c r="BE760" s="83"/>
      <c r="BF760" s="83"/>
    </row>
    <row r="761" spans="1:58" s="14" customFormat="1" ht="14.15" customHeight="1">
      <c r="A761" s="404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  <c r="AA761" s="83"/>
      <c r="AB761" s="83"/>
      <c r="AC761" s="83"/>
      <c r="AD761" s="83"/>
      <c r="AE761" s="83"/>
      <c r="AF761" s="83"/>
      <c r="AG761" s="83"/>
      <c r="AH761" s="83"/>
      <c r="AI761" s="83"/>
      <c r="AJ761" s="83"/>
      <c r="AK761" s="83"/>
      <c r="AL761" s="83"/>
      <c r="AM761" s="83"/>
      <c r="AN761" s="83"/>
      <c r="AO761" s="83"/>
      <c r="AP761" s="83"/>
      <c r="AQ761" s="83"/>
      <c r="AR761" s="83"/>
      <c r="AS761" s="83"/>
      <c r="AT761" s="83"/>
      <c r="AU761" s="83"/>
      <c r="AV761" s="83"/>
      <c r="AW761" s="83"/>
      <c r="AX761" s="83"/>
      <c r="AY761" s="83"/>
      <c r="AZ761" s="83"/>
      <c r="BA761" s="83"/>
      <c r="BB761" s="83"/>
      <c r="BC761" s="83"/>
      <c r="BD761" s="83"/>
      <c r="BE761" s="83"/>
      <c r="BF761" s="83"/>
    </row>
    <row r="762" spans="1:58" s="14" customFormat="1" ht="14.15" customHeight="1">
      <c r="A762" s="404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  <c r="AA762" s="83"/>
      <c r="AB762" s="83"/>
      <c r="AC762" s="83"/>
      <c r="AD762" s="83"/>
      <c r="AE762" s="83"/>
      <c r="AF762" s="83"/>
      <c r="AG762" s="83"/>
      <c r="AH762" s="83"/>
      <c r="AI762" s="83"/>
      <c r="AJ762" s="83"/>
      <c r="AK762" s="83"/>
      <c r="AL762" s="83"/>
      <c r="AM762" s="83"/>
      <c r="AN762" s="83"/>
      <c r="AO762" s="83"/>
      <c r="AP762" s="83"/>
      <c r="AQ762" s="83"/>
      <c r="AR762" s="83"/>
      <c r="AS762" s="83"/>
      <c r="AT762" s="83"/>
      <c r="AU762" s="83"/>
      <c r="AV762" s="83"/>
      <c r="AW762" s="83"/>
      <c r="AX762" s="83"/>
      <c r="AY762" s="83"/>
      <c r="AZ762" s="83"/>
      <c r="BA762" s="83"/>
      <c r="BB762" s="83"/>
      <c r="BC762" s="83"/>
      <c r="BD762" s="83"/>
      <c r="BE762" s="83"/>
      <c r="BF762" s="83"/>
    </row>
    <row r="763" spans="1:58" s="14" customFormat="1" ht="14.15" customHeight="1">
      <c r="A763" s="404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  <c r="AA763" s="83"/>
      <c r="AB763" s="83"/>
      <c r="AC763" s="83"/>
      <c r="AD763" s="83"/>
      <c r="AE763" s="83"/>
      <c r="AF763" s="83"/>
      <c r="AG763" s="83"/>
      <c r="AH763" s="83"/>
      <c r="AI763" s="83"/>
      <c r="AJ763" s="83"/>
      <c r="AK763" s="83"/>
      <c r="AL763" s="83"/>
      <c r="AM763" s="83"/>
      <c r="AN763" s="83"/>
      <c r="AO763" s="83"/>
      <c r="AP763" s="83"/>
      <c r="AQ763" s="83"/>
      <c r="AR763" s="83"/>
      <c r="AS763" s="83"/>
      <c r="AT763" s="83"/>
      <c r="AU763" s="83"/>
      <c r="AV763" s="83"/>
      <c r="AW763" s="83"/>
      <c r="AX763" s="83"/>
      <c r="AY763" s="83"/>
      <c r="AZ763" s="83"/>
      <c r="BA763" s="83"/>
      <c r="BB763" s="83"/>
      <c r="BC763" s="83"/>
      <c r="BD763" s="83"/>
      <c r="BE763" s="83"/>
      <c r="BF763" s="83"/>
    </row>
    <row r="764" spans="1:58" s="14" customFormat="1" ht="14.15" customHeight="1">
      <c r="A764" s="404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  <c r="AA764" s="83"/>
      <c r="AB764" s="83"/>
      <c r="AC764" s="83"/>
      <c r="AD764" s="83"/>
      <c r="AE764" s="83"/>
      <c r="AF764" s="83"/>
      <c r="AG764" s="83"/>
      <c r="AH764" s="83"/>
      <c r="AI764" s="83"/>
      <c r="AJ764" s="83"/>
      <c r="AK764" s="83"/>
      <c r="AL764" s="83"/>
      <c r="AM764" s="83"/>
      <c r="AN764" s="83"/>
      <c r="AO764" s="83"/>
      <c r="AP764" s="83"/>
      <c r="AQ764" s="83"/>
      <c r="AR764" s="83"/>
      <c r="AS764" s="83"/>
      <c r="AT764" s="83"/>
      <c r="AU764" s="83"/>
      <c r="AV764" s="83"/>
      <c r="AW764" s="83"/>
      <c r="AX764" s="83"/>
      <c r="AY764" s="83"/>
      <c r="AZ764" s="83"/>
      <c r="BA764" s="83"/>
      <c r="BB764" s="83"/>
      <c r="BC764" s="83"/>
      <c r="BD764" s="83"/>
      <c r="BE764" s="83"/>
      <c r="BF764" s="83"/>
    </row>
    <row r="765" spans="1:58" s="14" customFormat="1" ht="14.15" customHeight="1">
      <c r="A765" s="404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  <c r="AA765" s="83"/>
      <c r="AB765" s="83"/>
      <c r="AC765" s="83"/>
      <c r="AD765" s="83"/>
      <c r="AE765" s="83"/>
      <c r="AF765" s="83"/>
      <c r="AG765" s="83"/>
      <c r="AH765" s="83"/>
      <c r="AI765" s="83"/>
      <c r="AJ765" s="83"/>
      <c r="AK765" s="83"/>
      <c r="AL765" s="83"/>
      <c r="AM765" s="83"/>
      <c r="AN765" s="83"/>
      <c r="AO765" s="83"/>
      <c r="AP765" s="83"/>
      <c r="AQ765" s="83"/>
      <c r="AR765" s="83"/>
      <c r="AS765" s="83"/>
      <c r="AT765" s="83"/>
      <c r="AU765" s="83"/>
      <c r="AV765" s="83"/>
      <c r="AW765" s="83"/>
      <c r="AX765" s="83"/>
      <c r="AY765" s="83"/>
      <c r="AZ765" s="83"/>
      <c r="BA765" s="83"/>
      <c r="BB765" s="83"/>
      <c r="BC765" s="83"/>
      <c r="BD765" s="83"/>
      <c r="BE765" s="83"/>
      <c r="BF765" s="83"/>
    </row>
    <row r="766" spans="1:58" s="14" customFormat="1" ht="14.15" customHeight="1">
      <c r="A766" s="404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  <c r="AA766" s="83"/>
      <c r="AB766" s="83"/>
      <c r="AC766" s="83"/>
      <c r="AD766" s="83"/>
      <c r="AE766" s="83"/>
      <c r="AF766" s="83"/>
      <c r="AG766" s="83"/>
      <c r="AH766" s="83"/>
      <c r="AI766" s="83"/>
      <c r="AJ766" s="83"/>
      <c r="AK766" s="83"/>
      <c r="AL766" s="83"/>
      <c r="AM766" s="83"/>
      <c r="AN766" s="83"/>
      <c r="AO766" s="83"/>
      <c r="AP766" s="83"/>
      <c r="AQ766" s="83"/>
      <c r="AR766" s="83"/>
      <c r="AS766" s="83"/>
      <c r="AT766" s="83"/>
      <c r="AU766" s="83"/>
      <c r="AV766" s="83"/>
      <c r="AW766" s="83"/>
      <c r="AX766" s="83"/>
      <c r="AY766" s="83"/>
      <c r="AZ766" s="83"/>
      <c r="BA766" s="83"/>
      <c r="BB766" s="83"/>
      <c r="BC766" s="83"/>
      <c r="BD766" s="83"/>
      <c r="BE766" s="83"/>
      <c r="BF766" s="83"/>
    </row>
    <row r="767" spans="1:58" s="14" customFormat="1" ht="14.15" customHeight="1">
      <c r="A767" s="404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  <c r="AA767" s="83"/>
      <c r="AB767" s="83"/>
      <c r="AC767" s="83"/>
      <c r="AD767" s="83"/>
      <c r="AE767" s="83"/>
      <c r="AF767" s="83"/>
      <c r="AG767" s="83"/>
      <c r="AH767" s="83"/>
      <c r="AI767" s="83"/>
      <c r="AJ767" s="83"/>
      <c r="AK767" s="83"/>
      <c r="AL767" s="83"/>
      <c r="AM767" s="83"/>
      <c r="AN767" s="83"/>
      <c r="AO767" s="83"/>
      <c r="AP767" s="83"/>
      <c r="AQ767" s="83"/>
      <c r="AR767" s="83"/>
      <c r="AS767" s="83"/>
      <c r="AT767" s="83"/>
      <c r="AU767" s="83"/>
      <c r="AV767" s="83"/>
      <c r="AW767" s="83"/>
      <c r="AX767" s="83"/>
      <c r="AY767" s="83"/>
      <c r="AZ767" s="83"/>
      <c r="BA767" s="83"/>
      <c r="BB767" s="83"/>
      <c r="BC767" s="83"/>
      <c r="BD767" s="83"/>
      <c r="BE767" s="83"/>
      <c r="BF767" s="83"/>
    </row>
    <row r="768" spans="1:58" s="14" customFormat="1" ht="14.15" customHeight="1">
      <c r="A768" s="404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  <c r="AA768" s="83"/>
      <c r="AB768" s="83"/>
      <c r="AC768" s="83"/>
      <c r="AD768" s="83"/>
      <c r="AE768" s="83"/>
      <c r="AF768" s="83"/>
      <c r="AG768" s="83"/>
      <c r="AH768" s="83"/>
      <c r="AI768" s="83"/>
      <c r="AJ768" s="83"/>
      <c r="AK768" s="83"/>
      <c r="AL768" s="83"/>
      <c r="AM768" s="83"/>
      <c r="AN768" s="83"/>
      <c r="AO768" s="83"/>
      <c r="AP768" s="83"/>
      <c r="AQ768" s="83"/>
      <c r="AR768" s="83"/>
      <c r="AS768" s="83"/>
      <c r="AT768" s="83"/>
      <c r="AU768" s="83"/>
      <c r="AV768" s="83"/>
      <c r="AW768" s="83"/>
      <c r="AX768" s="83"/>
      <c r="AY768" s="83"/>
      <c r="AZ768" s="83"/>
      <c r="BA768" s="83"/>
      <c r="BB768" s="83"/>
      <c r="BC768" s="83"/>
      <c r="BD768" s="83"/>
      <c r="BE768" s="83"/>
      <c r="BF768" s="83"/>
    </row>
    <row r="769" spans="1:58" s="14" customFormat="1" ht="14.15" customHeight="1">
      <c r="A769" s="404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  <c r="AA769" s="83"/>
      <c r="AB769" s="83"/>
      <c r="AC769" s="83"/>
      <c r="AD769" s="83"/>
      <c r="AE769" s="83"/>
      <c r="AF769" s="83"/>
      <c r="AG769" s="83"/>
      <c r="AH769" s="83"/>
      <c r="AI769" s="83"/>
      <c r="AJ769" s="83"/>
      <c r="AK769" s="83"/>
      <c r="AL769" s="83"/>
      <c r="AM769" s="83"/>
      <c r="AN769" s="83"/>
      <c r="AO769" s="83"/>
      <c r="AP769" s="83"/>
      <c r="AQ769" s="83"/>
      <c r="AR769" s="83"/>
      <c r="AS769" s="83"/>
      <c r="AT769" s="83"/>
      <c r="AU769" s="83"/>
      <c r="AV769" s="83"/>
      <c r="AW769" s="83"/>
      <c r="AX769" s="83"/>
      <c r="AY769" s="83"/>
      <c r="AZ769" s="83"/>
      <c r="BA769" s="83"/>
      <c r="BB769" s="83"/>
      <c r="BC769" s="83"/>
      <c r="BD769" s="83"/>
      <c r="BE769" s="83"/>
      <c r="BF769" s="83"/>
    </row>
    <row r="770" spans="1:58" s="14" customFormat="1" ht="14.15" customHeight="1">
      <c r="A770" s="404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  <c r="AA770" s="83"/>
      <c r="AB770" s="83"/>
      <c r="AC770" s="83"/>
      <c r="AD770" s="83"/>
      <c r="AE770" s="83"/>
      <c r="AF770" s="83"/>
      <c r="AG770" s="83"/>
      <c r="AH770" s="83"/>
      <c r="AI770" s="83"/>
      <c r="AJ770" s="83"/>
      <c r="AK770" s="83"/>
      <c r="AL770" s="83"/>
      <c r="AM770" s="83"/>
      <c r="AN770" s="83"/>
      <c r="AO770" s="83"/>
      <c r="AP770" s="83"/>
      <c r="AQ770" s="83"/>
      <c r="AR770" s="83"/>
      <c r="AS770" s="83"/>
      <c r="AT770" s="83"/>
      <c r="AU770" s="83"/>
      <c r="AV770" s="83"/>
      <c r="AW770" s="83"/>
      <c r="AX770" s="83"/>
      <c r="AY770" s="83"/>
      <c r="AZ770" s="83"/>
      <c r="BA770" s="83"/>
      <c r="BB770" s="83"/>
      <c r="BC770" s="83"/>
      <c r="BD770" s="83"/>
      <c r="BE770" s="83"/>
      <c r="BF770" s="83"/>
    </row>
    <row r="771" spans="1:58" s="14" customFormat="1" ht="14.15" customHeight="1">
      <c r="A771" s="404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  <c r="AA771" s="83"/>
      <c r="AB771" s="83"/>
      <c r="AC771" s="83"/>
      <c r="AD771" s="83"/>
      <c r="AE771" s="83"/>
      <c r="AF771" s="83"/>
      <c r="AG771" s="83"/>
      <c r="AH771" s="83"/>
      <c r="AI771" s="83"/>
      <c r="AJ771" s="83"/>
      <c r="AK771" s="83"/>
      <c r="AL771" s="83"/>
      <c r="AM771" s="83"/>
      <c r="AN771" s="83"/>
      <c r="AO771" s="83"/>
      <c r="AP771" s="83"/>
      <c r="AQ771" s="83"/>
      <c r="AR771" s="83"/>
      <c r="AS771" s="83"/>
      <c r="AT771" s="83"/>
      <c r="AU771" s="83"/>
      <c r="AV771" s="83"/>
      <c r="AW771" s="83"/>
      <c r="AX771" s="83"/>
      <c r="AY771" s="83"/>
      <c r="AZ771" s="83"/>
      <c r="BA771" s="83"/>
      <c r="BB771" s="83"/>
      <c r="BC771" s="83"/>
      <c r="BD771" s="83"/>
      <c r="BE771" s="83"/>
      <c r="BF771" s="83"/>
    </row>
    <row r="772" spans="1:58" s="14" customFormat="1" ht="14.15" customHeight="1">
      <c r="A772" s="404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  <c r="AA772" s="83"/>
      <c r="AB772" s="83"/>
      <c r="AC772" s="83"/>
      <c r="AD772" s="83"/>
      <c r="AE772" s="83"/>
      <c r="AF772" s="83"/>
      <c r="AG772" s="83"/>
      <c r="AH772" s="83"/>
      <c r="AI772" s="83"/>
      <c r="AJ772" s="83"/>
      <c r="AK772" s="83"/>
      <c r="AL772" s="83"/>
      <c r="AM772" s="83"/>
      <c r="AN772" s="83"/>
      <c r="AO772" s="83"/>
      <c r="AP772" s="83"/>
      <c r="AQ772" s="83"/>
      <c r="AR772" s="83"/>
      <c r="AS772" s="83"/>
      <c r="AT772" s="83"/>
      <c r="AU772" s="83"/>
      <c r="AV772" s="83"/>
      <c r="AW772" s="83"/>
      <c r="AX772" s="83"/>
      <c r="AY772" s="83"/>
      <c r="AZ772" s="83"/>
      <c r="BA772" s="83"/>
      <c r="BB772" s="83"/>
      <c r="BC772" s="83"/>
      <c r="BD772" s="83"/>
      <c r="BE772" s="83"/>
      <c r="BF772" s="83"/>
    </row>
    <row r="773" spans="1:58" s="14" customFormat="1" ht="14.15" customHeight="1">
      <c r="A773" s="404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  <c r="AA773" s="83"/>
      <c r="AB773" s="83"/>
      <c r="AC773" s="83"/>
      <c r="AD773" s="83"/>
      <c r="AE773" s="83"/>
      <c r="AF773" s="83"/>
      <c r="AG773" s="83"/>
      <c r="AH773" s="83"/>
      <c r="AI773" s="83"/>
      <c r="AJ773" s="83"/>
      <c r="AK773" s="83"/>
      <c r="AL773" s="83"/>
      <c r="AM773" s="83"/>
      <c r="AN773" s="83"/>
      <c r="AO773" s="83"/>
      <c r="AP773" s="83"/>
      <c r="AQ773" s="83"/>
      <c r="AR773" s="83"/>
      <c r="AS773" s="83"/>
      <c r="AT773" s="83"/>
      <c r="AU773" s="83"/>
      <c r="AV773" s="83"/>
      <c r="AW773" s="83"/>
      <c r="AX773" s="83"/>
      <c r="AY773" s="83"/>
      <c r="AZ773" s="83"/>
      <c r="BA773" s="83"/>
      <c r="BB773" s="83"/>
      <c r="BC773" s="83"/>
      <c r="BD773" s="83"/>
      <c r="BE773" s="83"/>
      <c r="BF773" s="83"/>
    </row>
    <row r="774" spans="1:58" s="14" customFormat="1" ht="14.15" customHeight="1">
      <c r="A774" s="404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  <c r="AA774" s="83"/>
      <c r="AB774" s="83"/>
      <c r="AC774" s="83"/>
      <c r="AD774" s="83"/>
      <c r="AE774" s="83"/>
      <c r="AF774" s="83"/>
      <c r="AG774" s="83"/>
      <c r="AH774" s="83"/>
      <c r="AI774" s="83"/>
      <c r="AJ774" s="83"/>
      <c r="AK774" s="83"/>
      <c r="AL774" s="83"/>
      <c r="AM774" s="83"/>
      <c r="AN774" s="83"/>
      <c r="AO774" s="83"/>
      <c r="AP774" s="83"/>
      <c r="AQ774" s="83"/>
      <c r="AR774" s="83"/>
      <c r="AS774" s="83"/>
      <c r="AT774" s="83"/>
      <c r="AU774" s="83"/>
      <c r="AV774" s="83"/>
      <c r="AW774" s="83"/>
      <c r="AX774" s="83"/>
      <c r="AY774" s="83"/>
      <c r="AZ774" s="83"/>
      <c r="BA774" s="83"/>
      <c r="BB774" s="83"/>
      <c r="BC774" s="83"/>
      <c r="BD774" s="83"/>
      <c r="BE774" s="83"/>
      <c r="BF774" s="83"/>
    </row>
    <row r="775" spans="1:58" s="14" customFormat="1" ht="14.15" customHeight="1">
      <c r="A775" s="404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  <c r="AA775" s="83"/>
      <c r="AB775" s="83"/>
      <c r="AC775" s="83"/>
      <c r="AD775" s="83"/>
      <c r="AE775" s="83"/>
      <c r="AF775" s="83"/>
      <c r="AG775" s="83"/>
      <c r="AH775" s="83"/>
      <c r="AI775" s="83"/>
      <c r="AJ775" s="83"/>
      <c r="AK775" s="83"/>
      <c r="AL775" s="83"/>
      <c r="AM775" s="83"/>
      <c r="AN775" s="83"/>
      <c r="AO775" s="83"/>
      <c r="AP775" s="83"/>
      <c r="AQ775" s="83"/>
      <c r="AR775" s="83"/>
      <c r="AS775" s="83"/>
      <c r="AT775" s="83"/>
      <c r="AU775" s="83"/>
      <c r="AV775" s="83"/>
      <c r="AW775" s="83"/>
      <c r="AX775" s="83"/>
      <c r="AY775" s="83"/>
      <c r="AZ775" s="83"/>
      <c r="BA775" s="83"/>
      <c r="BB775" s="83"/>
      <c r="BC775" s="83"/>
      <c r="BD775" s="83"/>
      <c r="BE775" s="83"/>
      <c r="BF775" s="83"/>
    </row>
    <row r="776" spans="1:58" s="14" customFormat="1" ht="14.15" customHeight="1">
      <c r="A776" s="404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  <c r="AA776" s="83"/>
      <c r="AB776" s="83"/>
      <c r="AC776" s="83"/>
      <c r="AD776" s="83"/>
      <c r="AE776" s="83"/>
      <c r="AF776" s="83"/>
      <c r="AG776" s="83"/>
      <c r="AH776" s="83"/>
      <c r="AI776" s="83"/>
      <c r="AJ776" s="83"/>
      <c r="AK776" s="83"/>
      <c r="AL776" s="83"/>
      <c r="AM776" s="83"/>
      <c r="AN776" s="83"/>
      <c r="AO776" s="83"/>
      <c r="AP776" s="83"/>
      <c r="AQ776" s="83"/>
      <c r="AR776" s="83"/>
      <c r="AS776" s="83"/>
      <c r="AT776" s="83"/>
      <c r="AU776" s="83"/>
      <c r="AV776" s="83"/>
      <c r="AW776" s="83"/>
      <c r="AX776" s="83"/>
      <c r="AY776" s="83"/>
      <c r="AZ776" s="83"/>
      <c r="BA776" s="83"/>
      <c r="BB776" s="83"/>
      <c r="BC776" s="83"/>
      <c r="BD776" s="83"/>
      <c r="BE776" s="83"/>
      <c r="BF776" s="83"/>
    </row>
    <row r="777" spans="1:58" s="14" customFormat="1" ht="14.15" customHeight="1">
      <c r="A777" s="404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  <c r="AA777" s="83"/>
      <c r="AB777" s="83"/>
      <c r="AC777" s="83"/>
      <c r="AD777" s="83"/>
      <c r="AE777" s="83"/>
      <c r="AF777" s="83"/>
      <c r="AG777" s="83"/>
      <c r="AH777" s="83"/>
      <c r="AI777" s="83"/>
      <c r="AJ777" s="83"/>
      <c r="AK777" s="83"/>
      <c r="AL777" s="83"/>
      <c r="AM777" s="83"/>
      <c r="AN777" s="83"/>
      <c r="AO777" s="83"/>
      <c r="AP777" s="83"/>
      <c r="AQ777" s="83"/>
      <c r="AR777" s="83"/>
      <c r="AS777" s="83"/>
      <c r="AT777" s="83"/>
      <c r="AU777" s="83"/>
      <c r="AV777" s="83"/>
      <c r="AW777" s="83"/>
      <c r="AX777" s="83"/>
      <c r="AY777" s="83"/>
      <c r="AZ777" s="83"/>
      <c r="BA777" s="83"/>
      <c r="BB777" s="83"/>
      <c r="BC777" s="83"/>
      <c r="BD777" s="83"/>
      <c r="BE777" s="83"/>
      <c r="BF777" s="83"/>
    </row>
    <row r="778" spans="1:58" s="14" customFormat="1" ht="14.15" customHeight="1">
      <c r="A778" s="404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  <c r="AA778" s="83"/>
      <c r="AB778" s="83"/>
      <c r="AC778" s="83"/>
      <c r="AD778" s="83"/>
      <c r="AE778" s="83"/>
      <c r="AF778" s="83"/>
      <c r="AG778" s="83"/>
      <c r="AH778" s="83"/>
      <c r="AI778" s="83"/>
      <c r="AJ778" s="83"/>
      <c r="AK778" s="83"/>
      <c r="AL778" s="83"/>
      <c r="AM778" s="83"/>
      <c r="AN778" s="83"/>
      <c r="AO778" s="83"/>
      <c r="AP778" s="83"/>
      <c r="AQ778" s="83"/>
      <c r="AR778" s="83"/>
      <c r="AS778" s="83"/>
      <c r="AT778" s="83"/>
      <c r="AU778" s="83"/>
      <c r="AV778" s="83"/>
      <c r="AW778" s="83"/>
      <c r="AX778" s="83"/>
      <c r="AY778" s="83"/>
      <c r="AZ778" s="83"/>
      <c r="BA778" s="83"/>
      <c r="BB778" s="83"/>
      <c r="BC778" s="83"/>
      <c r="BD778" s="83"/>
      <c r="BE778" s="83"/>
      <c r="BF778" s="83"/>
    </row>
    <row r="779" spans="1:58" s="14" customFormat="1" ht="14.15" customHeight="1">
      <c r="A779" s="404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  <c r="AA779" s="83"/>
      <c r="AB779" s="83"/>
      <c r="AC779" s="83"/>
      <c r="AD779" s="83"/>
      <c r="AE779" s="83"/>
      <c r="AF779" s="83"/>
      <c r="AG779" s="83"/>
      <c r="AH779" s="83"/>
      <c r="AI779" s="83"/>
      <c r="AJ779" s="83"/>
      <c r="AK779" s="83"/>
      <c r="AL779" s="83"/>
      <c r="AM779" s="83"/>
      <c r="AN779" s="83"/>
      <c r="AO779" s="83"/>
      <c r="AP779" s="83"/>
      <c r="AQ779" s="83"/>
      <c r="AR779" s="83"/>
      <c r="AS779" s="83"/>
      <c r="AT779" s="83"/>
      <c r="AU779" s="83"/>
      <c r="AV779" s="83"/>
      <c r="AW779" s="83"/>
      <c r="AX779" s="83"/>
      <c r="AY779" s="83"/>
      <c r="AZ779" s="83"/>
      <c r="BA779" s="83"/>
      <c r="BB779" s="83"/>
      <c r="BC779" s="83"/>
      <c r="BD779" s="83"/>
      <c r="BE779" s="83"/>
      <c r="BF779" s="83"/>
    </row>
    <row r="780" spans="1:58" s="14" customFormat="1" ht="14.15" customHeight="1">
      <c r="A780" s="404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  <c r="AA780" s="83"/>
      <c r="AB780" s="83"/>
      <c r="AC780" s="83"/>
      <c r="AD780" s="83"/>
      <c r="AE780" s="83"/>
      <c r="AF780" s="83"/>
      <c r="AG780" s="83"/>
      <c r="AH780" s="83"/>
      <c r="AI780" s="83"/>
      <c r="AJ780" s="83"/>
      <c r="AK780" s="83"/>
      <c r="AL780" s="83"/>
      <c r="AM780" s="83"/>
      <c r="AN780" s="83"/>
      <c r="AO780" s="83"/>
      <c r="AP780" s="83"/>
      <c r="AQ780" s="83"/>
      <c r="AR780" s="83"/>
      <c r="AS780" s="83"/>
      <c r="AT780" s="83"/>
      <c r="AU780" s="83"/>
      <c r="AV780" s="83"/>
      <c r="AW780" s="83"/>
      <c r="AX780" s="83"/>
      <c r="AY780" s="83"/>
      <c r="AZ780" s="83"/>
      <c r="BA780" s="83"/>
      <c r="BB780" s="83"/>
      <c r="BC780" s="83"/>
      <c r="BD780" s="83"/>
      <c r="BE780" s="83"/>
      <c r="BF780" s="83"/>
    </row>
    <row r="781" spans="1:58" s="14" customFormat="1" ht="14.15" customHeight="1">
      <c r="A781" s="404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  <c r="AA781" s="83"/>
      <c r="AB781" s="83"/>
      <c r="AC781" s="83"/>
      <c r="AD781" s="83"/>
      <c r="AE781" s="83"/>
      <c r="AF781" s="83"/>
      <c r="AG781" s="83"/>
      <c r="AH781" s="83"/>
      <c r="AI781" s="83"/>
      <c r="AJ781" s="83"/>
      <c r="AK781" s="83"/>
      <c r="AL781" s="83"/>
      <c r="AM781" s="83"/>
      <c r="AN781" s="83"/>
      <c r="AO781" s="83"/>
      <c r="AP781" s="83"/>
      <c r="AQ781" s="83"/>
      <c r="AR781" s="83"/>
      <c r="AS781" s="83"/>
      <c r="AT781" s="83"/>
      <c r="AU781" s="83"/>
      <c r="AV781" s="83"/>
      <c r="AW781" s="83"/>
      <c r="AX781" s="83"/>
      <c r="AY781" s="83"/>
      <c r="AZ781" s="83"/>
      <c r="BA781" s="83"/>
      <c r="BB781" s="83"/>
      <c r="BC781" s="83"/>
      <c r="BD781" s="83"/>
      <c r="BE781" s="83"/>
      <c r="BF781" s="83"/>
    </row>
    <row r="782" spans="1:58" s="14" customFormat="1" ht="14.15" customHeight="1">
      <c r="A782" s="404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  <c r="AA782" s="83"/>
      <c r="AB782" s="83"/>
      <c r="AC782" s="83"/>
      <c r="AD782" s="83"/>
      <c r="AE782" s="83"/>
      <c r="AF782" s="83"/>
      <c r="AG782" s="83"/>
      <c r="AH782" s="83"/>
      <c r="AI782" s="83"/>
      <c r="AJ782" s="83"/>
      <c r="AK782" s="83"/>
      <c r="AL782" s="83"/>
      <c r="AM782" s="83"/>
      <c r="AN782" s="83"/>
      <c r="AO782" s="83"/>
      <c r="AP782" s="83"/>
      <c r="AQ782" s="83"/>
      <c r="AR782" s="83"/>
      <c r="AS782" s="83"/>
      <c r="AT782" s="83"/>
      <c r="AU782" s="83"/>
      <c r="AV782" s="83"/>
      <c r="AW782" s="83"/>
      <c r="AX782" s="83"/>
      <c r="AY782" s="83"/>
      <c r="AZ782" s="83"/>
      <c r="BA782" s="83"/>
      <c r="BB782" s="83"/>
      <c r="BC782" s="83"/>
      <c r="BD782" s="83"/>
      <c r="BE782" s="83"/>
      <c r="BF782" s="83"/>
    </row>
    <row r="783" spans="1:58" s="14" customFormat="1" ht="14.15" customHeight="1">
      <c r="A783" s="404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  <c r="AA783" s="83"/>
      <c r="AB783" s="83"/>
      <c r="AC783" s="83"/>
      <c r="AD783" s="83"/>
      <c r="AE783" s="83"/>
      <c r="AF783" s="83"/>
      <c r="AG783" s="83"/>
      <c r="AH783" s="83"/>
      <c r="AI783" s="83"/>
      <c r="AJ783" s="83"/>
      <c r="AK783" s="83"/>
      <c r="AL783" s="83"/>
      <c r="AM783" s="83"/>
      <c r="AN783" s="83"/>
      <c r="AO783" s="83"/>
      <c r="AP783" s="83"/>
      <c r="AQ783" s="83"/>
      <c r="AR783" s="83"/>
      <c r="AS783" s="83"/>
      <c r="AT783" s="83"/>
      <c r="AU783" s="83"/>
      <c r="AV783" s="83"/>
      <c r="AW783" s="83"/>
      <c r="AX783" s="83"/>
      <c r="AY783" s="83"/>
      <c r="AZ783" s="83"/>
      <c r="BA783" s="83"/>
      <c r="BB783" s="83"/>
      <c r="BC783" s="83"/>
      <c r="BD783" s="83"/>
      <c r="BE783" s="83"/>
      <c r="BF783" s="83"/>
    </row>
    <row r="784" spans="1:58" s="14" customFormat="1" ht="14.15" customHeight="1">
      <c r="A784" s="404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  <c r="AA784" s="83"/>
      <c r="AB784" s="83"/>
      <c r="AC784" s="83"/>
      <c r="AD784" s="83"/>
      <c r="AE784" s="83"/>
      <c r="AF784" s="83"/>
      <c r="AG784" s="83"/>
      <c r="AH784" s="83"/>
      <c r="AI784" s="83"/>
      <c r="AJ784" s="83"/>
      <c r="AK784" s="83"/>
      <c r="AL784" s="83"/>
      <c r="AM784" s="83"/>
      <c r="AN784" s="83"/>
      <c r="AO784" s="83"/>
      <c r="AP784" s="83"/>
      <c r="AQ784" s="83"/>
      <c r="AR784" s="83"/>
      <c r="AS784" s="83"/>
      <c r="AT784" s="83"/>
      <c r="AU784" s="83"/>
      <c r="AV784" s="83"/>
      <c r="AW784" s="83"/>
      <c r="AX784" s="83"/>
      <c r="AY784" s="83"/>
      <c r="AZ784" s="83"/>
      <c r="BA784" s="83"/>
      <c r="BB784" s="83"/>
      <c r="BC784" s="83"/>
      <c r="BD784" s="83"/>
      <c r="BE784" s="83"/>
      <c r="BF784" s="83"/>
    </row>
    <row r="785" spans="1:58" s="14" customFormat="1" ht="14.15" customHeight="1">
      <c r="A785" s="404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  <c r="AA785" s="83"/>
      <c r="AB785" s="83"/>
      <c r="AC785" s="83"/>
      <c r="AD785" s="83"/>
      <c r="AE785" s="83"/>
      <c r="AF785" s="83"/>
      <c r="AG785" s="83"/>
      <c r="AH785" s="83"/>
      <c r="AI785" s="83"/>
      <c r="AJ785" s="83"/>
      <c r="AK785" s="83"/>
      <c r="AL785" s="83"/>
      <c r="AM785" s="83"/>
      <c r="AN785" s="83"/>
      <c r="AO785" s="83"/>
      <c r="AP785" s="83"/>
      <c r="AQ785" s="83"/>
      <c r="AR785" s="83"/>
      <c r="AS785" s="83"/>
      <c r="AT785" s="83"/>
      <c r="AU785" s="83"/>
      <c r="AV785" s="83"/>
      <c r="AW785" s="83"/>
      <c r="AX785" s="83"/>
      <c r="AY785" s="83"/>
      <c r="AZ785" s="83"/>
      <c r="BA785" s="83"/>
      <c r="BB785" s="83"/>
      <c r="BC785" s="83"/>
      <c r="BD785" s="83"/>
      <c r="BE785" s="83"/>
      <c r="BF785" s="83"/>
    </row>
    <row r="786" spans="1:58" s="14" customFormat="1" ht="14.15" customHeight="1">
      <c r="A786" s="404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  <c r="AA786" s="83"/>
      <c r="AB786" s="83"/>
      <c r="AC786" s="83"/>
      <c r="AD786" s="83"/>
      <c r="AE786" s="83"/>
      <c r="AF786" s="83"/>
      <c r="AG786" s="83"/>
      <c r="AH786" s="83"/>
      <c r="AI786" s="83"/>
      <c r="AJ786" s="83"/>
      <c r="AK786" s="83"/>
      <c r="AL786" s="83"/>
      <c r="AM786" s="83"/>
      <c r="AN786" s="83"/>
      <c r="AO786" s="83"/>
      <c r="AP786" s="83"/>
      <c r="AQ786" s="83"/>
      <c r="AR786" s="83"/>
      <c r="AS786" s="83"/>
      <c r="AT786" s="83"/>
      <c r="AU786" s="83"/>
      <c r="AV786" s="83"/>
      <c r="AW786" s="83"/>
      <c r="AX786" s="83"/>
      <c r="AY786" s="83"/>
      <c r="AZ786" s="83"/>
      <c r="BA786" s="83"/>
      <c r="BB786" s="83"/>
      <c r="BC786" s="83"/>
      <c r="BD786" s="83"/>
      <c r="BE786" s="83"/>
      <c r="BF786" s="83"/>
    </row>
    <row r="787" spans="1:58" s="14" customFormat="1" ht="14.15" customHeight="1">
      <c r="A787" s="404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  <c r="AA787" s="83"/>
      <c r="AB787" s="83"/>
      <c r="AC787" s="83"/>
      <c r="AD787" s="83"/>
      <c r="AE787" s="83"/>
      <c r="AF787" s="83"/>
      <c r="AG787" s="83"/>
      <c r="AH787" s="83"/>
      <c r="AI787" s="83"/>
      <c r="AJ787" s="83"/>
      <c r="AK787" s="83"/>
      <c r="AL787" s="83"/>
      <c r="AM787" s="83"/>
      <c r="AN787" s="83"/>
      <c r="AO787" s="83"/>
      <c r="AP787" s="83"/>
      <c r="AQ787" s="83"/>
      <c r="AR787" s="83"/>
      <c r="AS787" s="83"/>
      <c r="AT787" s="83"/>
      <c r="AU787" s="83"/>
      <c r="AV787" s="83"/>
      <c r="AW787" s="83"/>
      <c r="AX787" s="83"/>
      <c r="AY787" s="83"/>
      <c r="AZ787" s="83"/>
      <c r="BA787" s="83"/>
      <c r="BB787" s="83"/>
      <c r="BC787" s="83"/>
      <c r="BD787" s="83"/>
      <c r="BE787" s="83"/>
      <c r="BF787" s="83"/>
    </row>
    <row r="788" spans="1:58" s="14" customFormat="1" ht="14.15" customHeight="1">
      <c r="A788" s="404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  <c r="AA788" s="83"/>
      <c r="AB788" s="83"/>
      <c r="AC788" s="83"/>
      <c r="AD788" s="83"/>
      <c r="AE788" s="83"/>
      <c r="AF788" s="83"/>
      <c r="AG788" s="83"/>
      <c r="AH788" s="83"/>
      <c r="AI788" s="83"/>
      <c r="AJ788" s="83"/>
      <c r="AK788" s="83"/>
      <c r="AL788" s="83"/>
      <c r="AM788" s="83"/>
      <c r="AN788" s="83"/>
      <c r="AO788" s="83"/>
      <c r="AP788" s="83"/>
      <c r="AQ788" s="83"/>
      <c r="AR788" s="83"/>
      <c r="AS788" s="83"/>
      <c r="AT788" s="83"/>
      <c r="AU788" s="83"/>
      <c r="AV788" s="83"/>
      <c r="AW788" s="83"/>
      <c r="AX788" s="83"/>
      <c r="AY788" s="83"/>
      <c r="AZ788" s="83"/>
      <c r="BA788" s="83"/>
      <c r="BB788" s="83"/>
      <c r="BC788" s="83"/>
      <c r="BD788" s="83"/>
      <c r="BE788" s="83"/>
      <c r="BF788" s="83"/>
    </row>
    <row r="789" spans="1:58" s="14" customFormat="1" ht="14.15" customHeight="1">
      <c r="A789" s="404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  <c r="AA789" s="83"/>
      <c r="AB789" s="83"/>
      <c r="AC789" s="83"/>
      <c r="AD789" s="83"/>
      <c r="AE789" s="83"/>
      <c r="AF789" s="83"/>
      <c r="AG789" s="83"/>
      <c r="AH789" s="83"/>
      <c r="AI789" s="83"/>
      <c r="AJ789" s="83"/>
      <c r="AK789" s="83"/>
      <c r="AL789" s="83"/>
      <c r="AM789" s="83"/>
      <c r="AN789" s="83"/>
      <c r="AO789" s="83"/>
      <c r="AP789" s="83"/>
      <c r="AQ789" s="83"/>
      <c r="AR789" s="83"/>
      <c r="AS789" s="83"/>
      <c r="AT789" s="83"/>
      <c r="AU789" s="83"/>
      <c r="AV789" s="83"/>
      <c r="AW789" s="83"/>
      <c r="AX789" s="83"/>
      <c r="AY789" s="83"/>
      <c r="AZ789" s="83"/>
      <c r="BA789" s="83"/>
      <c r="BB789" s="83"/>
      <c r="BC789" s="83"/>
      <c r="BD789" s="83"/>
      <c r="BE789" s="83"/>
      <c r="BF789" s="83"/>
    </row>
    <row r="790" spans="1:58" s="14" customFormat="1" ht="14.15" customHeight="1">
      <c r="A790" s="404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  <c r="AA790" s="83"/>
      <c r="AB790" s="83"/>
      <c r="AC790" s="83"/>
      <c r="AD790" s="83"/>
      <c r="AE790" s="83"/>
      <c r="AF790" s="83"/>
      <c r="AG790" s="83"/>
      <c r="AH790" s="83"/>
      <c r="AI790" s="83"/>
      <c r="AJ790" s="83"/>
      <c r="AK790" s="83"/>
      <c r="AL790" s="83"/>
      <c r="AM790" s="83"/>
      <c r="AN790" s="83"/>
      <c r="AO790" s="83"/>
      <c r="AP790" s="83"/>
      <c r="AQ790" s="83"/>
      <c r="AR790" s="83"/>
      <c r="AS790" s="83"/>
      <c r="AT790" s="83"/>
      <c r="AU790" s="83"/>
      <c r="AV790" s="83"/>
      <c r="AW790" s="83"/>
      <c r="AX790" s="83"/>
      <c r="AY790" s="83"/>
      <c r="AZ790" s="83"/>
      <c r="BA790" s="83"/>
      <c r="BB790" s="83"/>
      <c r="BC790" s="83"/>
      <c r="BD790" s="83"/>
      <c r="BE790" s="83"/>
      <c r="BF790" s="83"/>
    </row>
    <row r="791" spans="1:58" s="14" customFormat="1" ht="14.15" customHeight="1">
      <c r="A791" s="404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  <c r="AA791" s="83"/>
      <c r="AB791" s="83"/>
      <c r="AC791" s="83"/>
      <c r="AD791" s="83"/>
      <c r="AE791" s="83"/>
      <c r="AF791" s="83"/>
      <c r="AG791" s="83"/>
      <c r="AH791" s="83"/>
      <c r="AI791" s="83"/>
      <c r="AJ791" s="83"/>
      <c r="AK791" s="83"/>
      <c r="AL791" s="83"/>
      <c r="AM791" s="83"/>
      <c r="AN791" s="83"/>
      <c r="AO791" s="83"/>
      <c r="AP791" s="83"/>
      <c r="AQ791" s="83"/>
      <c r="AR791" s="83"/>
      <c r="AS791" s="83"/>
      <c r="AT791" s="83"/>
      <c r="AU791" s="83"/>
      <c r="AV791" s="83"/>
      <c r="AW791" s="83"/>
      <c r="AX791" s="83"/>
      <c r="AY791" s="83"/>
      <c r="AZ791" s="83"/>
      <c r="BA791" s="83"/>
      <c r="BB791" s="83"/>
      <c r="BC791" s="83"/>
      <c r="BD791" s="83"/>
      <c r="BE791" s="83"/>
      <c r="BF791" s="83"/>
    </row>
    <row r="792" spans="1:58" s="14" customFormat="1" ht="14.15" customHeight="1">
      <c r="A792" s="404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  <c r="AA792" s="83"/>
      <c r="AB792" s="83"/>
      <c r="AC792" s="83"/>
      <c r="AD792" s="83"/>
      <c r="AE792" s="83"/>
      <c r="AF792" s="83"/>
      <c r="AG792" s="83"/>
      <c r="AH792" s="83"/>
      <c r="AI792" s="83"/>
      <c r="AJ792" s="83"/>
      <c r="AK792" s="83"/>
      <c r="AL792" s="83"/>
      <c r="AM792" s="83"/>
      <c r="AN792" s="83"/>
      <c r="AO792" s="83"/>
      <c r="AP792" s="83"/>
      <c r="AQ792" s="83"/>
      <c r="AR792" s="83"/>
      <c r="AS792" s="83"/>
      <c r="AT792" s="83"/>
      <c r="AU792" s="83"/>
      <c r="AV792" s="83"/>
      <c r="AW792" s="83"/>
      <c r="AX792" s="83"/>
      <c r="AY792" s="83"/>
      <c r="AZ792" s="83"/>
      <c r="BA792" s="83"/>
      <c r="BB792" s="83"/>
      <c r="BC792" s="83"/>
      <c r="BD792" s="83"/>
      <c r="BE792" s="83"/>
      <c r="BF792" s="83"/>
    </row>
    <row r="793" spans="1:58" s="14" customFormat="1" ht="14.15" customHeight="1">
      <c r="A793" s="404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  <c r="AA793" s="83"/>
      <c r="AB793" s="83"/>
      <c r="AC793" s="83"/>
      <c r="AD793" s="83"/>
      <c r="AE793" s="83"/>
      <c r="AF793" s="83"/>
      <c r="AG793" s="83"/>
      <c r="AH793" s="83"/>
      <c r="AI793" s="83"/>
      <c r="AJ793" s="83"/>
      <c r="AK793" s="83"/>
      <c r="AL793" s="83"/>
      <c r="AM793" s="83"/>
      <c r="AN793" s="83"/>
      <c r="AO793" s="83"/>
      <c r="AP793" s="83"/>
      <c r="AQ793" s="83"/>
      <c r="AR793" s="83"/>
      <c r="AS793" s="83"/>
      <c r="AT793" s="83"/>
      <c r="AU793" s="83"/>
      <c r="AV793" s="83"/>
      <c r="AW793" s="83"/>
      <c r="AX793" s="83"/>
      <c r="AY793" s="83"/>
      <c r="AZ793" s="83"/>
      <c r="BA793" s="83"/>
      <c r="BB793" s="83"/>
      <c r="BC793" s="83"/>
      <c r="BD793" s="83"/>
      <c r="BE793" s="83"/>
      <c r="BF793" s="83"/>
    </row>
    <row r="794" spans="1:58" s="14" customFormat="1" ht="14.15" customHeight="1">
      <c r="A794" s="404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  <c r="AA794" s="83"/>
      <c r="AB794" s="83"/>
      <c r="AC794" s="83"/>
      <c r="AD794" s="83"/>
      <c r="AE794" s="83"/>
      <c r="AF794" s="83"/>
      <c r="AG794" s="83"/>
      <c r="AH794" s="83"/>
      <c r="AI794" s="83"/>
      <c r="AJ794" s="83"/>
      <c r="AK794" s="83"/>
      <c r="AL794" s="83"/>
      <c r="AM794" s="83"/>
      <c r="AN794" s="83"/>
      <c r="AO794" s="83"/>
      <c r="AP794" s="83"/>
      <c r="AQ794" s="83"/>
      <c r="AR794" s="83"/>
      <c r="AS794" s="83"/>
      <c r="AT794" s="83"/>
      <c r="AU794" s="83"/>
      <c r="AV794" s="83"/>
      <c r="AW794" s="83"/>
      <c r="AX794" s="83"/>
      <c r="AY794" s="83"/>
      <c r="AZ794" s="83"/>
      <c r="BA794" s="83"/>
      <c r="BB794" s="83"/>
      <c r="BC794" s="83"/>
      <c r="BD794" s="83"/>
      <c r="BE794" s="83"/>
      <c r="BF794" s="83"/>
    </row>
    <row r="795" spans="1:58" s="14" customFormat="1" ht="14.15" customHeight="1">
      <c r="A795" s="404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  <c r="AA795" s="83"/>
      <c r="AB795" s="83"/>
      <c r="AC795" s="83"/>
      <c r="AD795" s="83"/>
      <c r="AE795" s="83"/>
      <c r="AF795" s="83"/>
      <c r="AG795" s="83"/>
      <c r="AH795" s="83"/>
      <c r="AI795" s="83"/>
      <c r="AJ795" s="83"/>
      <c r="AK795" s="83"/>
      <c r="AL795" s="83"/>
      <c r="AM795" s="83"/>
      <c r="AN795" s="83"/>
      <c r="AO795" s="83"/>
      <c r="AP795" s="83"/>
      <c r="AQ795" s="83"/>
      <c r="AR795" s="83"/>
      <c r="AS795" s="83"/>
      <c r="AT795" s="83"/>
      <c r="AU795" s="83"/>
      <c r="AV795" s="83"/>
      <c r="AW795" s="83"/>
      <c r="AX795" s="83"/>
      <c r="AY795" s="83"/>
      <c r="AZ795" s="83"/>
      <c r="BA795" s="83"/>
      <c r="BB795" s="83"/>
      <c r="BC795" s="83"/>
      <c r="BD795" s="83"/>
      <c r="BE795" s="83"/>
      <c r="BF795" s="83"/>
    </row>
    <row r="796" spans="1:58" s="14" customFormat="1" ht="14.15" customHeight="1">
      <c r="A796" s="404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  <c r="AA796" s="83"/>
      <c r="AB796" s="83"/>
      <c r="AC796" s="83"/>
      <c r="AD796" s="83"/>
      <c r="AE796" s="83"/>
      <c r="AF796" s="83"/>
      <c r="AG796" s="83"/>
      <c r="AH796" s="83"/>
      <c r="AI796" s="83"/>
      <c r="AJ796" s="83"/>
      <c r="AK796" s="83"/>
      <c r="AL796" s="83"/>
      <c r="AM796" s="83"/>
      <c r="AN796" s="83"/>
      <c r="AO796" s="83"/>
      <c r="AP796" s="83"/>
      <c r="AQ796" s="83"/>
      <c r="AR796" s="83"/>
      <c r="AS796" s="83"/>
      <c r="AT796" s="83"/>
      <c r="AU796" s="83"/>
      <c r="AV796" s="83"/>
      <c r="AW796" s="83"/>
      <c r="AX796" s="83"/>
      <c r="AY796" s="83"/>
      <c r="AZ796" s="83"/>
      <c r="BA796" s="83"/>
      <c r="BB796" s="83"/>
      <c r="BC796" s="83"/>
      <c r="BD796" s="83"/>
      <c r="BE796" s="83"/>
      <c r="BF796" s="83"/>
    </row>
    <row r="797" spans="1:58" s="14" customFormat="1" ht="14.15" customHeight="1">
      <c r="A797" s="404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  <c r="AA797" s="83"/>
      <c r="AB797" s="83"/>
      <c r="AC797" s="83"/>
      <c r="AD797" s="83"/>
      <c r="AE797" s="83"/>
      <c r="AF797" s="83"/>
      <c r="AG797" s="83"/>
      <c r="AH797" s="83"/>
      <c r="AI797" s="83"/>
      <c r="AJ797" s="83"/>
      <c r="AK797" s="83"/>
      <c r="AL797" s="83"/>
      <c r="AM797" s="83"/>
      <c r="AN797" s="83"/>
      <c r="AO797" s="83"/>
      <c r="AP797" s="83"/>
      <c r="AQ797" s="83"/>
      <c r="AR797" s="83"/>
      <c r="AS797" s="83"/>
      <c r="AT797" s="83"/>
      <c r="AU797" s="83"/>
      <c r="AV797" s="83"/>
      <c r="AW797" s="83"/>
      <c r="AX797" s="83"/>
      <c r="AY797" s="83"/>
      <c r="AZ797" s="83"/>
      <c r="BA797" s="83"/>
      <c r="BB797" s="83"/>
      <c r="BC797" s="83"/>
      <c r="BD797" s="83"/>
      <c r="BE797" s="83"/>
      <c r="BF797" s="83"/>
    </row>
    <row r="798" spans="1:58" s="14" customFormat="1" ht="14.15" customHeight="1">
      <c r="A798" s="404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  <c r="AA798" s="83"/>
      <c r="AB798" s="83"/>
      <c r="AC798" s="83"/>
      <c r="AD798" s="83"/>
      <c r="AE798" s="83"/>
      <c r="AF798" s="83"/>
      <c r="AG798" s="83"/>
      <c r="AH798" s="83"/>
      <c r="AI798" s="83"/>
      <c r="AJ798" s="83"/>
      <c r="AK798" s="83"/>
      <c r="AL798" s="83"/>
      <c r="AM798" s="83"/>
      <c r="AN798" s="83"/>
      <c r="AO798" s="83"/>
      <c r="AP798" s="83"/>
      <c r="AQ798" s="83"/>
      <c r="AR798" s="83"/>
      <c r="AS798" s="83"/>
      <c r="AT798" s="83"/>
      <c r="AU798" s="83"/>
      <c r="AV798" s="83"/>
      <c r="AW798" s="83"/>
      <c r="AX798" s="83"/>
      <c r="AY798" s="83"/>
      <c r="AZ798" s="83"/>
      <c r="BA798" s="83"/>
      <c r="BB798" s="83"/>
      <c r="BC798" s="83"/>
      <c r="BD798" s="83"/>
      <c r="BE798" s="83"/>
      <c r="BF798" s="83"/>
    </row>
    <row r="799" spans="1:58" s="14" customFormat="1" ht="14.15" customHeight="1">
      <c r="A799" s="404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  <c r="AA799" s="83"/>
      <c r="AB799" s="83"/>
      <c r="AC799" s="83"/>
      <c r="AD799" s="83"/>
      <c r="AE799" s="83"/>
      <c r="AF799" s="83"/>
      <c r="AG799" s="83"/>
      <c r="AH799" s="83"/>
      <c r="AI799" s="83"/>
      <c r="AJ799" s="83"/>
      <c r="AK799" s="83"/>
      <c r="AL799" s="83"/>
      <c r="AM799" s="83"/>
      <c r="AN799" s="83"/>
      <c r="AO799" s="83"/>
      <c r="AP799" s="83"/>
      <c r="AQ799" s="83"/>
      <c r="AR799" s="83"/>
      <c r="AS799" s="83"/>
      <c r="AT799" s="83"/>
      <c r="AU799" s="83"/>
      <c r="AV799" s="83"/>
      <c r="AW799" s="83"/>
      <c r="AX799" s="83"/>
      <c r="AY799" s="83"/>
      <c r="AZ799" s="83"/>
      <c r="BA799" s="83"/>
      <c r="BB799" s="83"/>
      <c r="BC799" s="83"/>
      <c r="BD799" s="83"/>
      <c r="BE799" s="83"/>
      <c r="BF799" s="83"/>
    </row>
    <row r="800" spans="1:58" s="14" customFormat="1" ht="14.15" customHeight="1">
      <c r="A800" s="404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  <c r="AA800" s="83"/>
      <c r="AB800" s="83"/>
      <c r="AC800" s="83"/>
      <c r="AD800" s="83"/>
      <c r="AE800" s="83"/>
      <c r="AF800" s="83"/>
      <c r="AG800" s="83"/>
      <c r="AH800" s="83"/>
      <c r="AI800" s="83"/>
      <c r="AJ800" s="83"/>
      <c r="AK800" s="83"/>
      <c r="AL800" s="83"/>
      <c r="AM800" s="83"/>
      <c r="AN800" s="83"/>
      <c r="AO800" s="83"/>
      <c r="AP800" s="83"/>
      <c r="AQ800" s="83"/>
      <c r="AR800" s="83"/>
      <c r="AS800" s="83"/>
      <c r="AT800" s="83"/>
      <c r="AU800" s="83"/>
      <c r="AV800" s="83"/>
      <c r="AW800" s="83"/>
      <c r="AX800" s="83"/>
      <c r="AY800" s="83"/>
      <c r="AZ800" s="83"/>
      <c r="BA800" s="83"/>
      <c r="BB800" s="83"/>
      <c r="BC800" s="83"/>
      <c r="BD800" s="83"/>
      <c r="BE800" s="83"/>
      <c r="BF800" s="83"/>
    </row>
    <row r="801" spans="1:58" s="14" customFormat="1" ht="14.15" customHeight="1">
      <c r="A801" s="404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  <c r="AA801" s="83"/>
      <c r="AB801" s="83"/>
      <c r="AC801" s="83"/>
      <c r="AD801" s="83"/>
      <c r="AE801" s="83"/>
      <c r="AF801" s="83"/>
      <c r="AG801" s="83"/>
      <c r="AH801" s="83"/>
      <c r="AI801" s="83"/>
      <c r="AJ801" s="83"/>
      <c r="AK801" s="83"/>
      <c r="AL801" s="83"/>
      <c r="AM801" s="83"/>
      <c r="AN801" s="83"/>
      <c r="AO801" s="83"/>
      <c r="AP801" s="83"/>
      <c r="AQ801" s="83"/>
      <c r="AR801" s="83"/>
      <c r="AS801" s="83"/>
      <c r="AT801" s="83"/>
      <c r="AU801" s="83"/>
      <c r="AV801" s="83"/>
      <c r="AW801" s="83"/>
      <c r="AX801" s="83"/>
      <c r="AY801" s="83"/>
      <c r="AZ801" s="83"/>
      <c r="BA801" s="83"/>
      <c r="BB801" s="83"/>
      <c r="BC801" s="83"/>
      <c r="BD801" s="83"/>
      <c r="BE801" s="83"/>
      <c r="BF801" s="83"/>
    </row>
    <row r="802" spans="1:58" s="14" customFormat="1" ht="14.15" customHeight="1">
      <c r="A802" s="404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  <c r="AA802" s="83"/>
      <c r="AB802" s="83"/>
      <c r="AC802" s="83"/>
      <c r="AD802" s="83"/>
      <c r="AE802" s="83"/>
      <c r="AF802" s="83"/>
      <c r="AG802" s="83"/>
      <c r="AH802" s="83"/>
      <c r="AI802" s="83"/>
      <c r="AJ802" s="83"/>
      <c r="AK802" s="83"/>
      <c r="AL802" s="83"/>
      <c r="AM802" s="83"/>
      <c r="AN802" s="83"/>
      <c r="AO802" s="83"/>
      <c r="AP802" s="83"/>
      <c r="AQ802" s="83"/>
      <c r="AR802" s="83"/>
      <c r="AS802" s="83"/>
      <c r="AT802" s="83"/>
      <c r="AU802" s="83"/>
      <c r="AV802" s="83"/>
      <c r="AW802" s="83"/>
      <c r="AX802" s="83"/>
      <c r="AY802" s="83"/>
      <c r="AZ802" s="83"/>
      <c r="BA802" s="83"/>
      <c r="BB802" s="83"/>
      <c r="BC802" s="83"/>
      <c r="BD802" s="83"/>
      <c r="BE802" s="83"/>
      <c r="BF802" s="83"/>
    </row>
    <row r="803" spans="1:58" s="14" customFormat="1" ht="14.15" customHeight="1">
      <c r="A803" s="404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  <c r="AA803" s="83"/>
      <c r="AB803" s="83"/>
      <c r="AC803" s="83"/>
      <c r="AD803" s="83"/>
      <c r="AE803" s="83"/>
      <c r="AF803" s="83"/>
      <c r="AG803" s="83"/>
      <c r="AH803" s="83"/>
      <c r="AI803" s="83"/>
      <c r="AJ803" s="83"/>
      <c r="AK803" s="83"/>
      <c r="AL803" s="83"/>
      <c r="AM803" s="83"/>
      <c r="AN803" s="83"/>
      <c r="AO803" s="83"/>
      <c r="AP803" s="83"/>
      <c r="AQ803" s="83"/>
      <c r="AR803" s="83"/>
      <c r="AS803" s="83"/>
      <c r="AT803" s="83"/>
      <c r="AU803" s="83"/>
      <c r="AV803" s="83"/>
      <c r="AW803" s="83"/>
      <c r="AX803" s="83"/>
      <c r="AY803" s="83"/>
      <c r="AZ803" s="83"/>
      <c r="BA803" s="83"/>
      <c r="BB803" s="83"/>
      <c r="BC803" s="83"/>
      <c r="BD803" s="83"/>
      <c r="BE803" s="83"/>
      <c r="BF803" s="83"/>
    </row>
    <row r="804" spans="1:58" s="14" customFormat="1" ht="14.15" customHeight="1">
      <c r="A804" s="404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  <c r="AA804" s="83"/>
      <c r="AB804" s="83"/>
      <c r="AC804" s="83"/>
      <c r="AD804" s="83"/>
      <c r="AE804" s="83"/>
      <c r="AF804" s="83"/>
      <c r="AG804" s="83"/>
      <c r="AH804" s="83"/>
      <c r="AI804" s="83"/>
      <c r="AJ804" s="83"/>
      <c r="AK804" s="83"/>
      <c r="AL804" s="83"/>
      <c r="AM804" s="83"/>
      <c r="AN804" s="83"/>
      <c r="AO804" s="83"/>
      <c r="AP804" s="83"/>
      <c r="AQ804" s="83"/>
      <c r="AR804" s="83"/>
      <c r="AS804" s="83"/>
      <c r="AT804" s="83"/>
      <c r="AU804" s="83"/>
      <c r="AV804" s="83"/>
      <c r="AW804" s="83"/>
      <c r="AX804" s="83"/>
      <c r="AY804" s="83"/>
      <c r="AZ804" s="83"/>
      <c r="BA804" s="83"/>
      <c r="BB804" s="83"/>
      <c r="BC804" s="83"/>
      <c r="BD804" s="83"/>
      <c r="BE804" s="83"/>
      <c r="BF804" s="83"/>
    </row>
    <row r="805" spans="1:58" s="14" customFormat="1" ht="14.15" customHeight="1">
      <c r="A805" s="404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  <c r="AA805" s="83"/>
      <c r="AB805" s="83"/>
      <c r="AC805" s="83"/>
      <c r="AD805" s="83"/>
      <c r="AE805" s="83"/>
      <c r="AF805" s="83"/>
      <c r="AG805" s="83"/>
      <c r="AH805" s="83"/>
      <c r="AI805" s="83"/>
      <c r="AJ805" s="83"/>
      <c r="AK805" s="83"/>
      <c r="AL805" s="83"/>
      <c r="AM805" s="83"/>
      <c r="AN805" s="83"/>
      <c r="AO805" s="83"/>
      <c r="AP805" s="83"/>
      <c r="AQ805" s="83"/>
      <c r="AR805" s="83"/>
      <c r="AS805" s="83"/>
      <c r="AT805" s="83"/>
      <c r="AU805" s="83"/>
      <c r="AV805" s="83"/>
      <c r="AW805" s="83"/>
      <c r="AX805" s="83"/>
      <c r="AY805" s="83"/>
      <c r="AZ805" s="83"/>
      <c r="BA805" s="83"/>
      <c r="BB805" s="83"/>
      <c r="BC805" s="83"/>
      <c r="BD805" s="83"/>
      <c r="BE805" s="83"/>
      <c r="BF805" s="83"/>
    </row>
    <row r="806" spans="1:58" s="14" customFormat="1" ht="14.15" customHeight="1">
      <c r="A806" s="404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  <c r="AA806" s="83"/>
      <c r="AB806" s="83"/>
      <c r="AC806" s="83"/>
      <c r="AD806" s="83"/>
      <c r="AE806" s="83"/>
      <c r="AF806" s="83"/>
      <c r="AG806" s="83"/>
      <c r="AH806" s="83"/>
      <c r="AI806" s="83"/>
      <c r="AJ806" s="83"/>
      <c r="AK806" s="83"/>
      <c r="AL806" s="83"/>
      <c r="AM806" s="83"/>
      <c r="AN806" s="83"/>
      <c r="AO806" s="83"/>
      <c r="AP806" s="83"/>
      <c r="AQ806" s="83"/>
      <c r="AR806" s="83"/>
      <c r="AS806" s="83"/>
      <c r="AT806" s="83"/>
      <c r="AU806" s="83"/>
      <c r="AV806" s="83"/>
      <c r="AW806" s="83"/>
      <c r="AX806" s="83"/>
      <c r="AY806" s="83"/>
      <c r="AZ806" s="83"/>
      <c r="BA806" s="83"/>
      <c r="BB806" s="83"/>
      <c r="BC806" s="83"/>
      <c r="BD806" s="83"/>
      <c r="BE806" s="83"/>
      <c r="BF806" s="83"/>
    </row>
    <row r="807" spans="1:58" s="14" customFormat="1" ht="14.15" customHeight="1">
      <c r="A807" s="404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  <c r="AA807" s="83"/>
      <c r="AB807" s="83"/>
      <c r="AC807" s="83"/>
      <c r="AD807" s="83"/>
      <c r="AE807" s="83"/>
      <c r="AF807" s="83"/>
      <c r="AG807" s="83"/>
      <c r="AH807" s="83"/>
      <c r="AI807" s="83"/>
      <c r="AJ807" s="83"/>
      <c r="AK807" s="83"/>
      <c r="AL807" s="83"/>
      <c r="AM807" s="83"/>
      <c r="AN807" s="83"/>
      <c r="AO807" s="83"/>
      <c r="AP807" s="83"/>
      <c r="AQ807" s="83"/>
      <c r="AR807" s="83"/>
      <c r="AS807" s="83"/>
      <c r="AT807" s="83"/>
      <c r="AU807" s="83"/>
      <c r="AV807" s="83"/>
      <c r="AW807" s="83"/>
      <c r="AX807" s="83"/>
      <c r="AY807" s="83"/>
      <c r="AZ807" s="83"/>
      <c r="BA807" s="83"/>
      <c r="BB807" s="83"/>
      <c r="BC807" s="83"/>
      <c r="BD807" s="83"/>
      <c r="BE807" s="83"/>
      <c r="BF807" s="83"/>
    </row>
    <row r="808" spans="1:58" s="14" customFormat="1" ht="14.15" customHeight="1">
      <c r="A808" s="404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  <c r="AA808" s="83"/>
      <c r="AB808" s="83"/>
      <c r="AC808" s="83"/>
      <c r="AD808" s="83"/>
      <c r="AE808" s="83"/>
      <c r="AF808" s="83"/>
      <c r="AG808" s="83"/>
      <c r="AH808" s="83"/>
      <c r="AI808" s="83"/>
      <c r="AJ808" s="83"/>
      <c r="AK808" s="83"/>
      <c r="AL808" s="83"/>
      <c r="AM808" s="83"/>
      <c r="AN808" s="83"/>
      <c r="AO808" s="83"/>
      <c r="AP808" s="83"/>
      <c r="AQ808" s="83"/>
      <c r="AR808" s="83"/>
      <c r="AS808" s="83"/>
      <c r="AT808" s="83"/>
      <c r="AU808" s="83"/>
      <c r="AV808" s="83"/>
      <c r="AW808" s="83"/>
      <c r="AX808" s="83"/>
      <c r="AY808" s="83"/>
      <c r="AZ808" s="83"/>
      <c r="BA808" s="83"/>
      <c r="BB808" s="83"/>
      <c r="BC808" s="83"/>
      <c r="BD808" s="83"/>
      <c r="BE808" s="83"/>
      <c r="BF808" s="83"/>
    </row>
    <row r="809" spans="1:58" s="14" customFormat="1" ht="14.15" customHeight="1">
      <c r="A809" s="404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  <c r="AA809" s="83"/>
      <c r="AB809" s="83"/>
      <c r="AC809" s="83"/>
      <c r="AD809" s="83"/>
      <c r="AE809" s="83"/>
      <c r="AF809" s="83"/>
      <c r="AG809" s="83"/>
      <c r="AH809" s="83"/>
      <c r="AI809" s="83"/>
      <c r="AJ809" s="83"/>
      <c r="AK809" s="83"/>
      <c r="AL809" s="83"/>
      <c r="AM809" s="83"/>
      <c r="AN809" s="83"/>
      <c r="AO809" s="83"/>
      <c r="AP809" s="83"/>
      <c r="AQ809" s="83"/>
      <c r="AR809" s="83"/>
      <c r="AS809" s="83"/>
      <c r="AT809" s="83"/>
      <c r="AU809" s="83"/>
      <c r="AV809" s="83"/>
      <c r="AW809" s="83"/>
      <c r="AX809" s="83"/>
      <c r="AY809" s="83"/>
      <c r="AZ809" s="83"/>
      <c r="BA809" s="83"/>
      <c r="BB809" s="83"/>
      <c r="BC809" s="83"/>
      <c r="BD809" s="83"/>
      <c r="BE809" s="83"/>
      <c r="BF809" s="83"/>
    </row>
    <row r="810" spans="1:58" s="14" customFormat="1" ht="14.15" customHeight="1">
      <c r="A810" s="404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  <c r="AA810" s="83"/>
      <c r="AB810" s="83"/>
      <c r="AC810" s="83"/>
      <c r="AD810" s="83"/>
      <c r="AE810" s="83"/>
      <c r="AF810" s="83"/>
      <c r="AG810" s="83"/>
      <c r="AH810" s="83"/>
      <c r="AI810" s="83"/>
      <c r="AJ810" s="83"/>
      <c r="AK810" s="83"/>
      <c r="AL810" s="83"/>
      <c r="AM810" s="83"/>
      <c r="AN810" s="83"/>
      <c r="AO810" s="83"/>
      <c r="AP810" s="83"/>
      <c r="AQ810" s="83"/>
      <c r="AR810" s="83"/>
      <c r="AS810" s="83"/>
      <c r="AT810" s="83"/>
      <c r="AU810" s="83"/>
      <c r="AV810" s="83"/>
      <c r="AW810" s="83"/>
      <c r="AX810" s="83"/>
      <c r="AY810" s="83"/>
      <c r="AZ810" s="83"/>
      <c r="BA810" s="83"/>
      <c r="BB810" s="83"/>
      <c r="BC810" s="83"/>
      <c r="BD810" s="83"/>
      <c r="BE810" s="83"/>
      <c r="BF810" s="83"/>
    </row>
    <row r="811" spans="1:58" s="14" customFormat="1" ht="14.15" customHeight="1">
      <c r="A811" s="404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  <c r="AA811" s="83"/>
      <c r="AB811" s="83"/>
      <c r="AC811" s="83"/>
      <c r="AD811" s="83"/>
      <c r="AE811" s="83"/>
      <c r="AF811" s="83"/>
      <c r="AG811" s="83"/>
      <c r="AH811" s="83"/>
      <c r="AI811" s="83"/>
      <c r="AJ811" s="83"/>
      <c r="AK811" s="83"/>
      <c r="AL811" s="83"/>
      <c r="AM811" s="83"/>
      <c r="AN811" s="83"/>
      <c r="AO811" s="83"/>
      <c r="AP811" s="83"/>
      <c r="AQ811" s="83"/>
      <c r="AR811" s="83"/>
      <c r="AS811" s="83"/>
      <c r="AT811" s="83"/>
      <c r="AU811" s="83"/>
      <c r="AV811" s="83"/>
      <c r="AW811" s="83"/>
      <c r="AX811" s="83"/>
      <c r="AY811" s="83"/>
      <c r="AZ811" s="83"/>
      <c r="BA811" s="83"/>
      <c r="BB811" s="83"/>
      <c r="BC811" s="83"/>
      <c r="BD811" s="83"/>
      <c r="BE811" s="83"/>
      <c r="BF811" s="83"/>
    </row>
    <row r="812" spans="1:58" s="14" customFormat="1" ht="14.15" customHeight="1">
      <c r="A812" s="404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  <c r="AA812" s="83"/>
      <c r="AB812" s="83"/>
      <c r="AC812" s="83"/>
      <c r="AD812" s="83"/>
      <c r="AE812" s="83"/>
      <c r="AF812" s="83"/>
      <c r="AG812" s="83"/>
      <c r="AH812" s="83"/>
      <c r="AI812" s="83"/>
      <c r="AJ812" s="83"/>
      <c r="AK812" s="83"/>
      <c r="AL812" s="83"/>
      <c r="AM812" s="83"/>
      <c r="AN812" s="83"/>
      <c r="AO812" s="83"/>
      <c r="AP812" s="83"/>
      <c r="AQ812" s="83"/>
      <c r="AR812" s="83"/>
      <c r="AS812" s="83"/>
      <c r="AT812" s="83"/>
      <c r="AU812" s="83"/>
      <c r="AV812" s="83"/>
      <c r="AW812" s="83"/>
      <c r="AX812" s="83"/>
      <c r="AY812" s="83"/>
      <c r="AZ812" s="83"/>
      <c r="BA812" s="83"/>
      <c r="BB812" s="83"/>
      <c r="BC812" s="83"/>
      <c r="BD812" s="83"/>
      <c r="BE812" s="83"/>
      <c r="BF812" s="83"/>
    </row>
    <row r="813" spans="1:58" s="14" customFormat="1" ht="14.15" customHeight="1">
      <c r="A813" s="404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  <c r="AA813" s="83"/>
      <c r="AB813" s="83"/>
      <c r="AC813" s="83"/>
      <c r="AD813" s="83"/>
      <c r="AE813" s="83"/>
      <c r="AF813" s="83"/>
      <c r="AG813" s="83"/>
      <c r="AH813" s="83"/>
      <c r="AI813" s="83"/>
      <c r="AJ813" s="83"/>
      <c r="AK813" s="83"/>
      <c r="AL813" s="83"/>
      <c r="AM813" s="83"/>
      <c r="AN813" s="83"/>
      <c r="AO813" s="83"/>
      <c r="AP813" s="83"/>
      <c r="AQ813" s="83"/>
      <c r="AR813" s="83"/>
      <c r="AS813" s="83"/>
      <c r="AT813" s="83"/>
      <c r="AU813" s="83"/>
      <c r="AV813" s="83"/>
      <c r="AW813" s="83"/>
      <c r="AX813" s="83"/>
      <c r="AY813" s="83"/>
      <c r="AZ813" s="83"/>
      <c r="BA813" s="83"/>
      <c r="BB813" s="83"/>
      <c r="BC813" s="83"/>
      <c r="BD813" s="83"/>
      <c r="BE813" s="83"/>
      <c r="BF813" s="83"/>
    </row>
    <row r="814" spans="1:58" s="14" customFormat="1" ht="14.15" customHeight="1">
      <c r="A814" s="404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  <c r="AA814" s="83"/>
      <c r="AB814" s="83"/>
      <c r="AC814" s="83"/>
      <c r="AD814" s="83"/>
      <c r="AE814" s="83"/>
      <c r="AF814" s="83"/>
      <c r="AG814" s="83"/>
      <c r="AH814" s="83"/>
      <c r="AI814" s="83"/>
      <c r="AJ814" s="83"/>
      <c r="AK814" s="83"/>
      <c r="AL814" s="83"/>
      <c r="AM814" s="83"/>
      <c r="AN814" s="83"/>
      <c r="AO814" s="83"/>
      <c r="AP814" s="83"/>
      <c r="AQ814" s="83"/>
      <c r="AR814" s="83"/>
      <c r="AS814" s="83"/>
      <c r="AT814" s="83"/>
      <c r="AU814" s="83"/>
      <c r="AV814" s="83"/>
      <c r="AW814" s="83"/>
      <c r="AX814" s="83"/>
      <c r="AY814" s="83"/>
      <c r="AZ814" s="83"/>
      <c r="BA814" s="83"/>
      <c r="BB814" s="83"/>
      <c r="BC814" s="83"/>
      <c r="BD814" s="83"/>
      <c r="BE814" s="83"/>
      <c r="BF814" s="83"/>
    </row>
    <row r="815" spans="1:58" s="14" customFormat="1" ht="14.15" customHeight="1">
      <c r="A815" s="404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  <c r="AA815" s="83"/>
      <c r="AB815" s="83"/>
      <c r="AC815" s="83"/>
      <c r="AD815" s="83"/>
      <c r="AE815" s="83"/>
      <c r="AF815" s="83"/>
      <c r="AG815" s="83"/>
      <c r="AH815" s="83"/>
      <c r="AI815" s="83"/>
      <c r="AJ815" s="83"/>
      <c r="AK815" s="83"/>
      <c r="AL815" s="83"/>
      <c r="AM815" s="83"/>
      <c r="AN815" s="83"/>
      <c r="AO815" s="83"/>
      <c r="AP815" s="83"/>
      <c r="AQ815" s="83"/>
      <c r="AR815" s="83"/>
      <c r="AS815" s="83"/>
      <c r="AT815" s="83"/>
      <c r="AU815" s="83"/>
      <c r="AV815" s="83"/>
      <c r="AW815" s="83"/>
      <c r="AX815" s="83"/>
      <c r="AY815" s="83"/>
      <c r="AZ815" s="83"/>
      <c r="BA815" s="83"/>
      <c r="BB815" s="83"/>
      <c r="BC815" s="83"/>
      <c r="BD815" s="83"/>
      <c r="BE815" s="83"/>
      <c r="BF815" s="83"/>
    </row>
    <row r="816" spans="1:58" s="14" customFormat="1" ht="14.15" customHeight="1">
      <c r="A816" s="404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  <c r="AA816" s="83"/>
      <c r="AB816" s="83"/>
      <c r="AC816" s="83"/>
      <c r="AD816" s="83"/>
      <c r="AE816" s="83"/>
      <c r="AF816" s="83"/>
      <c r="AG816" s="83"/>
      <c r="AH816" s="83"/>
      <c r="AI816" s="83"/>
      <c r="AJ816" s="83"/>
      <c r="AK816" s="83"/>
      <c r="AL816" s="83"/>
      <c r="AM816" s="83"/>
      <c r="AN816" s="83"/>
      <c r="AO816" s="83"/>
      <c r="AP816" s="83"/>
      <c r="AQ816" s="83"/>
      <c r="AR816" s="83"/>
      <c r="AS816" s="83"/>
      <c r="AT816" s="83"/>
      <c r="AU816" s="83"/>
      <c r="AV816" s="83"/>
      <c r="AW816" s="83"/>
      <c r="AX816" s="83"/>
      <c r="AY816" s="83"/>
      <c r="AZ816" s="83"/>
      <c r="BA816" s="83"/>
      <c r="BB816" s="83"/>
      <c r="BC816" s="83"/>
      <c r="BD816" s="83"/>
      <c r="BE816" s="83"/>
      <c r="BF816" s="83"/>
    </row>
    <row r="817" spans="1:58" s="14" customFormat="1" ht="14.15" customHeight="1">
      <c r="A817" s="404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  <c r="AA817" s="83"/>
      <c r="AB817" s="83"/>
      <c r="AC817" s="83"/>
      <c r="AD817" s="83"/>
      <c r="AE817" s="83"/>
      <c r="AF817" s="83"/>
      <c r="AG817" s="83"/>
      <c r="AH817" s="83"/>
      <c r="AI817" s="83"/>
      <c r="AJ817" s="83"/>
      <c r="AK817" s="83"/>
      <c r="AL817" s="83"/>
      <c r="AM817" s="83"/>
      <c r="AN817" s="83"/>
      <c r="AO817" s="83"/>
      <c r="AP817" s="83"/>
      <c r="AQ817" s="83"/>
      <c r="AR817" s="83"/>
      <c r="AS817" s="83"/>
      <c r="AT817" s="83"/>
      <c r="AU817" s="83"/>
      <c r="AV817" s="83"/>
      <c r="AW817" s="83"/>
      <c r="AX817" s="83"/>
      <c r="AY817" s="83"/>
      <c r="AZ817" s="83"/>
      <c r="BA817" s="83"/>
      <c r="BB817" s="83"/>
      <c r="BC817" s="83"/>
      <c r="BD817" s="83"/>
      <c r="BE817" s="83"/>
      <c r="BF817" s="83"/>
    </row>
    <row r="818" spans="1:58" s="14" customFormat="1" ht="14.15" customHeight="1">
      <c r="A818" s="404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  <c r="AA818" s="83"/>
      <c r="AB818" s="83"/>
      <c r="AC818" s="83"/>
      <c r="AD818" s="83"/>
      <c r="AE818" s="83"/>
      <c r="AF818" s="83"/>
      <c r="AG818" s="83"/>
      <c r="AH818" s="83"/>
      <c r="AI818" s="83"/>
      <c r="AJ818" s="83"/>
      <c r="AK818" s="83"/>
      <c r="AL818" s="83"/>
      <c r="AM818" s="83"/>
      <c r="AN818" s="83"/>
      <c r="AO818" s="83"/>
      <c r="AP818" s="83"/>
      <c r="AQ818" s="83"/>
      <c r="AR818" s="83"/>
      <c r="AS818" s="83"/>
      <c r="AT818" s="83"/>
      <c r="AU818" s="83"/>
      <c r="AV818" s="83"/>
      <c r="AW818" s="83"/>
      <c r="AX818" s="83"/>
      <c r="AY818" s="83"/>
      <c r="AZ818" s="83"/>
      <c r="BA818" s="83"/>
      <c r="BB818" s="83"/>
      <c r="BC818" s="83"/>
      <c r="BD818" s="83"/>
      <c r="BE818" s="83"/>
      <c r="BF818" s="83"/>
    </row>
    <row r="819" spans="1:58" s="14" customFormat="1" ht="14.15" customHeight="1">
      <c r="A819" s="404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  <c r="AA819" s="83"/>
      <c r="AB819" s="83"/>
      <c r="AC819" s="83"/>
      <c r="AD819" s="83"/>
      <c r="AE819" s="83"/>
      <c r="AF819" s="83"/>
      <c r="AG819" s="83"/>
      <c r="AH819" s="83"/>
      <c r="AI819" s="83"/>
      <c r="AJ819" s="83"/>
      <c r="AK819" s="83"/>
      <c r="AL819" s="83"/>
      <c r="AM819" s="83"/>
      <c r="AN819" s="83"/>
      <c r="AO819" s="83"/>
      <c r="AP819" s="83"/>
      <c r="AQ819" s="83"/>
      <c r="AR819" s="83"/>
      <c r="AS819" s="83"/>
      <c r="AT819" s="83"/>
      <c r="AU819" s="83"/>
      <c r="AV819" s="83"/>
      <c r="AW819" s="83"/>
      <c r="AX819" s="83"/>
      <c r="AY819" s="83"/>
      <c r="AZ819" s="83"/>
      <c r="BA819" s="83"/>
      <c r="BB819" s="83"/>
      <c r="BC819" s="83"/>
      <c r="BD819" s="83"/>
      <c r="BE819" s="83"/>
      <c r="BF819" s="83"/>
    </row>
    <row r="820" spans="1:58" s="14" customFormat="1" ht="14.15" customHeight="1">
      <c r="A820" s="404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  <c r="AA820" s="83"/>
      <c r="AB820" s="83"/>
      <c r="AC820" s="83"/>
      <c r="AD820" s="83"/>
      <c r="AE820" s="83"/>
      <c r="AF820" s="83"/>
      <c r="AG820" s="83"/>
      <c r="AH820" s="83"/>
      <c r="AI820" s="83"/>
      <c r="AJ820" s="83"/>
      <c r="AK820" s="83"/>
      <c r="AL820" s="83"/>
      <c r="AM820" s="83"/>
      <c r="AN820" s="83"/>
      <c r="AO820" s="83"/>
      <c r="AP820" s="83"/>
      <c r="AQ820" s="83"/>
      <c r="AR820" s="83"/>
      <c r="AS820" s="83"/>
      <c r="AT820" s="83"/>
      <c r="AU820" s="83"/>
      <c r="AV820" s="83"/>
      <c r="AW820" s="83"/>
      <c r="AX820" s="83"/>
      <c r="AY820" s="83"/>
      <c r="AZ820" s="83"/>
      <c r="BA820" s="83"/>
      <c r="BB820" s="83"/>
      <c r="BC820" s="83"/>
      <c r="BD820" s="83"/>
      <c r="BE820" s="83"/>
      <c r="BF820" s="83"/>
    </row>
    <row r="821" spans="1:58" s="14" customFormat="1" ht="14.15" customHeight="1">
      <c r="A821" s="404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  <c r="AA821" s="83"/>
      <c r="AB821" s="83"/>
      <c r="AC821" s="83"/>
      <c r="AD821" s="83"/>
      <c r="AE821" s="83"/>
      <c r="AF821" s="83"/>
      <c r="AG821" s="83"/>
      <c r="AH821" s="83"/>
      <c r="AI821" s="83"/>
      <c r="AJ821" s="83"/>
      <c r="AK821" s="83"/>
      <c r="AL821" s="83"/>
      <c r="AM821" s="83"/>
      <c r="AN821" s="83"/>
      <c r="AO821" s="83"/>
      <c r="AP821" s="83"/>
      <c r="AQ821" s="83"/>
      <c r="AR821" s="83"/>
      <c r="AS821" s="83"/>
      <c r="AT821" s="83"/>
      <c r="AU821" s="83"/>
      <c r="AV821" s="83"/>
      <c r="AW821" s="83"/>
      <c r="AX821" s="83"/>
      <c r="AY821" s="83"/>
      <c r="AZ821" s="83"/>
      <c r="BA821" s="83"/>
      <c r="BB821" s="83"/>
      <c r="BC821" s="83"/>
      <c r="BD821" s="83"/>
      <c r="BE821" s="83"/>
      <c r="BF821" s="83"/>
    </row>
    <row r="822" spans="1:58" s="14" customFormat="1" ht="14.15" customHeight="1">
      <c r="A822" s="404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  <c r="AA822" s="83"/>
      <c r="AB822" s="83"/>
      <c r="AC822" s="83"/>
      <c r="AD822" s="83"/>
      <c r="AE822" s="83"/>
      <c r="AF822" s="83"/>
      <c r="AG822" s="83"/>
      <c r="AH822" s="83"/>
      <c r="AI822" s="83"/>
      <c r="AJ822" s="83"/>
      <c r="AK822" s="83"/>
      <c r="AL822" s="83"/>
      <c r="AM822" s="83"/>
      <c r="AN822" s="83"/>
      <c r="AO822" s="83"/>
      <c r="AP822" s="83"/>
      <c r="AQ822" s="83"/>
      <c r="AR822" s="83"/>
      <c r="AS822" s="83"/>
      <c r="AT822" s="83"/>
      <c r="AU822" s="83"/>
      <c r="AV822" s="83"/>
      <c r="AW822" s="83"/>
      <c r="AX822" s="83"/>
      <c r="AY822" s="83"/>
      <c r="AZ822" s="83"/>
      <c r="BA822" s="83"/>
      <c r="BB822" s="83"/>
      <c r="BC822" s="83"/>
      <c r="BD822" s="83"/>
      <c r="BE822" s="83"/>
      <c r="BF822" s="83"/>
    </row>
    <row r="823" spans="1:58" s="14" customFormat="1" ht="14.15" customHeight="1">
      <c r="A823" s="404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  <c r="AA823" s="83"/>
      <c r="AB823" s="83"/>
      <c r="AC823" s="83"/>
      <c r="AD823" s="83"/>
      <c r="AE823" s="83"/>
      <c r="AF823" s="83"/>
      <c r="AG823" s="83"/>
      <c r="AH823" s="83"/>
      <c r="AI823" s="83"/>
      <c r="AJ823" s="83"/>
      <c r="AK823" s="83"/>
      <c r="AL823" s="83"/>
      <c r="AM823" s="83"/>
      <c r="AN823" s="83"/>
      <c r="AO823" s="83"/>
      <c r="AP823" s="83"/>
      <c r="AQ823" s="83"/>
      <c r="AR823" s="83"/>
      <c r="AS823" s="83"/>
      <c r="AT823" s="83"/>
      <c r="AU823" s="83"/>
      <c r="AV823" s="83"/>
      <c r="AW823" s="83"/>
      <c r="AX823" s="83"/>
      <c r="AY823" s="83"/>
      <c r="AZ823" s="83"/>
      <c r="BA823" s="83"/>
      <c r="BB823" s="83"/>
      <c r="BC823" s="83"/>
      <c r="BD823" s="83"/>
      <c r="BE823" s="83"/>
      <c r="BF823" s="83"/>
    </row>
    <row r="824" spans="1:58" s="14" customFormat="1" ht="14.15" customHeight="1">
      <c r="A824" s="404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  <c r="AA824" s="83"/>
      <c r="AB824" s="83"/>
      <c r="AC824" s="83"/>
      <c r="AD824" s="83"/>
      <c r="AE824" s="83"/>
      <c r="AF824" s="83"/>
      <c r="AG824" s="83"/>
      <c r="AH824" s="83"/>
      <c r="AI824" s="83"/>
      <c r="AJ824" s="83"/>
      <c r="AK824" s="83"/>
      <c r="AL824" s="83"/>
      <c r="AM824" s="83"/>
      <c r="AN824" s="83"/>
      <c r="AO824" s="83"/>
      <c r="AP824" s="83"/>
      <c r="AQ824" s="83"/>
      <c r="AR824" s="83"/>
      <c r="AS824" s="83"/>
      <c r="AT824" s="83"/>
      <c r="AU824" s="83"/>
      <c r="AV824" s="83"/>
      <c r="AW824" s="83"/>
      <c r="AX824" s="83"/>
      <c r="AY824" s="83"/>
      <c r="AZ824" s="83"/>
      <c r="BA824" s="83"/>
      <c r="BB824" s="83"/>
      <c r="BC824" s="83"/>
      <c r="BD824" s="83"/>
      <c r="BE824" s="83"/>
      <c r="BF824" s="83"/>
    </row>
    <row r="825" spans="1:58" s="14" customFormat="1" ht="14.15" customHeight="1">
      <c r="A825" s="404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  <c r="AA825" s="83"/>
      <c r="AB825" s="83"/>
      <c r="AC825" s="83"/>
      <c r="AD825" s="83"/>
      <c r="AE825" s="83"/>
      <c r="AF825" s="83"/>
      <c r="AG825" s="83"/>
      <c r="AH825" s="83"/>
      <c r="AI825" s="83"/>
      <c r="AJ825" s="83"/>
      <c r="AK825" s="83"/>
      <c r="AL825" s="83"/>
      <c r="AM825" s="83"/>
      <c r="AN825" s="83"/>
      <c r="AO825" s="83"/>
      <c r="AP825" s="83"/>
      <c r="AQ825" s="83"/>
      <c r="AR825" s="83"/>
      <c r="AS825" s="83"/>
      <c r="AT825" s="83"/>
      <c r="AU825" s="83"/>
      <c r="AV825" s="83"/>
      <c r="AW825" s="83"/>
      <c r="AX825" s="83"/>
      <c r="AY825" s="83"/>
      <c r="AZ825" s="83"/>
      <c r="BA825" s="83"/>
      <c r="BB825" s="83"/>
      <c r="BC825" s="83"/>
      <c r="BD825" s="83"/>
      <c r="BE825" s="83"/>
      <c r="BF825" s="83"/>
    </row>
    <row r="826" spans="1:58" s="14" customFormat="1" ht="14.15" customHeight="1">
      <c r="A826" s="404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  <c r="AA826" s="83"/>
      <c r="AB826" s="83"/>
      <c r="AC826" s="83"/>
      <c r="AD826" s="83"/>
      <c r="AE826" s="83"/>
      <c r="AF826" s="83"/>
      <c r="AG826" s="83"/>
      <c r="AH826" s="83"/>
      <c r="AI826" s="83"/>
      <c r="AJ826" s="83"/>
      <c r="AK826" s="83"/>
      <c r="AL826" s="83"/>
      <c r="AM826" s="83"/>
      <c r="AN826" s="83"/>
      <c r="AO826" s="83"/>
      <c r="AP826" s="83"/>
      <c r="AQ826" s="83"/>
      <c r="AR826" s="83"/>
      <c r="AS826" s="83"/>
      <c r="AT826" s="83"/>
      <c r="AU826" s="83"/>
      <c r="AV826" s="83"/>
      <c r="AW826" s="83"/>
      <c r="AX826" s="83"/>
      <c r="AY826" s="83"/>
      <c r="AZ826" s="83"/>
      <c r="BA826" s="83"/>
      <c r="BB826" s="83"/>
      <c r="BC826" s="83"/>
      <c r="BD826" s="83"/>
      <c r="BE826" s="83"/>
      <c r="BF826" s="83"/>
    </row>
    <row r="827" spans="1:58" s="14" customFormat="1" ht="14.15" customHeight="1">
      <c r="A827" s="404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  <c r="AA827" s="83"/>
      <c r="AB827" s="83"/>
      <c r="AC827" s="83"/>
      <c r="AD827" s="83"/>
      <c r="AE827" s="83"/>
      <c r="AF827" s="83"/>
      <c r="AG827" s="83"/>
      <c r="AH827" s="83"/>
      <c r="AI827" s="83"/>
      <c r="AJ827" s="83"/>
      <c r="AK827" s="83"/>
      <c r="AL827" s="83"/>
      <c r="AM827" s="83"/>
      <c r="AN827" s="83"/>
      <c r="AO827" s="83"/>
      <c r="AP827" s="83"/>
      <c r="AQ827" s="83"/>
      <c r="AR827" s="83"/>
      <c r="AS827" s="83"/>
      <c r="AT827" s="83"/>
      <c r="AU827" s="83"/>
      <c r="AV827" s="83"/>
      <c r="AW827" s="83"/>
      <c r="AX827" s="83"/>
      <c r="AY827" s="83"/>
      <c r="AZ827" s="83"/>
      <c r="BA827" s="83"/>
      <c r="BB827" s="83"/>
      <c r="BC827" s="83"/>
      <c r="BD827" s="83"/>
      <c r="BE827" s="83"/>
      <c r="BF827" s="83"/>
    </row>
    <row r="828" spans="1:58" s="14" customFormat="1" ht="14.15" customHeight="1">
      <c r="A828" s="404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  <c r="AA828" s="83"/>
      <c r="AB828" s="83"/>
      <c r="AC828" s="83"/>
      <c r="AD828" s="83"/>
      <c r="AE828" s="83"/>
      <c r="AF828" s="83"/>
      <c r="AG828" s="83"/>
      <c r="AH828" s="83"/>
      <c r="AI828" s="83"/>
      <c r="AJ828" s="83"/>
      <c r="AK828" s="83"/>
      <c r="AL828" s="83"/>
      <c r="AM828" s="83"/>
      <c r="AN828" s="83"/>
      <c r="AO828" s="83"/>
      <c r="AP828" s="83"/>
      <c r="AQ828" s="83"/>
      <c r="AR828" s="83"/>
      <c r="AS828" s="83"/>
      <c r="AT828" s="83"/>
      <c r="AU828" s="83"/>
      <c r="AV828" s="83"/>
      <c r="AW828" s="83"/>
      <c r="AX828" s="83"/>
      <c r="AY828" s="83"/>
      <c r="AZ828" s="83"/>
      <c r="BA828" s="83"/>
      <c r="BB828" s="83"/>
      <c r="BC828" s="83"/>
      <c r="BD828" s="83"/>
      <c r="BE828" s="83"/>
      <c r="BF828" s="83"/>
    </row>
    <row r="829" spans="1:58" s="14" customFormat="1" ht="14.15" customHeight="1">
      <c r="A829" s="404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  <c r="AA829" s="83"/>
      <c r="AB829" s="83"/>
      <c r="AC829" s="83"/>
      <c r="AD829" s="83"/>
      <c r="AE829" s="83"/>
      <c r="AF829" s="83"/>
      <c r="AG829" s="83"/>
      <c r="AH829" s="83"/>
      <c r="AI829" s="83"/>
      <c r="AJ829" s="83"/>
      <c r="AK829" s="83"/>
      <c r="AL829" s="83"/>
      <c r="AM829" s="83"/>
      <c r="AN829" s="83"/>
      <c r="AO829" s="83"/>
      <c r="AP829" s="83"/>
      <c r="AQ829" s="83"/>
      <c r="AR829" s="83"/>
      <c r="AS829" s="83"/>
      <c r="AT829" s="83"/>
      <c r="AU829" s="83"/>
      <c r="AV829" s="83"/>
      <c r="AW829" s="83"/>
      <c r="AX829" s="83"/>
      <c r="AY829" s="83"/>
      <c r="AZ829" s="83"/>
      <c r="BA829" s="83"/>
      <c r="BB829" s="83"/>
      <c r="BC829" s="83"/>
      <c r="BD829" s="83"/>
      <c r="BE829" s="83"/>
      <c r="BF829" s="83"/>
    </row>
    <row r="830" spans="1:58" s="14" customFormat="1" ht="14.15" customHeight="1">
      <c r="A830" s="404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  <c r="AA830" s="83"/>
      <c r="AB830" s="83"/>
      <c r="AC830" s="83"/>
      <c r="AD830" s="83"/>
      <c r="AE830" s="83"/>
      <c r="AF830" s="83"/>
      <c r="AG830" s="83"/>
      <c r="AH830" s="83"/>
      <c r="AI830" s="83"/>
      <c r="AJ830" s="83"/>
      <c r="AK830" s="83"/>
      <c r="AL830" s="83"/>
      <c r="AM830" s="83"/>
      <c r="AN830" s="83"/>
      <c r="AO830" s="83"/>
      <c r="AP830" s="83"/>
      <c r="AQ830" s="83"/>
      <c r="AR830" s="83"/>
      <c r="AS830" s="83"/>
      <c r="AT830" s="83"/>
      <c r="AU830" s="83"/>
      <c r="AV830" s="83"/>
      <c r="AW830" s="83"/>
      <c r="AX830" s="83"/>
      <c r="AY830" s="83"/>
      <c r="AZ830" s="83"/>
      <c r="BA830" s="83"/>
      <c r="BB830" s="83"/>
      <c r="BC830" s="83"/>
      <c r="BD830" s="83"/>
      <c r="BE830" s="83"/>
      <c r="BF830" s="83"/>
    </row>
    <row r="831" spans="1:58" s="14" customFormat="1" ht="14.15" customHeight="1">
      <c r="A831" s="404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  <c r="AA831" s="83"/>
      <c r="AB831" s="83"/>
      <c r="AC831" s="83"/>
      <c r="AD831" s="83"/>
      <c r="AE831" s="83"/>
      <c r="AF831" s="83"/>
      <c r="AG831" s="83"/>
      <c r="AH831" s="83"/>
      <c r="AI831" s="83"/>
      <c r="AJ831" s="83"/>
      <c r="AK831" s="83"/>
      <c r="AL831" s="83"/>
      <c r="AM831" s="83"/>
      <c r="AN831" s="83"/>
      <c r="AO831" s="83"/>
      <c r="AP831" s="83"/>
      <c r="AQ831" s="83"/>
      <c r="AR831" s="83"/>
      <c r="AS831" s="83"/>
      <c r="AT831" s="83"/>
      <c r="AU831" s="83"/>
      <c r="AV831" s="83"/>
      <c r="AW831" s="83"/>
      <c r="AX831" s="83"/>
      <c r="AY831" s="83"/>
      <c r="AZ831" s="83"/>
      <c r="BA831" s="83"/>
      <c r="BB831" s="83"/>
      <c r="BC831" s="83"/>
      <c r="BD831" s="83"/>
      <c r="BE831" s="83"/>
      <c r="BF831" s="83"/>
    </row>
    <row r="832" spans="1:58" s="14" customFormat="1" ht="14.15" customHeight="1">
      <c r="A832" s="404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  <c r="AA832" s="83"/>
      <c r="AB832" s="83"/>
      <c r="AC832" s="83"/>
      <c r="AD832" s="83"/>
      <c r="AE832" s="83"/>
      <c r="AF832" s="83"/>
      <c r="AG832" s="83"/>
      <c r="AH832" s="83"/>
      <c r="AI832" s="83"/>
      <c r="AJ832" s="83"/>
      <c r="AK832" s="83"/>
      <c r="AL832" s="83"/>
      <c r="AM832" s="83"/>
      <c r="AN832" s="83"/>
      <c r="AO832" s="83"/>
      <c r="AP832" s="83"/>
      <c r="AQ832" s="83"/>
      <c r="AR832" s="83"/>
      <c r="AS832" s="83"/>
      <c r="AT832" s="83"/>
      <c r="AU832" s="83"/>
      <c r="AV832" s="83"/>
      <c r="AW832" s="83"/>
      <c r="AX832" s="83"/>
      <c r="AY832" s="83"/>
      <c r="AZ832" s="83"/>
      <c r="BA832" s="83"/>
      <c r="BB832" s="83"/>
      <c r="BC832" s="83"/>
      <c r="BD832" s="83"/>
      <c r="BE832" s="83"/>
      <c r="BF832" s="83"/>
    </row>
    <row r="833" spans="1:58" s="14" customFormat="1" ht="14.15" customHeight="1">
      <c r="A833" s="404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  <c r="AA833" s="83"/>
      <c r="AB833" s="83"/>
      <c r="AC833" s="83"/>
      <c r="AD833" s="83"/>
      <c r="AE833" s="83"/>
      <c r="AF833" s="83"/>
      <c r="AG833" s="83"/>
      <c r="AH833" s="83"/>
      <c r="AI833" s="83"/>
      <c r="AJ833" s="83"/>
      <c r="AK833" s="83"/>
      <c r="AL833" s="83"/>
      <c r="AM833" s="83"/>
      <c r="AN833" s="83"/>
      <c r="AO833" s="83"/>
      <c r="AP833" s="83"/>
      <c r="AQ833" s="83"/>
      <c r="AR833" s="83"/>
      <c r="AS833" s="83"/>
      <c r="AT833" s="83"/>
      <c r="AU833" s="83"/>
      <c r="AV833" s="83"/>
      <c r="AW833" s="83"/>
      <c r="AX833" s="83"/>
      <c r="AY833" s="83"/>
      <c r="AZ833" s="83"/>
      <c r="BA833" s="83"/>
      <c r="BB833" s="83"/>
      <c r="BC833" s="83"/>
      <c r="BD833" s="83"/>
      <c r="BE833" s="83"/>
      <c r="BF833" s="83"/>
    </row>
    <row r="834" spans="1:58" s="14" customFormat="1" ht="14.15" customHeight="1">
      <c r="A834" s="404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  <c r="AA834" s="83"/>
      <c r="AB834" s="83"/>
      <c r="AC834" s="83"/>
      <c r="AD834" s="83"/>
      <c r="AE834" s="83"/>
      <c r="AF834" s="83"/>
      <c r="AG834" s="83"/>
      <c r="AH834" s="83"/>
      <c r="AI834" s="83"/>
      <c r="AJ834" s="83"/>
      <c r="AK834" s="83"/>
      <c r="AL834" s="83"/>
      <c r="AM834" s="83"/>
      <c r="AN834" s="83"/>
      <c r="AO834" s="83"/>
      <c r="AP834" s="83"/>
      <c r="AQ834" s="83"/>
      <c r="AR834" s="83"/>
      <c r="AS834" s="83"/>
      <c r="AT834" s="83"/>
      <c r="AU834" s="83"/>
      <c r="AV834" s="83"/>
      <c r="AW834" s="83"/>
      <c r="AX834" s="83"/>
      <c r="AY834" s="83"/>
      <c r="AZ834" s="83"/>
      <c r="BA834" s="83"/>
      <c r="BB834" s="83"/>
      <c r="BC834" s="83"/>
      <c r="BD834" s="83"/>
      <c r="BE834" s="83"/>
      <c r="BF834" s="83"/>
    </row>
    <row r="835" spans="1:58" s="14" customFormat="1" ht="14.15" customHeight="1">
      <c r="A835" s="404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  <c r="AA835" s="83"/>
      <c r="AB835" s="83"/>
      <c r="AC835" s="83"/>
      <c r="AD835" s="83"/>
      <c r="AE835" s="83"/>
      <c r="AF835" s="83"/>
      <c r="AG835" s="83"/>
      <c r="AH835" s="83"/>
      <c r="AI835" s="83"/>
      <c r="AJ835" s="83"/>
      <c r="AK835" s="83"/>
      <c r="AL835" s="83"/>
      <c r="AM835" s="83"/>
      <c r="AN835" s="83"/>
      <c r="AO835" s="83"/>
      <c r="AP835" s="83"/>
      <c r="AQ835" s="83"/>
      <c r="AR835" s="83"/>
      <c r="AS835" s="83"/>
      <c r="AT835" s="83"/>
      <c r="AU835" s="83"/>
      <c r="AV835" s="83"/>
      <c r="AW835" s="83"/>
      <c r="AX835" s="83"/>
      <c r="AY835" s="83"/>
      <c r="AZ835" s="83"/>
      <c r="BA835" s="83"/>
      <c r="BB835" s="83"/>
      <c r="BC835" s="83"/>
      <c r="BD835" s="83"/>
      <c r="BE835" s="83"/>
      <c r="BF835" s="83"/>
    </row>
    <row r="836" spans="1:58" s="14" customFormat="1" ht="14.15" customHeight="1">
      <c r="A836" s="404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  <c r="AA836" s="83"/>
      <c r="AB836" s="83"/>
      <c r="AC836" s="83"/>
      <c r="AD836" s="83"/>
      <c r="AE836" s="83"/>
      <c r="AF836" s="83"/>
      <c r="AG836" s="83"/>
      <c r="AH836" s="83"/>
      <c r="AI836" s="83"/>
      <c r="AJ836" s="83"/>
      <c r="AK836" s="83"/>
      <c r="AL836" s="83"/>
      <c r="AM836" s="83"/>
      <c r="AN836" s="83"/>
      <c r="AO836" s="83"/>
      <c r="AP836" s="83"/>
      <c r="AQ836" s="83"/>
      <c r="AR836" s="83"/>
      <c r="AS836" s="83"/>
      <c r="AT836" s="83"/>
      <c r="AU836" s="83"/>
      <c r="AV836" s="83"/>
      <c r="AW836" s="83"/>
      <c r="AX836" s="83"/>
      <c r="AY836" s="83"/>
      <c r="AZ836" s="83"/>
      <c r="BA836" s="83"/>
      <c r="BB836" s="83"/>
      <c r="BC836" s="83"/>
      <c r="BD836" s="83"/>
      <c r="BE836" s="83"/>
      <c r="BF836" s="83"/>
    </row>
    <row r="837" spans="1:58" s="14" customFormat="1" ht="14.15" customHeight="1">
      <c r="A837" s="404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  <c r="AA837" s="83"/>
      <c r="AB837" s="83"/>
      <c r="AC837" s="83"/>
      <c r="AD837" s="83"/>
      <c r="AE837" s="83"/>
      <c r="AF837" s="83"/>
      <c r="AG837" s="83"/>
      <c r="AH837" s="83"/>
      <c r="AI837" s="83"/>
      <c r="AJ837" s="83"/>
      <c r="AK837" s="83"/>
      <c r="AL837" s="83"/>
      <c r="AM837" s="83"/>
      <c r="AN837" s="83"/>
      <c r="AO837" s="83"/>
      <c r="AP837" s="83"/>
      <c r="AQ837" s="83"/>
      <c r="AR837" s="83"/>
      <c r="AS837" s="83"/>
      <c r="AT837" s="83"/>
      <c r="AU837" s="83"/>
      <c r="AV837" s="83"/>
      <c r="AW837" s="83"/>
      <c r="AX837" s="83"/>
      <c r="AY837" s="83"/>
      <c r="AZ837" s="83"/>
      <c r="BA837" s="83"/>
      <c r="BB837" s="83"/>
      <c r="BC837" s="83"/>
      <c r="BD837" s="83"/>
      <c r="BE837" s="83"/>
      <c r="BF837" s="83"/>
    </row>
    <row r="838" spans="1:58" s="14" customFormat="1" ht="14.15" customHeight="1">
      <c r="A838" s="404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  <c r="AA838" s="83"/>
      <c r="AB838" s="83"/>
      <c r="AC838" s="83"/>
      <c r="AD838" s="83"/>
      <c r="AE838" s="83"/>
      <c r="AF838" s="83"/>
      <c r="AG838" s="83"/>
      <c r="AH838" s="83"/>
      <c r="AI838" s="83"/>
      <c r="AJ838" s="83"/>
      <c r="AK838" s="83"/>
      <c r="AL838" s="83"/>
      <c r="AM838" s="83"/>
      <c r="AN838" s="83"/>
      <c r="AO838" s="83"/>
      <c r="AP838" s="83"/>
      <c r="AQ838" s="83"/>
      <c r="AR838" s="83"/>
      <c r="AS838" s="83"/>
      <c r="AT838" s="83"/>
      <c r="AU838" s="83"/>
      <c r="AV838" s="83"/>
      <c r="AW838" s="83"/>
      <c r="AX838" s="83"/>
      <c r="AY838" s="83"/>
      <c r="AZ838" s="83"/>
      <c r="BA838" s="83"/>
      <c r="BB838" s="83"/>
      <c r="BC838" s="83"/>
      <c r="BD838" s="83"/>
      <c r="BE838" s="83"/>
      <c r="BF838" s="83"/>
    </row>
    <row r="839" spans="1:58" s="14" customFormat="1" ht="14.15" customHeight="1">
      <c r="A839" s="404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  <c r="AA839" s="83"/>
      <c r="AB839" s="83"/>
      <c r="AC839" s="83"/>
      <c r="AD839" s="83"/>
      <c r="AE839" s="83"/>
      <c r="AF839" s="83"/>
      <c r="AG839" s="83"/>
      <c r="AH839" s="83"/>
      <c r="AI839" s="83"/>
      <c r="AJ839" s="83"/>
      <c r="AK839" s="83"/>
      <c r="AL839" s="83"/>
      <c r="AM839" s="83"/>
      <c r="AN839" s="83"/>
      <c r="AO839" s="83"/>
      <c r="AP839" s="83"/>
      <c r="AQ839" s="83"/>
      <c r="AR839" s="83"/>
      <c r="AS839" s="83"/>
      <c r="AT839" s="83"/>
      <c r="AU839" s="83"/>
      <c r="AV839" s="83"/>
      <c r="AW839" s="83"/>
      <c r="AX839" s="83"/>
      <c r="AY839" s="83"/>
      <c r="AZ839" s="83"/>
      <c r="BA839" s="83"/>
      <c r="BB839" s="83"/>
      <c r="BC839" s="83"/>
      <c r="BD839" s="83"/>
      <c r="BE839" s="83"/>
      <c r="BF839" s="83"/>
    </row>
    <row r="840" spans="1:58" s="14" customFormat="1" ht="14.15" customHeight="1">
      <c r="A840" s="404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  <c r="AA840" s="83"/>
      <c r="AB840" s="83"/>
      <c r="AC840" s="83"/>
      <c r="AD840" s="83"/>
      <c r="AE840" s="83"/>
      <c r="AF840" s="83"/>
      <c r="AG840" s="83"/>
      <c r="AH840" s="83"/>
      <c r="AI840" s="83"/>
      <c r="AJ840" s="83"/>
      <c r="AK840" s="83"/>
      <c r="AL840" s="83"/>
      <c r="AM840" s="83"/>
      <c r="AN840" s="83"/>
      <c r="AO840" s="83"/>
      <c r="AP840" s="83"/>
      <c r="AQ840" s="83"/>
      <c r="AR840" s="83"/>
      <c r="AS840" s="83"/>
      <c r="AT840" s="83"/>
      <c r="AU840" s="83"/>
      <c r="AV840" s="83"/>
      <c r="AW840" s="83"/>
      <c r="AX840" s="83"/>
      <c r="AY840" s="83"/>
      <c r="AZ840" s="83"/>
      <c r="BA840" s="83"/>
      <c r="BB840" s="83"/>
      <c r="BC840" s="83"/>
      <c r="BD840" s="83"/>
      <c r="BE840" s="83"/>
      <c r="BF840" s="83"/>
    </row>
    <row r="841" spans="1:58" s="14" customFormat="1" ht="14.15" customHeight="1">
      <c r="A841" s="404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  <c r="AA841" s="83"/>
      <c r="AB841" s="83"/>
      <c r="AC841" s="83"/>
      <c r="AD841" s="83"/>
      <c r="AE841" s="83"/>
      <c r="AF841" s="83"/>
      <c r="AG841" s="83"/>
      <c r="AH841" s="83"/>
      <c r="AI841" s="83"/>
      <c r="AJ841" s="83"/>
      <c r="AK841" s="83"/>
      <c r="AL841" s="83"/>
      <c r="AM841" s="83"/>
      <c r="AN841" s="83"/>
      <c r="AO841" s="83"/>
      <c r="AP841" s="83"/>
      <c r="AQ841" s="83"/>
      <c r="AR841" s="83"/>
      <c r="AS841" s="83"/>
      <c r="AT841" s="83"/>
      <c r="AU841" s="83"/>
      <c r="AV841" s="83"/>
      <c r="AW841" s="83"/>
      <c r="AX841" s="83"/>
      <c r="AY841" s="83"/>
      <c r="AZ841" s="83"/>
      <c r="BA841" s="83"/>
      <c r="BB841" s="83"/>
      <c r="BC841" s="83"/>
      <c r="BD841" s="83"/>
      <c r="BE841" s="83"/>
      <c r="BF841" s="83"/>
    </row>
    <row r="842" spans="1:58" s="14" customFormat="1" ht="14.15" customHeight="1">
      <c r="A842" s="404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  <c r="AA842" s="83"/>
      <c r="AB842" s="83"/>
      <c r="AC842" s="83"/>
      <c r="AD842" s="83"/>
      <c r="AE842" s="83"/>
      <c r="AF842" s="83"/>
      <c r="AG842" s="83"/>
      <c r="AH842" s="83"/>
      <c r="AI842" s="83"/>
      <c r="AJ842" s="83"/>
      <c r="AK842" s="83"/>
      <c r="AL842" s="83"/>
      <c r="AM842" s="83"/>
      <c r="AN842" s="83"/>
      <c r="AO842" s="83"/>
      <c r="AP842" s="83"/>
      <c r="AQ842" s="83"/>
      <c r="AR842" s="83"/>
      <c r="AS842" s="83"/>
      <c r="AT842" s="83"/>
      <c r="AU842" s="83"/>
      <c r="AV842" s="83"/>
      <c r="AW842" s="83"/>
      <c r="AX842" s="83"/>
      <c r="AY842" s="83"/>
      <c r="AZ842" s="83"/>
      <c r="BA842" s="83"/>
      <c r="BB842" s="83"/>
      <c r="BC842" s="83"/>
      <c r="BD842" s="83"/>
      <c r="BE842" s="83"/>
      <c r="BF842" s="83"/>
    </row>
    <row r="843" spans="1:58" s="14" customFormat="1" ht="14.15" customHeight="1">
      <c r="A843" s="404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  <c r="AA843" s="83"/>
      <c r="AB843" s="83"/>
      <c r="AC843" s="83"/>
      <c r="AD843" s="83"/>
      <c r="AE843" s="83"/>
      <c r="AF843" s="83"/>
      <c r="AG843" s="83"/>
      <c r="AH843" s="83"/>
      <c r="AI843" s="83"/>
      <c r="AJ843" s="83"/>
      <c r="AK843" s="83"/>
      <c r="AL843" s="83"/>
      <c r="AM843" s="83"/>
      <c r="AN843" s="83"/>
      <c r="AO843" s="83"/>
      <c r="AP843" s="83"/>
      <c r="AQ843" s="83"/>
      <c r="AR843" s="83"/>
      <c r="AS843" s="83"/>
      <c r="AT843" s="83"/>
      <c r="AU843" s="83"/>
      <c r="AV843" s="83"/>
      <c r="AW843" s="83"/>
      <c r="AX843" s="83"/>
      <c r="AY843" s="83"/>
      <c r="AZ843" s="83"/>
      <c r="BA843" s="83"/>
      <c r="BB843" s="83"/>
      <c r="BC843" s="83"/>
      <c r="BD843" s="83"/>
      <c r="BE843" s="83"/>
      <c r="BF843" s="83"/>
    </row>
    <row r="844" spans="1:58" s="14" customFormat="1" ht="14.15" customHeight="1">
      <c r="A844" s="404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  <c r="AA844" s="83"/>
      <c r="AB844" s="83"/>
      <c r="AC844" s="83"/>
      <c r="AD844" s="83"/>
      <c r="AE844" s="83"/>
      <c r="AF844" s="83"/>
      <c r="AG844" s="83"/>
      <c r="AH844" s="83"/>
      <c r="AI844" s="83"/>
      <c r="AJ844" s="83"/>
      <c r="AK844" s="83"/>
      <c r="AL844" s="83"/>
      <c r="AM844" s="83"/>
      <c r="AN844" s="83"/>
      <c r="AO844" s="83"/>
      <c r="AP844" s="83"/>
      <c r="AQ844" s="83"/>
      <c r="AR844" s="83"/>
      <c r="AS844" s="83"/>
      <c r="AT844" s="83"/>
      <c r="AU844" s="83"/>
      <c r="AV844" s="83"/>
      <c r="AW844" s="83"/>
      <c r="AX844" s="83"/>
      <c r="AY844" s="83"/>
      <c r="AZ844" s="83"/>
      <c r="BA844" s="83"/>
      <c r="BB844" s="83"/>
      <c r="BC844" s="83"/>
      <c r="BD844" s="83"/>
      <c r="BE844" s="83"/>
      <c r="BF844" s="83"/>
    </row>
    <row r="845" spans="1:58" s="14" customFormat="1" ht="14.15" customHeight="1">
      <c r="A845" s="404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  <c r="AA845" s="83"/>
      <c r="AB845" s="83"/>
      <c r="AC845" s="83"/>
      <c r="AD845" s="83"/>
      <c r="AE845" s="83"/>
      <c r="AF845" s="83"/>
      <c r="AG845" s="83"/>
      <c r="AH845" s="83"/>
      <c r="AI845" s="83"/>
      <c r="AJ845" s="83"/>
      <c r="AK845" s="83"/>
      <c r="AL845" s="83"/>
      <c r="AM845" s="83"/>
      <c r="AN845" s="83"/>
      <c r="AO845" s="83"/>
      <c r="AP845" s="83"/>
      <c r="AQ845" s="83"/>
      <c r="AR845" s="83"/>
      <c r="AS845" s="83"/>
      <c r="AT845" s="83"/>
      <c r="AU845" s="83"/>
      <c r="AV845" s="83"/>
      <c r="AW845" s="83"/>
      <c r="AX845" s="83"/>
      <c r="AY845" s="83"/>
      <c r="AZ845" s="83"/>
      <c r="BA845" s="83"/>
      <c r="BB845" s="83"/>
      <c r="BC845" s="83"/>
      <c r="BD845" s="83"/>
      <c r="BE845" s="83"/>
      <c r="BF845" s="83"/>
    </row>
    <row r="846" spans="1:58" s="14" customFormat="1" ht="14.15" customHeight="1">
      <c r="A846" s="404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  <c r="AA846" s="83"/>
      <c r="AB846" s="83"/>
      <c r="AC846" s="83"/>
      <c r="AD846" s="83"/>
      <c r="AE846" s="83"/>
      <c r="AF846" s="83"/>
      <c r="AG846" s="83"/>
      <c r="AH846" s="83"/>
      <c r="AI846" s="83"/>
      <c r="AJ846" s="83"/>
      <c r="AK846" s="83"/>
      <c r="AL846" s="83"/>
      <c r="AM846" s="83"/>
      <c r="AN846" s="83"/>
      <c r="AO846" s="83"/>
      <c r="AP846" s="83"/>
      <c r="AQ846" s="83"/>
      <c r="AR846" s="83"/>
      <c r="AS846" s="83"/>
      <c r="AT846" s="83"/>
      <c r="AU846" s="83"/>
      <c r="AV846" s="83"/>
      <c r="AW846" s="83"/>
      <c r="AX846" s="83"/>
      <c r="AY846" s="83"/>
      <c r="AZ846" s="83"/>
      <c r="BA846" s="83"/>
      <c r="BB846" s="83"/>
      <c r="BC846" s="83"/>
      <c r="BD846" s="83"/>
      <c r="BE846" s="83"/>
      <c r="BF846" s="83"/>
    </row>
    <row r="847" spans="1:58" s="14" customFormat="1" ht="14.15" customHeight="1">
      <c r="A847" s="404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  <c r="AA847" s="83"/>
      <c r="AB847" s="83"/>
      <c r="AC847" s="83"/>
      <c r="AD847" s="83"/>
      <c r="AE847" s="83"/>
      <c r="AF847" s="83"/>
      <c r="AG847" s="83"/>
      <c r="AH847" s="83"/>
      <c r="AI847" s="83"/>
      <c r="AJ847" s="83"/>
      <c r="AK847" s="83"/>
      <c r="AL847" s="83"/>
      <c r="AM847" s="83"/>
      <c r="AN847" s="83"/>
      <c r="AO847" s="83"/>
      <c r="AP847" s="83"/>
      <c r="AQ847" s="83"/>
      <c r="AR847" s="83"/>
      <c r="AS847" s="83"/>
      <c r="AT847" s="83"/>
      <c r="AU847" s="83"/>
      <c r="AV847" s="83"/>
      <c r="AW847" s="83"/>
      <c r="AX847" s="83"/>
      <c r="AY847" s="83"/>
      <c r="AZ847" s="83"/>
      <c r="BA847" s="83"/>
      <c r="BB847" s="83"/>
      <c r="BC847" s="83"/>
      <c r="BD847" s="83"/>
      <c r="BE847" s="83"/>
      <c r="BF847" s="83"/>
    </row>
    <row r="848" spans="1:58" s="14" customFormat="1" ht="14.15" customHeight="1">
      <c r="A848" s="404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  <c r="AA848" s="83"/>
      <c r="AB848" s="83"/>
      <c r="AC848" s="83"/>
      <c r="AD848" s="83"/>
      <c r="AE848" s="83"/>
      <c r="AF848" s="83"/>
      <c r="AG848" s="83"/>
      <c r="AH848" s="83"/>
      <c r="AI848" s="83"/>
      <c r="AJ848" s="83"/>
      <c r="AK848" s="83"/>
      <c r="AL848" s="83"/>
      <c r="AM848" s="83"/>
      <c r="AN848" s="83"/>
      <c r="AO848" s="83"/>
      <c r="AP848" s="83"/>
      <c r="AQ848" s="83"/>
      <c r="AR848" s="83"/>
      <c r="AS848" s="83"/>
      <c r="AT848" s="83"/>
      <c r="AU848" s="83"/>
      <c r="AV848" s="83"/>
      <c r="AW848" s="83"/>
      <c r="AX848" s="83"/>
      <c r="AY848" s="83"/>
      <c r="AZ848" s="83"/>
      <c r="BA848" s="83"/>
      <c r="BB848" s="83"/>
      <c r="BC848" s="83"/>
      <c r="BD848" s="83"/>
      <c r="BE848" s="83"/>
      <c r="BF848" s="83"/>
    </row>
    <row r="849" spans="1:58" s="14" customFormat="1" ht="14.15" customHeight="1">
      <c r="A849" s="404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  <c r="AA849" s="83"/>
      <c r="AB849" s="83"/>
      <c r="AC849" s="83"/>
      <c r="AD849" s="83"/>
      <c r="AE849" s="83"/>
      <c r="AF849" s="83"/>
      <c r="AG849" s="83"/>
      <c r="AH849" s="83"/>
      <c r="AI849" s="83"/>
      <c r="AJ849" s="83"/>
      <c r="AK849" s="83"/>
      <c r="AL849" s="83"/>
      <c r="AM849" s="83"/>
      <c r="AN849" s="83"/>
      <c r="AO849" s="83"/>
      <c r="AP849" s="83"/>
      <c r="AQ849" s="83"/>
      <c r="AR849" s="83"/>
      <c r="AS849" s="83"/>
      <c r="AT849" s="83"/>
      <c r="AU849" s="83"/>
      <c r="AV849" s="83"/>
      <c r="AW849" s="83"/>
      <c r="AX849" s="83"/>
      <c r="AY849" s="83"/>
      <c r="AZ849" s="83"/>
      <c r="BA849" s="83"/>
      <c r="BB849" s="83"/>
      <c r="BC849" s="83"/>
      <c r="BD849" s="83"/>
      <c r="BE849" s="83"/>
      <c r="BF849" s="83"/>
    </row>
    <row r="850" spans="1:58" s="14" customFormat="1" ht="14.15" customHeight="1">
      <c r="A850" s="404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  <c r="AA850" s="83"/>
      <c r="AB850" s="83"/>
      <c r="AC850" s="83"/>
      <c r="AD850" s="83"/>
      <c r="AE850" s="83"/>
      <c r="AF850" s="83"/>
      <c r="AG850" s="83"/>
      <c r="AH850" s="83"/>
      <c r="AI850" s="83"/>
      <c r="AJ850" s="83"/>
      <c r="AK850" s="83"/>
      <c r="AL850" s="83"/>
      <c r="AM850" s="83"/>
      <c r="AN850" s="83"/>
      <c r="AO850" s="83"/>
      <c r="AP850" s="83"/>
      <c r="AQ850" s="83"/>
      <c r="AR850" s="83"/>
      <c r="AS850" s="83"/>
      <c r="AT850" s="83"/>
      <c r="AU850" s="83"/>
      <c r="AV850" s="83"/>
      <c r="AW850" s="83"/>
      <c r="AX850" s="83"/>
      <c r="AY850" s="83"/>
      <c r="AZ850" s="83"/>
      <c r="BA850" s="83"/>
      <c r="BB850" s="83"/>
      <c r="BC850" s="83"/>
      <c r="BD850" s="83"/>
      <c r="BE850" s="83"/>
      <c r="BF850" s="83"/>
    </row>
    <row r="851" spans="1:58" s="14" customFormat="1" ht="14.15" customHeight="1">
      <c r="A851" s="404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  <c r="AA851" s="83"/>
      <c r="AB851" s="83"/>
      <c r="AC851" s="83"/>
      <c r="AD851" s="83"/>
      <c r="AE851" s="83"/>
      <c r="AF851" s="83"/>
      <c r="AG851" s="83"/>
      <c r="AH851" s="83"/>
      <c r="AI851" s="83"/>
      <c r="AJ851" s="83"/>
      <c r="AK851" s="83"/>
      <c r="AL851" s="83"/>
      <c r="AM851" s="83"/>
      <c r="AN851" s="83"/>
      <c r="AO851" s="83"/>
      <c r="AP851" s="83"/>
      <c r="AQ851" s="83"/>
      <c r="AR851" s="83"/>
      <c r="AS851" s="83"/>
      <c r="AT851" s="83"/>
      <c r="AU851" s="83"/>
      <c r="AV851" s="83"/>
      <c r="AW851" s="83"/>
      <c r="AX851" s="83"/>
      <c r="AY851" s="83"/>
      <c r="AZ851" s="83"/>
      <c r="BA851" s="83"/>
      <c r="BB851" s="83"/>
      <c r="BC851" s="83"/>
      <c r="BD851" s="83"/>
      <c r="BE851" s="83"/>
      <c r="BF851" s="83"/>
    </row>
    <row r="852" spans="1:58" s="14" customFormat="1" ht="14.15" customHeight="1">
      <c r="A852" s="404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  <c r="AA852" s="83"/>
      <c r="AB852" s="83"/>
      <c r="AC852" s="83"/>
      <c r="AD852" s="83"/>
      <c r="AE852" s="83"/>
      <c r="AF852" s="83"/>
      <c r="AG852" s="83"/>
      <c r="AH852" s="83"/>
      <c r="AI852" s="83"/>
      <c r="AJ852" s="83"/>
      <c r="AK852" s="83"/>
      <c r="AL852" s="83"/>
      <c r="AM852" s="83"/>
      <c r="AN852" s="83"/>
      <c r="AO852" s="83"/>
      <c r="AP852" s="83"/>
      <c r="AQ852" s="83"/>
      <c r="AR852" s="83"/>
      <c r="AS852" s="83"/>
      <c r="AT852" s="83"/>
      <c r="AU852" s="83"/>
      <c r="AV852" s="83"/>
      <c r="AW852" s="83"/>
      <c r="AX852" s="83"/>
      <c r="AY852" s="83"/>
      <c r="AZ852" s="83"/>
      <c r="BA852" s="83"/>
      <c r="BB852" s="83"/>
      <c r="BC852" s="83"/>
      <c r="BD852" s="83"/>
      <c r="BE852" s="83"/>
      <c r="BF852" s="83"/>
    </row>
    <row r="853" spans="1:58" s="14" customFormat="1" ht="14.15" customHeight="1">
      <c r="A853" s="404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  <c r="AA853" s="83"/>
      <c r="AB853" s="83"/>
      <c r="AC853" s="83"/>
      <c r="AD853" s="83"/>
      <c r="AE853" s="83"/>
      <c r="AF853" s="83"/>
      <c r="AG853" s="83"/>
      <c r="AH853" s="83"/>
      <c r="AI853" s="83"/>
      <c r="AJ853" s="83"/>
      <c r="AK853" s="83"/>
      <c r="AL853" s="83"/>
      <c r="AM853" s="83"/>
      <c r="AN853" s="83"/>
      <c r="AO853" s="83"/>
      <c r="AP853" s="83"/>
      <c r="AQ853" s="83"/>
      <c r="AR853" s="83"/>
      <c r="AS853" s="83"/>
      <c r="AT853" s="83"/>
      <c r="AU853" s="83"/>
      <c r="AV853" s="83"/>
      <c r="AW853" s="83"/>
      <c r="AX853" s="83"/>
      <c r="AY853" s="83"/>
      <c r="AZ853" s="83"/>
      <c r="BA853" s="83"/>
      <c r="BB853" s="83"/>
      <c r="BC853" s="83"/>
      <c r="BD853" s="83"/>
      <c r="BE853" s="83"/>
      <c r="BF853" s="83"/>
    </row>
    <row r="854" spans="1:58" s="14" customFormat="1" ht="14.15" customHeight="1">
      <c r="A854" s="404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  <c r="AA854" s="83"/>
      <c r="AB854" s="83"/>
      <c r="AC854" s="83"/>
      <c r="AD854" s="83"/>
      <c r="AE854" s="83"/>
      <c r="AF854" s="83"/>
      <c r="AG854" s="83"/>
      <c r="AH854" s="83"/>
      <c r="AI854" s="83"/>
      <c r="AJ854" s="83"/>
      <c r="AK854" s="83"/>
      <c r="AL854" s="83"/>
      <c r="AM854" s="83"/>
      <c r="AN854" s="83"/>
      <c r="AO854" s="83"/>
      <c r="AP854" s="83"/>
      <c r="AQ854" s="83"/>
      <c r="AR854" s="83"/>
      <c r="AS854" s="83"/>
      <c r="AT854" s="83"/>
      <c r="AU854" s="83"/>
      <c r="AV854" s="83"/>
      <c r="AW854" s="83"/>
      <c r="AX854" s="83"/>
      <c r="AY854" s="83"/>
      <c r="AZ854" s="83"/>
      <c r="BA854" s="83"/>
      <c r="BB854" s="83"/>
      <c r="BC854" s="83"/>
      <c r="BD854" s="83"/>
      <c r="BE854" s="83"/>
      <c r="BF854" s="83"/>
    </row>
    <row r="855" spans="1:58" s="14" customFormat="1" ht="14.15" customHeight="1">
      <c r="A855" s="404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  <c r="AA855" s="83"/>
      <c r="AB855" s="83"/>
      <c r="AC855" s="83"/>
      <c r="AD855" s="83"/>
      <c r="AE855" s="83"/>
      <c r="AF855" s="83"/>
      <c r="AG855" s="83"/>
      <c r="AH855" s="83"/>
      <c r="AI855" s="83"/>
      <c r="AJ855" s="83"/>
      <c r="AK855" s="83"/>
      <c r="AL855" s="83"/>
      <c r="AM855" s="83"/>
      <c r="AN855" s="83"/>
      <c r="AO855" s="83"/>
      <c r="AP855" s="83"/>
      <c r="AQ855" s="83"/>
      <c r="AR855" s="83"/>
      <c r="AS855" s="83"/>
      <c r="AT855" s="83"/>
      <c r="AU855" s="83"/>
      <c r="AV855" s="83"/>
      <c r="AW855" s="83"/>
      <c r="AX855" s="83"/>
      <c r="AY855" s="83"/>
      <c r="AZ855" s="83"/>
      <c r="BA855" s="83"/>
      <c r="BB855" s="83"/>
      <c r="BC855" s="83"/>
      <c r="BD855" s="83"/>
      <c r="BE855" s="83"/>
      <c r="BF855" s="83"/>
    </row>
    <row r="856" spans="1:58" s="14" customFormat="1" ht="14.15" customHeight="1">
      <c r="A856" s="404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  <c r="AA856" s="83"/>
      <c r="AB856" s="83"/>
      <c r="AC856" s="83"/>
      <c r="AD856" s="83"/>
      <c r="AE856" s="83"/>
      <c r="AF856" s="83"/>
      <c r="AG856" s="83"/>
      <c r="AH856" s="83"/>
      <c r="AI856" s="83"/>
      <c r="AJ856" s="83"/>
      <c r="AK856" s="83"/>
      <c r="AL856" s="83"/>
      <c r="AM856" s="83"/>
      <c r="AN856" s="83"/>
      <c r="AO856" s="83"/>
      <c r="AP856" s="83"/>
      <c r="AQ856" s="83"/>
      <c r="AR856" s="83"/>
      <c r="AS856" s="83"/>
      <c r="AT856" s="83"/>
      <c r="AU856" s="83"/>
      <c r="AV856" s="83"/>
      <c r="AW856" s="83"/>
      <c r="AX856" s="83"/>
      <c r="AY856" s="83"/>
      <c r="AZ856" s="83"/>
      <c r="BA856" s="83"/>
      <c r="BB856" s="83"/>
      <c r="BC856" s="83"/>
      <c r="BD856" s="83"/>
      <c r="BE856" s="83"/>
      <c r="BF856" s="83"/>
    </row>
    <row r="857" spans="1:58" s="14" customFormat="1" ht="14.15" customHeight="1">
      <c r="A857" s="404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  <c r="AA857" s="83"/>
      <c r="AB857" s="83"/>
      <c r="AC857" s="83"/>
      <c r="AD857" s="83"/>
      <c r="AE857" s="83"/>
      <c r="AF857" s="83"/>
      <c r="AG857" s="83"/>
      <c r="AH857" s="83"/>
      <c r="AI857" s="83"/>
      <c r="AJ857" s="83"/>
      <c r="AK857" s="83"/>
      <c r="AL857" s="83"/>
      <c r="AM857" s="83"/>
      <c r="AN857" s="83"/>
      <c r="AO857" s="83"/>
      <c r="AP857" s="83"/>
      <c r="AQ857" s="83"/>
      <c r="AR857" s="83"/>
      <c r="AS857" s="83"/>
      <c r="AT857" s="83"/>
      <c r="AU857" s="83"/>
      <c r="AV857" s="83"/>
      <c r="AW857" s="83"/>
      <c r="AX857" s="83"/>
      <c r="AY857" s="83"/>
      <c r="AZ857" s="83"/>
      <c r="BA857" s="83"/>
      <c r="BB857" s="83"/>
      <c r="BC857" s="83"/>
      <c r="BD857" s="83"/>
      <c r="BE857" s="83"/>
      <c r="BF857" s="83"/>
    </row>
    <row r="858" spans="1:58" s="14" customFormat="1" ht="14.15" customHeight="1">
      <c r="A858" s="404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  <c r="AA858" s="83"/>
      <c r="AB858" s="83"/>
      <c r="AC858" s="83"/>
      <c r="AD858" s="83"/>
      <c r="AE858" s="83"/>
      <c r="AF858" s="83"/>
      <c r="AG858" s="83"/>
      <c r="AH858" s="83"/>
      <c r="AI858" s="83"/>
      <c r="AJ858" s="83"/>
      <c r="AK858" s="83"/>
      <c r="AL858" s="83"/>
      <c r="AM858" s="83"/>
      <c r="AN858" s="83"/>
      <c r="AO858" s="83"/>
      <c r="AP858" s="83"/>
      <c r="AQ858" s="83"/>
      <c r="AR858" s="83"/>
      <c r="AS858" s="83"/>
      <c r="AT858" s="83"/>
      <c r="AU858" s="83"/>
      <c r="AV858" s="83"/>
      <c r="AW858" s="83"/>
      <c r="AX858" s="83"/>
      <c r="AY858" s="83"/>
      <c r="AZ858" s="83"/>
      <c r="BA858" s="83"/>
      <c r="BB858" s="83"/>
      <c r="BC858" s="83"/>
      <c r="BD858" s="83"/>
      <c r="BE858" s="83"/>
      <c r="BF858" s="83"/>
    </row>
    <row r="859" spans="1:58" s="14" customFormat="1" ht="14.15" customHeight="1">
      <c r="A859" s="404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  <c r="AA859" s="83"/>
      <c r="AB859" s="83"/>
      <c r="AC859" s="83"/>
      <c r="AD859" s="83"/>
      <c r="AE859" s="83"/>
      <c r="AF859" s="83"/>
      <c r="AG859" s="83"/>
      <c r="AH859" s="83"/>
      <c r="AI859" s="83"/>
      <c r="AJ859" s="83"/>
      <c r="AK859" s="83"/>
      <c r="AL859" s="83"/>
      <c r="AM859" s="83"/>
      <c r="AN859" s="83"/>
      <c r="AO859" s="83"/>
      <c r="AP859" s="83"/>
      <c r="AQ859" s="83"/>
      <c r="AR859" s="83"/>
      <c r="AS859" s="83"/>
      <c r="AT859" s="83"/>
      <c r="AU859" s="83"/>
      <c r="AV859" s="83"/>
      <c r="AW859" s="83"/>
      <c r="AX859" s="83"/>
      <c r="AY859" s="83"/>
      <c r="AZ859" s="83"/>
      <c r="BA859" s="83"/>
      <c r="BB859" s="83"/>
      <c r="BC859" s="83"/>
      <c r="BD859" s="83"/>
      <c r="BE859" s="83"/>
      <c r="BF859" s="83"/>
    </row>
    <row r="860" spans="1:58" s="14" customFormat="1" ht="14.15" customHeight="1">
      <c r="A860" s="404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  <c r="AA860" s="83"/>
      <c r="AB860" s="83"/>
      <c r="AC860" s="83"/>
      <c r="AD860" s="83"/>
      <c r="AE860" s="83"/>
      <c r="AF860" s="83"/>
      <c r="AG860" s="83"/>
      <c r="AH860" s="83"/>
      <c r="AI860" s="83"/>
      <c r="AJ860" s="83"/>
      <c r="AK860" s="83"/>
      <c r="AL860" s="83"/>
      <c r="AM860" s="83"/>
      <c r="AN860" s="83"/>
      <c r="AO860" s="83"/>
      <c r="AP860" s="83"/>
      <c r="AQ860" s="83"/>
      <c r="AR860" s="83"/>
      <c r="AS860" s="83"/>
      <c r="AT860" s="83"/>
      <c r="AU860" s="83"/>
      <c r="AV860" s="83"/>
      <c r="AW860" s="83"/>
      <c r="AX860" s="83"/>
      <c r="AY860" s="83"/>
      <c r="AZ860" s="83"/>
      <c r="BA860" s="83"/>
      <c r="BB860" s="83"/>
      <c r="BC860" s="83"/>
      <c r="BD860" s="83"/>
      <c r="BE860" s="83"/>
      <c r="BF860" s="83"/>
    </row>
    <row r="861" spans="1:58" s="14" customFormat="1" ht="14.15" customHeight="1">
      <c r="A861" s="404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  <c r="AA861" s="83"/>
      <c r="AB861" s="83"/>
      <c r="AC861" s="83"/>
      <c r="AD861" s="83"/>
      <c r="AE861" s="83"/>
      <c r="AF861" s="83"/>
      <c r="AG861" s="83"/>
      <c r="AH861" s="83"/>
      <c r="AI861" s="83"/>
      <c r="AJ861" s="83"/>
      <c r="AK861" s="83"/>
      <c r="AL861" s="83"/>
      <c r="AM861" s="83"/>
      <c r="AN861" s="83"/>
      <c r="AO861" s="83"/>
      <c r="AP861" s="83"/>
      <c r="AQ861" s="83"/>
      <c r="AR861" s="83"/>
      <c r="AS861" s="83"/>
      <c r="AT861" s="83"/>
      <c r="AU861" s="83"/>
      <c r="AV861" s="83"/>
      <c r="AW861" s="83"/>
      <c r="AX861" s="83"/>
      <c r="AY861" s="83"/>
      <c r="AZ861" s="83"/>
      <c r="BA861" s="83"/>
      <c r="BB861" s="83"/>
      <c r="BC861" s="83"/>
      <c r="BD861" s="83"/>
      <c r="BE861" s="83"/>
      <c r="BF861" s="83"/>
    </row>
    <row r="862" spans="1:58" s="14" customFormat="1" ht="14.15" customHeight="1">
      <c r="A862" s="404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  <c r="AA862" s="83"/>
      <c r="AB862" s="83"/>
      <c r="AC862" s="83"/>
      <c r="AD862" s="83"/>
      <c r="AE862" s="83"/>
      <c r="AF862" s="83"/>
      <c r="AG862" s="83"/>
      <c r="AH862" s="83"/>
      <c r="AI862" s="83"/>
      <c r="AJ862" s="83"/>
      <c r="AK862" s="83"/>
      <c r="AL862" s="83"/>
      <c r="AM862" s="83"/>
      <c r="AN862" s="83"/>
      <c r="AO862" s="83"/>
      <c r="AP862" s="83"/>
      <c r="AQ862" s="83"/>
      <c r="AR862" s="83"/>
      <c r="AS862" s="83"/>
      <c r="AT862" s="83"/>
      <c r="AU862" s="83"/>
      <c r="AV862" s="83"/>
      <c r="AW862" s="83"/>
      <c r="AX862" s="83"/>
      <c r="AY862" s="83"/>
      <c r="AZ862" s="83"/>
      <c r="BA862" s="83"/>
      <c r="BB862" s="83"/>
      <c r="BC862" s="83"/>
      <c r="BD862" s="83"/>
      <c r="BE862" s="83"/>
      <c r="BF862" s="83"/>
    </row>
    <row r="863" spans="1:58" s="14" customFormat="1" ht="14.15" customHeight="1">
      <c r="A863" s="404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  <c r="AA863" s="83"/>
      <c r="AB863" s="83"/>
      <c r="AC863" s="83"/>
      <c r="AD863" s="83"/>
      <c r="AE863" s="83"/>
      <c r="AF863" s="83"/>
      <c r="AG863" s="83"/>
      <c r="AH863" s="83"/>
      <c r="AI863" s="83"/>
      <c r="AJ863" s="83"/>
      <c r="AK863" s="83"/>
      <c r="AL863" s="83"/>
      <c r="AM863" s="83"/>
      <c r="AN863" s="83"/>
      <c r="AO863" s="83"/>
      <c r="AP863" s="83"/>
      <c r="AQ863" s="83"/>
      <c r="AR863" s="83"/>
      <c r="AS863" s="83"/>
      <c r="AT863" s="83"/>
      <c r="AU863" s="83"/>
      <c r="AV863" s="83"/>
      <c r="AW863" s="83"/>
      <c r="AX863" s="83"/>
      <c r="AY863" s="83"/>
      <c r="AZ863" s="83"/>
      <c r="BA863" s="83"/>
      <c r="BB863" s="83"/>
      <c r="BC863" s="83"/>
      <c r="BD863" s="83"/>
      <c r="BE863" s="83"/>
      <c r="BF863" s="83"/>
    </row>
    <row r="864" spans="1:58" s="14" customFormat="1" ht="14.15" customHeight="1">
      <c r="A864" s="404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  <c r="AA864" s="83"/>
      <c r="AB864" s="83"/>
      <c r="AC864" s="83"/>
      <c r="AD864" s="83"/>
      <c r="AE864" s="83"/>
      <c r="AF864" s="83"/>
      <c r="AG864" s="83"/>
      <c r="AH864" s="83"/>
      <c r="AI864" s="83"/>
      <c r="AJ864" s="83"/>
      <c r="AK864" s="83"/>
      <c r="AL864" s="83"/>
      <c r="AM864" s="83"/>
      <c r="AN864" s="83"/>
      <c r="AO864" s="83"/>
      <c r="AP864" s="83"/>
      <c r="AQ864" s="83"/>
      <c r="AR864" s="83"/>
      <c r="AS864" s="83"/>
      <c r="AT864" s="83"/>
      <c r="AU864" s="83"/>
      <c r="AV864" s="83"/>
      <c r="AW864" s="83"/>
      <c r="AX864" s="83"/>
      <c r="AY864" s="83"/>
      <c r="AZ864" s="83"/>
      <c r="BA864" s="83"/>
      <c r="BB864" s="83"/>
      <c r="BC864" s="83"/>
      <c r="BD864" s="83"/>
      <c r="BE864" s="83"/>
      <c r="BF864" s="83"/>
    </row>
    <row r="865" spans="1:58" s="14" customFormat="1" ht="14.15" customHeight="1">
      <c r="A865" s="404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  <c r="AA865" s="83"/>
      <c r="AB865" s="83"/>
      <c r="AC865" s="83"/>
      <c r="AD865" s="83"/>
      <c r="AE865" s="83"/>
      <c r="AF865" s="83"/>
      <c r="AG865" s="83"/>
      <c r="AH865" s="83"/>
      <c r="AI865" s="83"/>
      <c r="AJ865" s="83"/>
      <c r="AK865" s="83"/>
      <c r="AL865" s="83"/>
      <c r="AM865" s="83"/>
      <c r="AN865" s="83"/>
      <c r="AO865" s="83"/>
      <c r="AP865" s="83"/>
      <c r="AQ865" s="83"/>
      <c r="AR865" s="83"/>
      <c r="AS865" s="83"/>
      <c r="AT865" s="83"/>
      <c r="AU865" s="83"/>
      <c r="AV865" s="83"/>
      <c r="AW865" s="83"/>
      <c r="AX865" s="83"/>
      <c r="AY865" s="83"/>
      <c r="AZ865" s="83"/>
      <c r="BA865" s="83"/>
      <c r="BB865" s="83"/>
      <c r="BC865" s="83"/>
      <c r="BD865" s="83"/>
      <c r="BE865" s="83"/>
      <c r="BF865" s="83"/>
    </row>
    <row r="866" spans="1:58" s="14" customFormat="1" ht="14.15" customHeight="1">
      <c r="A866" s="404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  <c r="AA866" s="83"/>
      <c r="AB866" s="83"/>
      <c r="AC866" s="83"/>
      <c r="AD866" s="83"/>
      <c r="AE866" s="83"/>
      <c r="AF866" s="83"/>
      <c r="AG866" s="83"/>
      <c r="AH866" s="83"/>
      <c r="AI866" s="83"/>
      <c r="AJ866" s="83"/>
      <c r="AK866" s="83"/>
      <c r="AL866" s="83"/>
      <c r="AM866" s="83"/>
      <c r="AN866" s="83"/>
      <c r="AO866" s="83"/>
      <c r="AP866" s="83"/>
      <c r="AQ866" s="83"/>
      <c r="AR866" s="83"/>
      <c r="AS866" s="83"/>
      <c r="AT866" s="83"/>
      <c r="AU866" s="83"/>
      <c r="AV866" s="83"/>
      <c r="AW866" s="83"/>
      <c r="AX866" s="83"/>
      <c r="AY866" s="83"/>
      <c r="AZ866" s="83"/>
      <c r="BA866" s="83"/>
      <c r="BB866" s="83"/>
      <c r="BC866" s="83"/>
      <c r="BD866" s="83"/>
      <c r="BE866" s="83"/>
      <c r="BF866" s="83"/>
    </row>
    <row r="867" spans="1:58" s="14" customFormat="1" ht="14.15" customHeight="1">
      <c r="A867" s="404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  <c r="AA867" s="83"/>
      <c r="AB867" s="83"/>
      <c r="AC867" s="83"/>
      <c r="AD867" s="83"/>
      <c r="AE867" s="83"/>
      <c r="AF867" s="83"/>
      <c r="AG867" s="83"/>
      <c r="AH867" s="83"/>
      <c r="AI867" s="83"/>
      <c r="AJ867" s="83"/>
      <c r="AK867" s="83"/>
      <c r="AL867" s="83"/>
      <c r="AM867" s="83"/>
      <c r="AN867" s="83"/>
      <c r="AO867" s="83"/>
      <c r="AP867" s="83"/>
      <c r="AQ867" s="83"/>
      <c r="AR867" s="83"/>
      <c r="AS867" s="83"/>
      <c r="AT867" s="83"/>
      <c r="AU867" s="83"/>
      <c r="AV867" s="83"/>
      <c r="AW867" s="83"/>
      <c r="AX867" s="83"/>
      <c r="AY867" s="83"/>
      <c r="AZ867" s="83"/>
      <c r="BA867" s="83"/>
      <c r="BB867" s="83"/>
      <c r="BC867" s="83"/>
      <c r="BD867" s="83"/>
      <c r="BE867" s="83"/>
      <c r="BF867" s="83"/>
    </row>
    <row r="868" spans="1:58" s="14" customFormat="1" ht="14.15" customHeight="1">
      <c r="A868" s="404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  <c r="AA868" s="83"/>
      <c r="AB868" s="83"/>
      <c r="AC868" s="83"/>
      <c r="AD868" s="83"/>
      <c r="AE868" s="83"/>
      <c r="AF868" s="83"/>
      <c r="AG868" s="83"/>
      <c r="AH868" s="83"/>
      <c r="AI868" s="83"/>
      <c r="AJ868" s="83"/>
      <c r="AK868" s="83"/>
      <c r="AL868" s="83"/>
      <c r="AM868" s="83"/>
      <c r="AN868" s="83"/>
      <c r="AO868" s="83"/>
      <c r="AP868" s="83"/>
      <c r="AQ868" s="83"/>
      <c r="AR868" s="83"/>
      <c r="AS868" s="83"/>
      <c r="AT868" s="83"/>
      <c r="AU868" s="83"/>
      <c r="AV868" s="83"/>
      <c r="AW868" s="83"/>
      <c r="AX868" s="83"/>
      <c r="AY868" s="83"/>
      <c r="AZ868" s="83"/>
      <c r="BA868" s="83"/>
      <c r="BB868" s="83"/>
      <c r="BC868" s="83"/>
      <c r="BD868" s="83"/>
      <c r="BE868" s="83"/>
      <c r="BF868" s="83"/>
    </row>
    <row r="869" spans="1:58" s="14" customFormat="1" ht="14.15" customHeight="1">
      <c r="A869" s="404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  <c r="AA869" s="83"/>
      <c r="AB869" s="83"/>
      <c r="AC869" s="83"/>
      <c r="AD869" s="83"/>
      <c r="AE869" s="83"/>
      <c r="AF869" s="83"/>
      <c r="AG869" s="83"/>
      <c r="AH869" s="83"/>
      <c r="AI869" s="83"/>
      <c r="AJ869" s="83"/>
      <c r="AK869" s="83"/>
      <c r="AL869" s="83"/>
      <c r="AM869" s="83"/>
      <c r="AN869" s="83"/>
      <c r="AO869" s="83"/>
      <c r="AP869" s="83"/>
      <c r="AQ869" s="83"/>
      <c r="AR869" s="83"/>
      <c r="AS869" s="83"/>
      <c r="AT869" s="83"/>
      <c r="AU869" s="83"/>
      <c r="AV869" s="83"/>
      <c r="AW869" s="83"/>
      <c r="AX869" s="83"/>
      <c r="AY869" s="83"/>
      <c r="AZ869" s="83"/>
      <c r="BA869" s="83"/>
      <c r="BB869" s="83"/>
      <c r="BC869" s="83"/>
      <c r="BD869" s="83"/>
      <c r="BE869" s="83"/>
      <c r="BF869" s="83"/>
    </row>
    <row r="870" spans="1:58" s="14" customFormat="1" ht="14.15" customHeight="1">
      <c r="A870" s="404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  <c r="AA870" s="83"/>
      <c r="AB870" s="83"/>
      <c r="AC870" s="83"/>
      <c r="AD870" s="83"/>
      <c r="AE870" s="83"/>
      <c r="AF870" s="83"/>
      <c r="AG870" s="83"/>
      <c r="AH870" s="83"/>
      <c r="AI870" s="83"/>
      <c r="AJ870" s="83"/>
      <c r="AK870" s="83"/>
      <c r="AL870" s="83"/>
      <c r="AM870" s="83"/>
      <c r="AN870" s="83"/>
      <c r="AO870" s="83"/>
      <c r="AP870" s="83"/>
      <c r="AQ870" s="83"/>
      <c r="AR870" s="83"/>
      <c r="AS870" s="83"/>
      <c r="AT870" s="83"/>
      <c r="AU870" s="83"/>
      <c r="AV870" s="83"/>
      <c r="AW870" s="83"/>
      <c r="AX870" s="83"/>
      <c r="AY870" s="83"/>
      <c r="AZ870" s="83"/>
      <c r="BA870" s="83"/>
      <c r="BB870" s="83"/>
      <c r="BC870" s="83"/>
      <c r="BD870" s="83"/>
      <c r="BE870" s="83"/>
      <c r="BF870" s="83"/>
    </row>
    <row r="871" spans="1:58" s="14" customFormat="1" ht="14.15" customHeight="1">
      <c r="A871" s="404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  <c r="AA871" s="83"/>
      <c r="AB871" s="83"/>
      <c r="AC871" s="83"/>
      <c r="AD871" s="83"/>
      <c r="AE871" s="83"/>
      <c r="AF871" s="83"/>
      <c r="AG871" s="83"/>
      <c r="AH871" s="83"/>
      <c r="AI871" s="83"/>
      <c r="AJ871" s="83"/>
      <c r="AK871" s="83"/>
      <c r="AL871" s="83"/>
      <c r="AM871" s="83"/>
      <c r="AN871" s="83"/>
      <c r="AO871" s="83"/>
      <c r="AP871" s="83"/>
      <c r="AQ871" s="83"/>
      <c r="AR871" s="83"/>
      <c r="AS871" s="83"/>
      <c r="AT871" s="83"/>
      <c r="AU871" s="83"/>
      <c r="AV871" s="83"/>
      <c r="AW871" s="83"/>
      <c r="AX871" s="83"/>
      <c r="AY871" s="83"/>
      <c r="AZ871" s="83"/>
      <c r="BA871" s="83"/>
      <c r="BB871" s="83"/>
      <c r="BC871" s="83"/>
      <c r="BD871" s="83"/>
      <c r="BE871" s="83"/>
      <c r="BF871" s="83"/>
    </row>
    <row r="872" spans="1:58" s="14" customFormat="1" ht="14.15" customHeight="1">
      <c r="A872" s="404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  <c r="AA872" s="83"/>
      <c r="AB872" s="83"/>
      <c r="AC872" s="83"/>
      <c r="AD872" s="83"/>
      <c r="AE872" s="83"/>
      <c r="AF872" s="83"/>
      <c r="AG872" s="83"/>
      <c r="AH872" s="83"/>
      <c r="AI872" s="83"/>
      <c r="AJ872" s="83"/>
      <c r="AK872" s="83"/>
      <c r="AL872" s="83"/>
      <c r="AM872" s="83"/>
      <c r="AN872" s="83"/>
      <c r="AO872" s="83"/>
      <c r="AP872" s="83"/>
      <c r="AQ872" s="83"/>
      <c r="AR872" s="83"/>
      <c r="AS872" s="83"/>
      <c r="AT872" s="83"/>
      <c r="AU872" s="83"/>
      <c r="AV872" s="83"/>
      <c r="AW872" s="83"/>
      <c r="AX872" s="83"/>
      <c r="AY872" s="83"/>
      <c r="AZ872" s="83"/>
      <c r="BA872" s="83"/>
      <c r="BB872" s="83"/>
      <c r="BC872" s="83"/>
      <c r="BD872" s="83"/>
      <c r="BE872" s="83"/>
      <c r="BF872" s="83"/>
    </row>
    <row r="873" spans="1:58" s="14" customFormat="1" ht="14.15" customHeight="1">
      <c r="A873" s="404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  <c r="AA873" s="83"/>
      <c r="AB873" s="83"/>
      <c r="AC873" s="83"/>
      <c r="AD873" s="83"/>
      <c r="AE873" s="83"/>
      <c r="AF873" s="83"/>
      <c r="AG873" s="83"/>
      <c r="AH873" s="83"/>
      <c r="AI873" s="83"/>
      <c r="AJ873" s="83"/>
      <c r="AK873" s="83"/>
      <c r="AL873" s="83"/>
      <c r="AM873" s="83"/>
      <c r="AN873" s="83"/>
      <c r="AO873" s="83"/>
      <c r="AP873" s="83"/>
      <c r="AQ873" s="83"/>
      <c r="AR873" s="83"/>
      <c r="AS873" s="83"/>
      <c r="AT873" s="83"/>
      <c r="AU873" s="83"/>
      <c r="AV873" s="83"/>
      <c r="AW873" s="83"/>
      <c r="AX873" s="83"/>
      <c r="AY873" s="83"/>
      <c r="AZ873" s="83"/>
      <c r="BA873" s="83"/>
      <c r="BB873" s="83"/>
      <c r="BC873" s="83"/>
      <c r="BD873" s="83"/>
      <c r="BE873" s="83"/>
      <c r="BF873" s="83"/>
    </row>
    <row r="874" spans="1:58" s="14" customFormat="1" ht="14.15" customHeight="1">
      <c r="A874" s="404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  <c r="AA874" s="83"/>
      <c r="AB874" s="83"/>
      <c r="AC874" s="83"/>
      <c r="AD874" s="83"/>
      <c r="AE874" s="83"/>
      <c r="AF874" s="83"/>
      <c r="AG874" s="83"/>
      <c r="AH874" s="83"/>
      <c r="AI874" s="83"/>
      <c r="AJ874" s="83"/>
      <c r="AK874" s="83"/>
      <c r="AL874" s="83"/>
      <c r="AM874" s="83"/>
      <c r="AN874" s="83"/>
      <c r="AO874" s="83"/>
      <c r="AP874" s="83"/>
      <c r="AQ874" s="83"/>
      <c r="AR874" s="83"/>
      <c r="AS874" s="83"/>
      <c r="AT874" s="83"/>
      <c r="AU874" s="83"/>
      <c r="AV874" s="83"/>
      <c r="AW874" s="83"/>
      <c r="AX874" s="83"/>
      <c r="AY874" s="83"/>
      <c r="AZ874" s="83"/>
      <c r="BA874" s="83"/>
      <c r="BB874" s="83"/>
      <c r="BC874" s="83"/>
      <c r="BD874" s="83"/>
      <c r="BE874" s="83"/>
      <c r="BF874" s="83"/>
    </row>
    <row r="875" spans="1:58" s="14" customFormat="1" ht="14.15" customHeight="1">
      <c r="A875" s="404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  <c r="AA875" s="83"/>
      <c r="AB875" s="83"/>
      <c r="AC875" s="83"/>
      <c r="AD875" s="83"/>
      <c r="AE875" s="83"/>
      <c r="AF875" s="83"/>
      <c r="AG875" s="83"/>
      <c r="AH875" s="83"/>
      <c r="AI875" s="83"/>
      <c r="AJ875" s="83"/>
      <c r="AK875" s="83"/>
      <c r="AL875" s="83"/>
      <c r="AM875" s="83"/>
      <c r="AN875" s="83"/>
      <c r="AO875" s="83"/>
      <c r="AP875" s="83"/>
      <c r="AQ875" s="83"/>
      <c r="AR875" s="83"/>
      <c r="AS875" s="83"/>
      <c r="AT875" s="83"/>
      <c r="AU875" s="83"/>
      <c r="AV875" s="83"/>
      <c r="AW875" s="83"/>
      <c r="AX875" s="83"/>
      <c r="AY875" s="83"/>
      <c r="AZ875" s="83"/>
      <c r="BA875" s="83"/>
      <c r="BB875" s="83"/>
      <c r="BC875" s="83"/>
      <c r="BD875" s="83"/>
      <c r="BE875" s="83"/>
      <c r="BF875" s="83"/>
    </row>
    <row r="876" spans="1:58" s="14" customFormat="1" ht="14.15" customHeight="1">
      <c r="A876" s="404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  <c r="AA876" s="83"/>
      <c r="AB876" s="83"/>
      <c r="AC876" s="83"/>
      <c r="AD876" s="83"/>
      <c r="AE876" s="83"/>
      <c r="AF876" s="83"/>
      <c r="AG876" s="83"/>
      <c r="AH876" s="83"/>
      <c r="AI876" s="83"/>
      <c r="AJ876" s="83"/>
      <c r="AK876" s="83"/>
      <c r="AL876" s="83"/>
      <c r="AM876" s="83"/>
      <c r="AN876" s="83"/>
      <c r="AO876" s="83"/>
      <c r="AP876" s="83"/>
      <c r="AQ876" s="83"/>
      <c r="AR876" s="83"/>
      <c r="AS876" s="83"/>
      <c r="AT876" s="83"/>
      <c r="AU876" s="83"/>
      <c r="AV876" s="83"/>
      <c r="AW876" s="83"/>
      <c r="AX876" s="83"/>
      <c r="AY876" s="83"/>
      <c r="AZ876" s="83"/>
      <c r="BA876" s="83"/>
      <c r="BB876" s="83"/>
      <c r="BC876" s="83"/>
      <c r="BD876" s="83"/>
      <c r="BE876" s="83"/>
      <c r="BF876" s="83"/>
    </row>
    <row r="877" spans="1:58" s="14" customFormat="1" ht="14.15" customHeight="1">
      <c r="A877" s="404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  <c r="AA877" s="83"/>
      <c r="AB877" s="83"/>
      <c r="AC877" s="83"/>
      <c r="AD877" s="83"/>
      <c r="AE877" s="83"/>
      <c r="AF877" s="83"/>
      <c r="AG877" s="83"/>
      <c r="AH877" s="83"/>
      <c r="AI877" s="83"/>
      <c r="AJ877" s="83"/>
      <c r="AK877" s="83"/>
      <c r="AL877" s="83"/>
      <c r="AM877" s="83"/>
      <c r="AN877" s="83"/>
      <c r="AO877" s="83"/>
      <c r="AP877" s="83"/>
      <c r="AQ877" s="83"/>
      <c r="AR877" s="83"/>
      <c r="AS877" s="83"/>
      <c r="AT877" s="83"/>
      <c r="AU877" s="83"/>
      <c r="AV877" s="83"/>
      <c r="AW877" s="83"/>
      <c r="AX877" s="83"/>
      <c r="AY877" s="83"/>
      <c r="AZ877" s="83"/>
      <c r="BA877" s="83"/>
      <c r="BB877" s="83"/>
      <c r="BC877" s="83"/>
      <c r="BD877" s="83"/>
      <c r="BE877" s="83"/>
      <c r="BF877" s="83"/>
    </row>
    <row r="878" spans="1:58" s="14" customFormat="1" ht="14.15" customHeight="1">
      <c r="A878" s="404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  <c r="AA878" s="83"/>
      <c r="AB878" s="83"/>
      <c r="AC878" s="83"/>
      <c r="AD878" s="83"/>
      <c r="AE878" s="83"/>
      <c r="AF878" s="83"/>
      <c r="AG878" s="83"/>
      <c r="AH878" s="83"/>
      <c r="AI878" s="83"/>
      <c r="AJ878" s="83"/>
      <c r="AK878" s="83"/>
      <c r="AL878" s="83"/>
      <c r="AM878" s="83"/>
      <c r="AN878" s="83"/>
      <c r="AO878" s="83"/>
      <c r="AP878" s="83"/>
      <c r="AQ878" s="83"/>
      <c r="AR878" s="83"/>
      <c r="AS878" s="83"/>
      <c r="AT878" s="83"/>
      <c r="AU878" s="83"/>
      <c r="AV878" s="83"/>
      <c r="AW878" s="83"/>
      <c r="AX878" s="83"/>
      <c r="AY878" s="83"/>
      <c r="AZ878" s="83"/>
      <c r="BA878" s="83"/>
      <c r="BB878" s="83"/>
      <c r="BC878" s="83"/>
      <c r="BD878" s="83"/>
      <c r="BE878" s="83"/>
      <c r="BF878" s="83"/>
    </row>
    <row r="879" spans="1:58" s="14" customFormat="1" ht="14.15" customHeight="1">
      <c r="A879" s="404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  <c r="AA879" s="83"/>
      <c r="AB879" s="83"/>
      <c r="AC879" s="83"/>
      <c r="AD879" s="83"/>
      <c r="AE879" s="83"/>
      <c r="AF879" s="83"/>
      <c r="AG879" s="83"/>
      <c r="AH879" s="83"/>
      <c r="AI879" s="83"/>
      <c r="AJ879" s="83"/>
      <c r="AK879" s="83"/>
      <c r="AL879" s="83"/>
      <c r="AM879" s="83"/>
      <c r="AN879" s="83"/>
      <c r="AO879" s="83"/>
      <c r="AP879" s="83"/>
      <c r="AQ879" s="83"/>
      <c r="AR879" s="83"/>
      <c r="AS879" s="83"/>
      <c r="AT879" s="83"/>
      <c r="AU879" s="83"/>
      <c r="AV879" s="83"/>
      <c r="AW879" s="83"/>
      <c r="AX879" s="83"/>
      <c r="AY879" s="83"/>
      <c r="AZ879" s="83"/>
      <c r="BA879" s="83"/>
      <c r="BB879" s="83"/>
      <c r="BC879" s="83"/>
      <c r="BD879" s="83"/>
      <c r="BE879" s="83"/>
      <c r="BF879" s="83"/>
    </row>
    <row r="880" spans="1:58" s="14" customFormat="1" ht="14.15" customHeight="1">
      <c r="A880" s="404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  <c r="AA880" s="83"/>
      <c r="AB880" s="83"/>
      <c r="AC880" s="83"/>
      <c r="AD880" s="83"/>
      <c r="AE880" s="83"/>
      <c r="AF880" s="83"/>
      <c r="AG880" s="83"/>
      <c r="AH880" s="83"/>
      <c r="AI880" s="83"/>
      <c r="AJ880" s="83"/>
      <c r="AK880" s="83"/>
      <c r="AL880" s="83"/>
      <c r="AM880" s="83"/>
      <c r="AN880" s="83"/>
      <c r="AO880" s="83"/>
      <c r="AP880" s="83"/>
      <c r="AQ880" s="83"/>
      <c r="AR880" s="83"/>
      <c r="AS880" s="83"/>
      <c r="AT880" s="83"/>
      <c r="AU880" s="83"/>
      <c r="AV880" s="83"/>
      <c r="AW880" s="83"/>
      <c r="AX880" s="83"/>
      <c r="AY880" s="83"/>
      <c r="AZ880" s="83"/>
      <c r="BA880" s="83"/>
      <c r="BB880" s="83"/>
      <c r="BC880" s="83"/>
      <c r="BD880" s="83"/>
      <c r="BE880" s="83"/>
      <c r="BF880" s="83"/>
    </row>
    <row r="881" spans="1:58" s="14" customFormat="1" ht="14.15" customHeight="1">
      <c r="A881" s="404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  <c r="AA881" s="83"/>
      <c r="AB881" s="83"/>
      <c r="AC881" s="83"/>
      <c r="AD881" s="83"/>
      <c r="AE881" s="83"/>
      <c r="AF881" s="83"/>
      <c r="AG881" s="83"/>
      <c r="AH881" s="83"/>
      <c r="AI881" s="83"/>
      <c r="AJ881" s="83"/>
      <c r="AK881" s="83"/>
      <c r="AL881" s="83"/>
      <c r="AM881" s="83"/>
      <c r="AN881" s="83"/>
      <c r="AO881" s="83"/>
      <c r="AP881" s="83"/>
      <c r="AQ881" s="83"/>
      <c r="AR881" s="83"/>
      <c r="AS881" s="83"/>
      <c r="AT881" s="83"/>
      <c r="AU881" s="83"/>
      <c r="AV881" s="83"/>
      <c r="AW881" s="83"/>
      <c r="AX881" s="83"/>
      <c r="AY881" s="83"/>
      <c r="AZ881" s="83"/>
      <c r="BA881" s="83"/>
      <c r="BB881" s="83"/>
      <c r="BC881" s="83"/>
      <c r="BD881" s="83"/>
      <c r="BE881" s="83"/>
      <c r="BF881" s="83"/>
    </row>
    <row r="882" spans="1:58" s="14" customFormat="1" ht="14.15" customHeight="1">
      <c r="A882" s="404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  <c r="AA882" s="83"/>
      <c r="AB882" s="83"/>
      <c r="AC882" s="83"/>
      <c r="AD882" s="83"/>
      <c r="AE882" s="83"/>
      <c r="AF882" s="83"/>
      <c r="AG882" s="83"/>
      <c r="AH882" s="83"/>
      <c r="AI882" s="83"/>
      <c r="AJ882" s="83"/>
      <c r="AK882" s="83"/>
      <c r="AL882" s="83"/>
      <c r="AM882" s="83"/>
      <c r="AN882" s="83"/>
      <c r="AO882" s="83"/>
      <c r="AP882" s="83"/>
      <c r="AQ882" s="83"/>
      <c r="AR882" s="83"/>
      <c r="AS882" s="83"/>
      <c r="AT882" s="83"/>
      <c r="AU882" s="83"/>
      <c r="AV882" s="83"/>
      <c r="AW882" s="83"/>
      <c r="AX882" s="83"/>
      <c r="AY882" s="83"/>
      <c r="AZ882" s="83"/>
      <c r="BA882" s="83"/>
      <c r="BB882" s="83"/>
      <c r="BC882" s="83"/>
      <c r="BD882" s="83"/>
      <c r="BE882" s="83"/>
      <c r="BF882" s="83"/>
    </row>
    <row r="883" spans="1:58" s="14" customFormat="1" ht="14.15" customHeight="1">
      <c r="A883" s="404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  <c r="AA883" s="83"/>
      <c r="AB883" s="83"/>
      <c r="AC883" s="83"/>
      <c r="AD883" s="83"/>
      <c r="AE883" s="83"/>
      <c r="AF883" s="83"/>
      <c r="AG883" s="83"/>
      <c r="AH883" s="83"/>
      <c r="AI883" s="83"/>
      <c r="AJ883" s="83"/>
      <c r="AK883" s="83"/>
      <c r="AL883" s="83"/>
      <c r="AM883" s="83"/>
      <c r="AN883" s="83"/>
      <c r="AO883" s="83"/>
      <c r="AP883" s="83"/>
      <c r="AQ883" s="83"/>
      <c r="AR883" s="83"/>
      <c r="AS883" s="83"/>
      <c r="AT883" s="83"/>
      <c r="AU883" s="83"/>
      <c r="AV883" s="83"/>
      <c r="AW883" s="83"/>
      <c r="AX883" s="83"/>
      <c r="AY883" s="83"/>
      <c r="AZ883" s="83"/>
      <c r="BA883" s="83"/>
      <c r="BB883" s="83"/>
      <c r="BC883" s="83"/>
      <c r="BD883" s="83"/>
      <c r="BE883" s="83"/>
      <c r="BF883" s="83"/>
    </row>
    <row r="884" spans="1:58" s="14" customFormat="1" ht="14.15" customHeight="1">
      <c r="A884" s="404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  <c r="AA884" s="83"/>
      <c r="AB884" s="83"/>
      <c r="AC884" s="83"/>
      <c r="AD884" s="83"/>
      <c r="AE884" s="83"/>
      <c r="AF884" s="83"/>
      <c r="AG884" s="83"/>
      <c r="AH884" s="83"/>
      <c r="AI884" s="83"/>
      <c r="AJ884" s="83"/>
      <c r="AK884" s="83"/>
      <c r="AL884" s="83"/>
      <c r="AM884" s="83"/>
      <c r="AN884" s="83"/>
      <c r="AO884" s="83"/>
      <c r="AP884" s="83"/>
      <c r="AQ884" s="83"/>
      <c r="AR884" s="83"/>
      <c r="AS884" s="83"/>
      <c r="AT884" s="83"/>
      <c r="AU884" s="83"/>
      <c r="AV884" s="83"/>
      <c r="AW884" s="83"/>
      <c r="AX884" s="83"/>
      <c r="AY884" s="83"/>
      <c r="AZ884" s="83"/>
      <c r="BA884" s="83"/>
      <c r="BB884" s="83"/>
      <c r="BC884" s="83"/>
      <c r="BD884" s="83"/>
      <c r="BE884" s="83"/>
      <c r="BF884" s="83"/>
    </row>
    <row r="885" spans="1:58" s="14" customFormat="1" ht="14.15" customHeight="1">
      <c r="A885" s="404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  <c r="AA885" s="83"/>
      <c r="AB885" s="83"/>
      <c r="AC885" s="83"/>
      <c r="AD885" s="83"/>
      <c r="AE885" s="83"/>
      <c r="AF885" s="83"/>
      <c r="AG885" s="83"/>
      <c r="AH885" s="83"/>
      <c r="AI885" s="83"/>
      <c r="AJ885" s="83"/>
      <c r="AK885" s="83"/>
      <c r="AL885" s="83"/>
      <c r="AM885" s="83"/>
      <c r="AN885" s="83"/>
      <c r="AO885" s="83"/>
      <c r="AP885" s="83"/>
      <c r="AQ885" s="83"/>
      <c r="AR885" s="83"/>
      <c r="AS885" s="83"/>
      <c r="AT885" s="83"/>
      <c r="AU885" s="83"/>
      <c r="AV885" s="83"/>
      <c r="AW885" s="83"/>
      <c r="AX885" s="83"/>
      <c r="AY885" s="83"/>
      <c r="AZ885" s="83"/>
      <c r="BA885" s="83"/>
      <c r="BB885" s="83"/>
      <c r="BC885" s="83"/>
      <c r="BD885" s="83"/>
      <c r="BE885" s="83"/>
      <c r="BF885" s="83"/>
    </row>
    <row r="886" spans="1:58" s="14" customFormat="1" ht="14.15" customHeight="1">
      <c r="A886" s="404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  <c r="AA886" s="83"/>
      <c r="AB886" s="83"/>
      <c r="AC886" s="83"/>
      <c r="AD886" s="83"/>
      <c r="AE886" s="83"/>
      <c r="AF886" s="83"/>
      <c r="AG886" s="83"/>
      <c r="AH886" s="83"/>
      <c r="AI886" s="83"/>
      <c r="AJ886" s="83"/>
      <c r="AK886" s="83"/>
      <c r="AL886" s="83"/>
      <c r="AM886" s="83"/>
      <c r="AN886" s="83"/>
      <c r="AO886" s="83"/>
      <c r="AP886" s="83"/>
      <c r="AQ886" s="83"/>
      <c r="AR886" s="83"/>
      <c r="AS886" s="83"/>
      <c r="AT886" s="83"/>
      <c r="AU886" s="83"/>
      <c r="AV886" s="83"/>
      <c r="AW886" s="83"/>
      <c r="AX886" s="83"/>
      <c r="AY886" s="83"/>
      <c r="AZ886" s="83"/>
      <c r="BA886" s="83"/>
      <c r="BB886" s="83"/>
      <c r="BC886" s="83"/>
      <c r="BD886" s="83"/>
      <c r="BE886" s="83"/>
      <c r="BF886" s="83"/>
    </row>
    <row r="887" spans="1:58" s="14" customFormat="1" ht="14.15" customHeight="1">
      <c r="A887" s="404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  <c r="AA887" s="83"/>
      <c r="AB887" s="83"/>
      <c r="AC887" s="83"/>
      <c r="AD887" s="83"/>
      <c r="AE887" s="83"/>
      <c r="AF887" s="83"/>
      <c r="AG887" s="83"/>
      <c r="AH887" s="83"/>
      <c r="AI887" s="83"/>
      <c r="AJ887" s="83"/>
      <c r="AK887" s="83"/>
      <c r="AL887" s="83"/>
      <c r="AM887" s="83"/>
      <c r="AN887" s="83"/>
      <c r="AO887" s="83"/>
      <c r="AP887" s="83"/>
      <c r="AQ887" s="83"/>
      <c r="AR887" s="83"/>
      <c r="AS887" s="83"/>
      <c r="AT887" s="83"/>
      <c r="AU887" s="83"/>
      <c r="AV887" s="83"/>
      <c r="AW887" s="83"/>
      <c r="AX887" s="83"/>
      <c r="AY887" s="83"/>
      <c r="AZ887" s="83"/>
      <c r="BA887" s="83"/>
      <c r="BB887" s="83"/>
      <c r="BC887" s="83"/>
      <c r="BD887" s="83"/>
      <c r="BE887" s="83"/>
      <c r="BF887" s="83"/>
    </row>
    <row r="888" spans="1:58" s="14" customFormat="1" ht="14.15" customHeight="1">
      <c r="A888" s="404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  <c r="AA888" s="83"/>
      <c r="AB888" s="83"/>
      <c r="AC888" s="83"/>
      <c r="AD888" s="83"/>
      <c r="AE888" s="83"/>
      <c r="AF888" s="83"/>
      <c r="AG888" s="83"/>
      <c r="AH888" s="83"/>
      <c r="AI888" s="83"/>
      <c r="AJ888" s="83"/>
      <c r="AK888" s="83"/>
      <c r="AL888" s="83"/>
      <c r="AM888" s="83"/>
      <c r="AN888" s="83"/>
      <c r="AO888" s="83"/>
      <c r="AP888" s="83"/>
      <c r="AQ888" s="83"/>
      <c r="AR888" s="83"/>
      <c r="AS888" s="83"/>
      <c r="AT888" s="83"/>
      <c r="AU888" s="83"/>
      <c r="AV888" s="83"/>
      <c r="AW888" s="83"/>
      <c r="AX888" s="83"/>
      <c r="AY888" s="83"/>
      <c r="AZ888" s="83"/>
      <c r="BA888" s="83"/>
      <c r="BB888" s="83"/>
      <c r="BC888" s="83"/>
      <c r="BD888" s="83"/>
      <c r="BE888" s="83"/>
      <c r="BF888" s="83"/>
    </row>
    <row r="889" spans="1:58" s="14" customFormat="1" ht="14.15" customHeight="1">
      <c r="A889" s="404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  <c r="AA889" s="83"/>
      <c r="AB889" s="83"/>
      <c r="AC889" s="83"/>
      <c r="AD889" s="83"/>
      <c r="AE889" s="83"/>
      <c r="AF889" s="83"/>
      <c r="AG889" s="83"/>
      <c r="AH889" s="83"/>
      <c r="AI889" s="83"/>
      <c r="AJ889" s="83"/>
      <c r="AK889" s="83"/>
      <c r="AL889" s="83"/>
      <c r="AM889" s="83"/>
      <c r="AN889" s="83"/>
      <c r="AO889" s="83"/>
      <c r="AP889" s="83"/>
      <c r="AQ889" s="83"/>
      <c r="AR889" s="83"/>
      <c r="AS889" s="83"/>
      <c r="AT889" s="83"/>
      <c r="AU889" s="83"/>
      <c r="AV889" s="83"/>
      <c r="AW889" s="83"/>
      <c r="AX889" s="83"/>
      <c r="AY889" s="83"/>
      <c r="AZ889" s="83"/>
      <c r="BA889" s="83"/>
      <c r="BB889" s="83"/>
      <c r="BC889" s="83"/>
      <c r="BD889" s="83"/>
      <c r="BE889" s="83"/>
      <c r="BF889" s="83"/>
    </row>
    <row r="890" spans="1:58" s="14" customFormat="1" ht="14.15" customHeight="1">
      <c r="A890" s="404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  <c r="AA890" s="83"/>
      <c r="AB890" s="83"/>
      <c r="AC890" s="83"/>
      <c r="AD890" s="83"/>
      <c r="AE890" s="83"/>
      <c r="AF890" s="83"/>
      <c r="AG890" s="83"/>
      <c r="AH890" s="83"/>
      <c r="AI890" s="83"/>
      <c r="AJ890" s="83"/>
      <c r="AK890" s="83"/>
      <c r="AL890" s="83"/>
      <c r="AM890" s="83"/>
      <c r="AN890" s="83"/>
      <c r="AO890" s="83"/>
      <c r="AP890" s="83"/>
      <c r="AQ890" s="83"/>
      <c r="AR890" s="83"/>
      <c r="AS890" s="83"/>
      <c r="AT890" s="83"/>
      <c r="AU890" s="83"/>
      <c r="AV890" s="83"/>
      <c r="AW890" s="83"/>
      <c r="AX890" s="83"/>
      <c r="AY890" s="83"/>
      <c r="AZ890" s="83"/>
      <c r="BA890" s="83"/>
      <c r="BB890" s="83"/>
      <c r="BC890" s="83"/>
      <c r="BD890" s="83"/>
      <c r="BE890" s="83"/>
      <c r="BF890" s="83"/>
    </row>
    <row r="891" spans="1:58" s="14" customFormat="1" ht="14.15" customHeight="1">
      <c r="A891" s="404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  <c r="AA891" s="83"/>
      <c r="AB891" s="83"/>
      <c r="AC891" s="83"/>
      <c r="AD891" s="83"/>
      <c r="AE891" s="83"/>
      <c r="AF891" s="83"/>
      <c r="AG891" s="83"/>
      <c r="AH891" s="83"/>
      <c r="AI891" s="83"/>
      <c r="AJ891" s="83"/>
      <c r="AK891" s="83"/>
      <c r="AL891" s="83"/>
      <c r="AM891" s="83"/>
      <c r="AN891" s="83"/>
      <c r="AO891" s="83"/>
      <c r="AP891" s="83"/>
      <c r="AQ891" s="83"/>
      <c r="AR891" s="83"/>
      <c r="AS891" s="83"/>
      <c r="AT891" s="83"/>
      <c r="AU891" s="83"/>
      <c r="AV891" s="83"/>
      <c r="AW891" s="83"/>
      <c r="AX891" s="83"/>
      <c r="AY891" s="83"/>
      <c r="AZ891" s="83"/>
      <c r="BA891" s="83"/>
      <c r="BB891" s="83"/>
      <c r="BC891" s="83"/>
      <c r="BD891" s="83"/>
      <c r="BE891" s="83"/>
      <c r="BF891" s="83"/>
    </row>
    <row r="892" spans="1:58" s="14" customFormat="1" ht="14.15" customHeight="1">
      <c r="A892" s="404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  <c r="AA892" s="83"/>
      <c r="AB892" s="83"/>
      <c r="AC892" s="83"/>
      <c r="AD892" s="83"/>
      <c r="AE892" s="83"/>
      <c r="AF892" s="83"/>
      <c r="AG892" s="83"/>
      <c r="AH892" s="83"/>
      <c r="AI892" s="83"/>
      <c r="AJ892" s="83"/>
      <c r="AK892" s="83"/>
      <c r="AL892" s="83"/>
      <c r="AM892" s="83"/>
      <c r="AN892" s="83"/>
      <c r="AO892" s="83"/>
      <c r="AP892" s="83"/>
      <c r="AQ892" s="83"/>
      <c r="AR892" s="83"/>
      <c r="AS892" s="83"/>
      <c r="AT892" s="83"/>
      <c r="AU892" s="83"/>
      <c r="AV892" s="83"/>
      <c r="AW892" s="83"/>
      <c r="AX892" s="83"/>
      <c r="AY892" s="83"/>
      <c r="AZ892" s="83"/>
      <c r="BA892" s="83"/>
      <c r="BB892" s="83"/>
      <c r="BC892" s="83"/>
      <c r="BD892" s="83"/>
      <c r="BE892" s="83"/>
      <c r="BF892" s="83"/>
    </row>
    <row r="893" spans="1:58" s="14" customFormat="1" ht="14.15" customHeight="1">
      <c r="A893" s="404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  <c r="AA893" s="83"/>
      <c r="AB893" s="83"/>
      <c r="AC893" s="83"/>
      <c r="AD893" s="83"/>
      <c r="AE893" s="83"/>
      <c r="AF893" s="83"/>
      <c r="AG893" s="83"/>
      <c r="AH893" s="83"/>
      <c r="AI893" s="83"/>
      <c r="AJ893" s="83"/>
      <c r="AK893" s="83"/>
      <c r="AL893" s="83"/>
      <c r="AM893" s="83"/>
      <c r="AN893" s="83"/>
      <c r="AO893" s="83"/>
      <c r="AP893" s="83"/>
      <c r="AQ893" s="83"/>
      <c r="AR893" s="83"/>
      <c r="AS893" s="83"/>
      <c r="AT893" s="83"/>
      <c r="AU893" s="83"/>
      <c r="AV893" s="83"/>
      <c r="AW893" s="83"/>
      <c r="AX893" s="83"/>
      <c r="AY893" s="83"/>
      <c r="AZ893" s="83"/>
      <c r="BA893" s="83"/>
      <c r="BB893" s="83"/>
      <c r="BC893" s="83"/>
      <c r="BD893" s="83"/>
      <c r="BE893" s="83"/>
      <c r="BF893" s="83"/>
    </row>
    <row r="894" spans="1:58" s="14" customFormat="1" ht="14.15" customHeight="1">
      <c r="A894" s="404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  <c r="AA894" s="83"/>
      <c r="AB894" s="83"/>
      <c r="AC894" s="83"/>
      <c r="AD894" s="83"/>
      <c r="AE894" s="83"/>
      <c r="AF894" s="83"/>
      <c r="AG894" s="83"/>
      <c r="AH894" s="83"/>
      <c r="AI894" s="83"/>
      <c r="AJ894" s="83"/>
      <c r="AK894" s="83"/>
      <c r="AL894" s="83"/>
      <c r="AM894" s="83"/>
      <c r="AN894" s="83"/>
      <c r="AO894" s="83"/>
      <c r="AP894" s="83"/>
      <c r="AQ894" s="83"/>
      <c r="AR894" s="83"/>
      <c r="AS894" s="83"/>
      <c r="AT894" s="83"/>
      <c r="AU894" s="83"/>
      <c r="AV894" s="83"/>
      <c r="AW894" s="83"/>
      <c r="AX894" s="83"/>
      <c r="AY894" s="83"/>
      <c r="AZ894" s="83"/>
      <c r="BA894" s="83"/>
      <c r="BB894" s="83"/>
      <c r="BC894" s="83"/>
      <c r="BD894" s="83"/>
      <c r="BE894" s="83"/>
      <c r="BF894" s="83"/>
    </row>
    <row r="895" spans="1:58" s="14" customFormat="1" ht="14.15" customHeight="1">
      <c r="A895" s="404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  <c r="AA895" s="83"/>
      <c r="AB895" s="83"/>
      <c r="AC895" s="83"/>
      <c r="AD895" s="83"/>
      <c r="AE895" s="83"/>
      <c r="AF895" s="83"/>
      <c r="AG895" s="83"/>
      <c r="AH895" s="83"/>
      <c r="AI895" s="83"/>
      <c r="AJ895" s="83"/>
      <c r="AK895" s="83"/>
      <c r="AL895" s="83"/>
      <c r="AM895" s="83"/>
      <c r="AN895" s="83"/>
      <c r="AO895" s="83"/>
      <c r="AP895" s="83"/>
      <c r="AQ895" s="83"/>
      <c r="AR895" s="83"/>
      <c r="AS895" s="83"/>
      <c r="AT895" s="83"/>
      <c r="AU895" s="83"/>
      <c r="AV895" s="83"/>
      <c r="AW895" s="83"/>
      <c r="AX895" s="83"/>
      <c r="AY895" s="83"/>
      <c r="AZ895" s="83"/>
      <c r="BA895" s="83"/>
      <c r="BB895" s="83"/>
      <c r="BC895" s="83"/>
      <c r="BD895" s="83"/>
      <c r="BE895" s="83"/>
      <c r="BF895" s="83"/>
    </row>
    <row r="896" spans="1:58" s="14" customFormat="1" ht="14.15" customHeight="1">
      <c r="A896" s="404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  <c r="AA896" s="83"/>
      <c r="AB896" s="83"/>
      <c r="AC896" s="83"/>
      <c r="AD896" s="83"/>
      <c r="AE896" s="83"/>
      <c r="AF896" s="83"/>
      <c r="AG896" s="83"/>
      <c r="AH896" s="83"/>
      <c r="AI896" s="83"/>
      <c r="AJ896" s="83"/>
      <c r="AK896" s="83"/>
      <c r="AL896" s="83"/>
      <c r="AM896" s="83"/>
      <c r="AN896" s="83"/>
      <c r="AO896" s="83"/>
      <c r="AP896" s="83"/>
      <c r="AQ896" s="83"/>
      <c r="AR896" s="83"/>
      <c r="AS896" s="83"/>
      <c r="AT896" s="83"/>
      <c r="AU896" s="83"/>
      <c r="AV896" s="83"/>
      <c r="AW896" s="83"/>
      <c r="AX896" s="83"/>
      <c r="AY896" s="83"/>
      <c r="AZ896" s="83"/>
      <c r="BA896" s="83"/>
      <c r="BB896" s="83"/>
      <c r="BC896" s="83"/>
      <c r="BD896" s="83"/>
      <c r="BE896" s="83"/>
      <c r="BF896" s="83"/>
    </row>
    <row r="897" spans="1:58" s="14" customFormat="1" ht="14.15" customHeight="1">
      <c r="A897" s="404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  <c r="AA897" s="83"/>
      <c r="AB897" s="83"/>
      <c r="AC897" s="83"/>
      <c r="AD897" s="83"/>
      <c r="AE897" s="83"/>
      <c r="AF897" s="83"/>
      <c r="AG897" s="83"/>
      <c r="AH897" s="83"/>
      <c r="AI897" s="83"/>
      <c r="AJ897" s="83"/>
      <c r="AK897" s="83"/>
      <c r="AL897" s="83"/>
      <c r="AM897" s="83"/>
      <c r="AN897" s="83"/>
      <c r="AO897" s="83"/>
      <c r="AP897" s="83"/>
      <c r="AQ897" s="83"/>
      <c r="AR897" s="83"/>
      <c r="AS897" s="83"/>
      <c r="AT897" s="83"/>
      <c r="AU897" s="83"/>
      <c r="AV897" s="83"/>
      <c r="AW897" s="83"/>
      <c r="AX897" s="83"/>
      <c r="AY897" s="83"/>
      <c r="AZ897" s="83"/>
      <c r="BA897" s="83"/>
      <c r="BB897" s="83"/>
      <c r="BC897" s="83"/>
      <c r="BD897" s="83"/>
      <c r="BE897" s="83"/>
      <c r="BF897" s="83"/>
    </row>
    <row r="898" spans="1:58" s="14" customFormat="1" ht="14.15" customHeight="1">
      <c r="A898" s="404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  <c r="AA898" s="83"/>
      <c r="AB898" s="83"/>
      <c r="AC898" s="83"/>
      <c r="AD898" s="83"/>
      <c r="AE898" s="83"/>
      <c r="AF898" s="83"/>
      <c r="AG898" s="83"/>
      <c r="AH898" s="83"/>
      <c r="AI898" s="83"/>
      <c r="AJ898" s="83"/>
      <c r="AK898" s="83"/>
      <c r="AL898" s="83"/>
      <c r="AM898" s="83"/>
      <c r="AN898" s="83"/>
      <c r="AO898" s="83"/>
      <c r="AP898" s="83"/>
      <c r="AQ898" s="83"/>
      <c r="AR898" s="83"/>
      <c r="AS898" s="83"/>
      <c r="AT898" s="83"/>
      <c r="AU898" s="83"/>
      <c r="AV898" s="83"/>
      <c r="AW898" s="83"/>
      <c r="AX898" s="83"/>
      <c r="AY898" s="83"/>
      <c r="AZ898" s="83"/>
      <c r="BA898" s="83"/>
      <c r="BB898" s="83"/>
      <c r="BC898" s="83"/>
      <c r="BD898" s="83"/>
      <c r="BE898" s="83"/>
      <c r="BF898" s="83"/>
    </row>
    <row r="899" spans="1:58" s="14" customFormat="1" ht="14.15" customHeight="1">
      <c r="A899" s="404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  <c r="AA899" s="83"/>
      <c r="AB899" s="83"/>
      <c r="AC899" s="83"/>
      <c r="AD899" s="83"/>
      <c r="AE899" s="83"/>
      <c r="AF899" s="83"/>
      <c r="AG899" s="83"/>
      <c r="AH899" s="83"/>
      <c r="AI899" s="83"/>
      <c r="AJ899" s="83"/>
      <c r="AK899" s="83"/>
      <c r="AL899" s="83"/>
      <c r="AM899" s="83"/>
      <c r="AN899" s="83"/>
      <c r="AO899" s="83"/>
      <c r="AP899" s="83"/>
      <c r="AQ899" s="83"/>
      <c r="AR899" s="83"/>
      <c r="AS899" s="83"/>
      <c r="AT899" s="83"/>
      <c r="AU899" s="83"/>
      <c r="AV899" s="83"/>
      <c r="AW899" s="83"/>
      <c r="AX899" s="83"/>
      <c r="AY899" s="83"/>
      <c r="AZ899" s="83"/>
      <c r="BA899" s="83"/>
      <c r="BB899" s="83"/>
      <c r="BC899" s="83"/>
      <c r="BD899" s="83"/>
      <c r="BE899" s="83"/>
      <c r="BF899" s="83"/>
    </row>
    <row r="900" spans="1:58" s="14" customFormat="1" ht="14.15" customHeight="1">
      <c r="A900" s="404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  <c r="AA900" s="83"/>
      <c r="AB900" s="83"/>
      <c r="AC900" s="83"/>
      <c r="AD900" s="83"/>
      <c r="AE900" s="83"/>
      <c r="AF900" s="83"/>
      <c r="AG900" s="83"/>
      <c r="AH900" s="83"/>
      <c r="AI900" s="83"/>
      <c r="AJ900" s="83"/>
      <c r="AK900" s="83"/>
      <c r="AL900" s="83"/>
      <c r="AM900" s="83"/>
      <c r="AN900" s="83"/>
      <c r="AO900" s="83"/>
      <c r="AP900" s="83"/>
      <c r="AQ900" s="83"/>
      <c r="AR900" s="83"/>
      <c r="AS900" s="83"/>
      <c r="AT900" s="83"/>
      <c r="AU900" s="83"/>
      <c r="AV900" s="83"/>
      <c r="AW900" s="83"/>
      <c r="AX900" s="83"/>
      <c r="AY900" s="83"/>
      <c r="AZ900" s="83"/>
      <c r="BA900" s="83"/>
      <c r="BB900" s="83"/>
      <c r="BC900" s="83"/>
      <c r="BD900" s="83"/>
      <c r="BE900" s="83"/>
      <c r="BF900" s="83"/>
    </row>
    <row r="901" spans="1:58" s="14" customFormat="1" ht="14.15" customHeight="1">
      <c r="A901" s="404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  <c r="AA901" s="83"/>
      <c r="AB901" s="83"/>
      <c r="AC901" s="83"/>
      <c r="AD901" s="83"/>
      <c r="AE901" s="83"/>
      <c r="AF901" s="83"/>
      <c r="AG901" s="83"/>
      <c r="AH901" s="83"/>
      <c r="AI901" s="83"/>
      <c r="AJ901" s="83"/>
      <c r="AK901" s="83"/>
      <c r="AL901" s="83"/>
      <c r="AM901" s="83"/>
      <c r="AN901" s="83"/>
      <c r="AO901" s="83"/>
      <c r="AP901" s="83"/>
      <c r="AQ901" s="83"/>
      <c r="AR901" s="83"/>
      <c r="AS901" s="83"/>
      <c r="AT901" s="83"/>
      <c r="AU901" s="83"/>
      <c r="AV901" s="83"/>
      <c r="AW901" s="83"/>
      <c r="AX901" s="83"/>
      <c r="AY901" s="83"/>
      <c r="AZ901" s="83"/>
      <c r="BA901" s="83"/>
      <c r="BB901" s="83"/>
      <c r="BC901" s="83"/>
      <c r="BD901" s="83"/>
      <c r="BE901" s="83"/>
      <c r="BF901" s="83"/>
    </row>
    <row r="902" spans="1:58" s="14" customFormat="1" ht="14.15" customHeight="1">
      <c r="A902" s="404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  <c r="AA902" s="83"/>
      <c r="AB902" s="83"/>
      <c r="AC902" s="83"/>
      <c r="AD902" s="83"/>
      <c r="AE902" s="83"/>
      <c r="AF902" s="83"/>
      <c r="AG902" s="83"/>
      <c r="AH902" s="83"/>
      <c r="AI902" s="83"/>
      <c r="AJ902" s="83"/>
      <c r="AK902" s="83"/>
      <c r="AL902" s="83"/>
      <c r="AM902" s="83"/>
      <c r="AN902" s="83"/>
      <c r="AO902" s="83"/>
      <c r="AP902" s="83"/>
      <c r="AQ902" s="83"/>
      <c r="AR902" s="83"/>
      <c r="AS902" s="83"/>
      <c r="AT902" s="83"/>
      <c r="AU902" s="83"/>
      <c r="AV902" s="83"/>
      <c r="AW902" s="83"/>
      <c r="AX902" s="83"/>
      <c r="AY902" s="83"/>
      <c r="AZ902" s="83"/>
      <c r="BA902" s="83"/>
      <c r="BB902" s="83"/>
      <c r="BC902" s="83"/>
      <c r="BD902" s="83"/>
      <c r="BE902" s="83"/>
      <c r="BF902" s="83"/>
    </row>
    <row r="903" spans="1:58" s="14" customFormat="1" ht="14.15" customHeight="1">
      <c r="A903" s="404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  <c r="AA903" s="83"/>
      <c r="AB903" s="83"/>
      <c r="AC903" s="83"/>
      <c r="AD903" s="83"/>
      <c r="AE903" s="83"/>
      <c r="AF903" s="83"/>
      <c r="AG903" s="83"/>
      <c r="AH903" s="83"/>
      <c r="AI903" s="83"/>
      <c r="AJ903" s="83"/>
      <c r="AK903" s="83"/>
      <c r="AL903" s="83"/>
      <c r="AM903" s="83"/>
      <c r="AN903" s="83"/>
      <c r="AO903" s="83"/>
      <c r="AP903" s="83"/>
      <c r="AQ903" s="83"/>
      <c r="AR903" s="83"/>
      <c r="AS903" s="83"/>
      <c r="AT903" s="83"/>
      <c r="AU903" s="83"/>
      <c r="AV903" s="83"/>
      <c r="AW903" s="83"/>
      <c r="AX903" s="83"/>
      <c r="AY903" s="83"/>
      <c r="AZ903" s="83"/>
      <c r="BA903" s="83"/>
      <c r="BB903" s="83"/>
      <c r="BC903" s="83"/>
      <c r="BD903" s="83"/>
      <c r="BE903" s="83"/>
      <c r="BF903" s="83"/>
    </row>
    <row r="904" spans="1:58" s="14" customFormat="1" ht="14.15" customHeight="1">
      <c r="A904" s="404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  <c r="AA904" s="83"/>
      <c r="AB904" s="83"/>
      <c r="AC904" s="83"/>
      <c r="AD904" s="83"/>
      <c r="AE904" s="83"/>
      <c r="AF904" s="83"/>
      <c r="AG904" s="83"/>
      <c r="AH904" s="83"/>
      <c r="AI904" s="83"/>
      <c r="AJ904" s="83"/>
      <c r="AK904" s="83"/>
      <c r="AL904" s="83"/>
      <c r="AM904" s="83"/>
      <c r="AN904" s="83"/>
      <c r="AO904" s="83"/>
      <c r="AP904" s="83"/>
      <c r="AQ904" s="83"/>
      <c r="AR904" s="83"/>
      <c r="AS904" s="83"/>
      <c r="AT904" s="83"/>
      <c r="AU904" s="83"/>
      <c r="AV904" s="83"/>
      <c r="AW904" s="83"/>
      <c r="AX904" s="83"/>
      <c r="AY904" s="83"/>
      <c r="AZ904" s="83"/>
      <c r="BA904" s="83"/>
      <c r="BB904" s="83"/>
      <c r="BC904" s="83"/>
      <c r="BD904" s="83"/>
      <c r="BE904" s="83"/>
      <c r="BF904" s="83"/>
    </row>
    <row r="905" spans="1:58" s="14" customFormat="1" ht="14.15" customHeight="1">
      <c r="A905" s="404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  <c r="AA905" s="83"/>
      <c r="AB905" s="83"/>
      <c r="AC905" s="83"/>
      <c r="AD905" s="83"/>
      <c r="AE905" s="83"/>
      <c r="AF905" s="83"/>
      <c r="AG905" s="83"/>
      <c r="AH905" s="83"/>
      <c r="AI905" s="83"/>
      <c r="AJ905" s="83"/>
      <c r="AK905" s="83"/>
      <c r="AL905" s="83"/>
      <c r="AM905" s="83"/>
      <c r="AN905" s="83"/>
      <c r="AO905" s="83"/>
      <c r="AP905" s="83"/>
      <c r="AQ905" s="83"/>
      <c r="AR905" s="83"/>
      <c r="AS905" s="83"/>
      <c r="AT905" s="83"/>
      <c r="AU905" s="83"/>
      <c r="AV905" s="83"/>
      <c r="AW905" s="83"/>
      <c r="AX905" s="83"/>
      <c r="AY905" s="83"/>
      <c r="AZ905" s="83"/>
      <c r="BA905" s="83"/>
      <c r="BB905" s="83"/>
      <c r="BC905" s="83"/>
      <c r="BD905" s="83"/>
      <c r="BE905" s="83"/>
      <c r="BF905" s="83"/>
    </row>
    <row r="906" spans="1:58" s="14" customFormat="1" ht="14.15" customHeight="1">
      <c r="A906" s="404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  <c r="AA906" s="83"/>
      <c r="AB906" s="83"/>
      <c r="AC906" s="83"/>
      <c r="AD906" s="83"/>
      <c r="AE906" s="83"/>
      <c r="AF906" s="83"/>
      <c r="AG906" s="83"/>
      <c r="AH906" s="83"/>
      <c r="AI906" s="83"/>
      <c r="AJ906" s="83"/>
      <c r="AK906" s="83"/>
      <c r="AL906" s="83"/>
      <c r="AM906" s="83"/>
      <c r="AN906" s="83"/>
      <c r="AO906" s="83"/>
      <c r="AP906" s="83"/>
      <c r="AQ906" s="83"/>
      <c r="AR906" s="83"/>
      <c r="AS906" s="83"/>
      <c r="AT906" s="83"/>
      <c r="AU906" s="83"/>
      <c r="AV906" s="83"/>
      <c r="AW906" s="83"/>
      <c r="AX906" s="83"/>
      <c r="AY906" s="83"/>
      <c r="AZ906" s="83"/>
      <c r="BA906" s="83"/>
      <c r="BB906" s="83"/>
      <c r="BC906" s="83"/>
      <c r="BD906" s="83"/>
      <c r="BE906" s="83"/>
      <c r="BF906" s="83"/>
    </row>
    <row r="907" spans="1:58" s="14" customFormat="1" ht="14.15" customHeight="1">
      <c r="A907" s="404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  <c r="AA907" s="83"/>
      <c r="AB907" s="83"/>
      <c r="AC907" s="83"/>
      <c r="AD907" s="83"/>
      <c r="AE907" s="83"/>
      <c r="AF907" s="83"/>
      <c r="AG907" s="83"/>
      <c r="AH907" s="83"/>
      <c r="AI907" s="83"/>
      <c r="AJ907" s="83"/>
      <c r="AK907" s="83"/>
      <c r="AL907" s="83"/>
      <c r="AM907" s="83"/>
      <c r="AN907" s="83"/>
      <c r="AO907" s="83"/>
      <c r="AP907" s="83"/>
      <c r="AQ907" s="83"/>
      <c r="AR907" s="83"/>
      <c r="AS907" s="83"/>
      <c r="AT907" s="83"/>
      <c r="AU907" s="83"/>
      <c r="AV907" s="83"/>
      <c r="AW907" s="83"/>
      <c r="AX907" s="83"/>
      <c r="AY907" s="83"/>
      <c r="AZ907" s="83"/>
      <c r="BA907" s="83"/>
      <c r="BB907" s="83"/>
      <c r="BC907" s="83"/>
      <c r="BD907" s="83"/>
      <c r="BE907" s="83"/>
      <c r="BF907" s="83"/>
    </row>
    <row r="908" spans="1:58" s="14" customFormat="1" ht="14.15" customHeight="1">
      <c r="A908" s="404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  <c r="AA908" s="83"/>
      <c r="AB908" s="83"/>
      <c r="AC908" s="83"/>
      <c r="AD908" s="83"/>
      <c r="AE908" s="83"/>
      <c r="AF908" s="83"/>
      <c r="AG908" s="83"/>
      <c r="AH908" s="83"/>
      <c r="AI908" s="83"/>
      <c r="AJ908" s="83"/>
      <c r="AK908" s="83"/>
      <c r="AL908" s="83"/>
      <c r="AM908" s="83"/>
      <c r="AN908" s="83"/>
      <c r="AO908" s="83"/>
      <c r="AP908" s="83"/>
      <c r="AQ908" s="83"/>
      <c r="AR908" s="83"/>
      <c r="AS908" s="83"/>
      <c r="AT908" s="83"/>
      <c r="AU908" s="83"/>
      <c r="AV908" s="83"/>
      <c r="AW908" s="83"/>
      <c r="AX908" s="83"/>
      <c r="AY908" s="83"/>
      <c r="AZ908" s="83"/>
      <c r="BA908" s="83"/>
      <c r="BB908" s="83"/>
      <c r="BC908" s="83"/>
      <c r="BD908" s="83"/>
      <c r="BE908" s="83"/>
      <c r="BF908" s="83"/>
    </row>
    <row r="909" spans="1:58" s="14" customFormat="1" ht="14.15" customHeight="1">
      <c r="A909" s="404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  <c r="AA909" s="83"/>
      <c r="AB909" s="83"/>
      <c r="AC909" s="83"/>
      <c r="AD909" s="83"/>
      <c r="AE909" s="83"/>
      <c r="AF909" s="83"/>
      <c r="AG909" s="83"/>
      <c r="AH909" s="83"/>
      <c r="AI909" s="83"/>
      <c r="AJ909" s="83"/>
      <c r="AK909" s="83"/>
      <c r="AL909" s="83"/>
      <c r="AM909" s="83"/>
      <c r="AN909" s="83"/>
      <c r="AO909" s="83"/>
      <c r="AP909" s="83"/>
      <c r="AQ909" s="83"/>
      <c r="AR909" s="83"/>
      <c r="AS909" s="83"/>
      <c r="AT909" s="83"/>
      <c r="AU909" s="83"/>
      <c r="AV909" s="83"/>
      <c r="AW909" s="83"/>
      <c r="AX909" s="83"/>
      <c r="AY909" s="83"/>
      <c r="AZ909" s="83"/>
      <c r="BA909" s="83"/>
      <c r="BB909" s="83"/>
      <c r="BC909" s="83"/>
      <c r="BD909" s="83"/>
      <c r="BE909" s="83"/>
      <c r="BF909" s="83"/>
    </row>
    <row r="910" spans="1:58" s="14" customFormat="1" ht="14.15" customHeight="1">
      <c r="A910" s="404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  <c r="AA910" s="83"/>
      <c r="AB910" s="83"/>
      <c r="AC910" s="83"/>
      <c r="AD910" s="83"/>
      <c r="AE910" s="83"/>
      <c r="AF910" s="83"/>
      <c r="AG910" s="83"/>
      <c r="AH910" s="83"/>
      <c r="AI910" s="83"/>
      <c r="AJ910" s="83"/>
      <c r="AK910" s="83"/>
      <c r="AL910" s="83"/>
      <c r="AM910" s="83"/>
      <c r="AN910" s="83"/>
      <c r="AO910" s="83"/>
      <c r="AP910" s="83"/>
      <c r="AQ910" s="83"/>
      <c r="AR910" s="83"/>
      <c r="AS910" s="83"/>
      <c r="AT910" s="83"/>
      <c r="AU910" s="83"/>
      <c r="AV910" s="83"/>
      <c r="AW910" s="83"/>
      <c r="AX910" s="83"/>
      <c r="AY910" s="83"/>
      <c r="AZ910" s="83"/>
      <c r="BA910" s="83"/>
      <c r="BB910" s="83"/>
      <c r="BC910" s="83"/>
      <c r="BD910" s="83"/>
      <c r="BE910" s="83"/>
      <c r="BF910" s="83"/>
    </row>
  </sheetData>
  <pageMargins left="0.7" right="0.7" top="0.75" bottom="0.75" header="0.3" footer="0.3"/>
  <pageSetup scale="10" orientation="portrait" r:id="rId1"/>
  <headerFooter>
    <oddHeader>&amp;C&amp;"Arial,Bold"Kentucky Power Company
Case No. 2025-00257
Test Year Ended May 31, 2025&amp;RKPSC Case No. 2025-00257
SECTION V-Application
Exhibit 1
&amp;Pof&amp;N</oddHeader>
  </headerFooter>
  <rowBreaks count="5" manualBreakCount="5">
    <brk id="54" max="16383" man="1"/>
    <brk id="172" max="16383" man="1"/>
    <brk id="252" max="16383" man="1"/>
    <brk id="347" max="16383" man="1"/>
    <brk id="442" max="16383" man="1"/>
  </rowBreaks>
  <colBreaks count="3" manualBreakCount="3">
    <brk id="18" max="1048575" man="1"/>
    <brk id="36" max="1048575" man="1"/>
    <brk id="4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59"/>
  <sheetViews>
    <sheetView view="pageBreakPreview" zoomScale="60" zoomScaleNormal="100" workbookViewId="0">
      <selection activeCell="B14" sqref="A1:XFD1048576"/>
    </sheetView>
  </sheetViews>
  <sheetFormatPr defaultColWidth="9.1796875" defaultRowHeight="12.5"/>
  <cols>
    <col min="1" max="1" width="9.1796875" style="83"/>
    <col min="2" max="2" width="41" style="83" customWidth="1"/>
    <col min="3" max="3" width="15.7265625" style="83" bestFit="1" customWidth="1"/>
    <col min="4" max="4" width="1.7265625" style="22" customWidth="1"/>
    <col min="5" max="5" width="12.1796875" style="83" customWidth="1"/>
    <col min="6" max="6" width="1.7265625" style="22" customWidth="1"/>
    <col min="7" max="7" width="13.81640625" style="83" bestFit="1" customWidth="1"/>
    <col min="8" max="8" width="1.81640625" style="22" customWidth="1"/>
    <col min="9" max="9" width="13.26953125" style="83" bestFit="1" customWidth="1"/>
    <col min="10" max="10" width="1.81640625" style="83" customWidth="1"/>
    <col min="11" max="11" width="13.26953125" style="22" bestFit="1" customWidth="1"/>
    <col min="12" max="12" width="1.81640625" style="22" customWidth="1"/>
    <col min="13" max="13" width="13.26953125" style="22" bestFit="1" customWidth="1"/>
    <col min="14" max="14" width="20" style="66" bestFit="1" customWidth="1"/>
    <col min="15" max="15" width="13.81640625" style="22" bestFit="1" customWidth="1"/>
    <col min="16" max="16" width="11.1796875" style="22" bestFit="1" customWidth="1"/>
    <col min="17" max="17" width="5.81640625" style="83" customWidth="1"/>
    <col min="18" max="18" width="15.453125" style="83" customWidth="1"/>
    <col min="19" max="16384" width="9.1796875" style="83"/>
  </cols>
  <sheetData>
    <row r="1" spans="1:18">
      <c r="A1" s="526" t="s">
        <v>330</v>
      </c>
      <c r="B1" s="526"/>
      <c r="C1" s="526"/>
      <c r="D1" s="526"/>
      <c r="E1" s="526"/>
      <c r="F1" s="526"/>
      <c r="G1" s="526"/>
      <c r="H1" s="526"/>
      <c r="I1" s="526"/>
    </row>
    <row r="2" spans="1:18">
      <c r="A2" s="526" t="s">
        <v>866</v>
      </c>
      <c r="B2" s="526"/>
      <c r="C2" s="526"/>
      <c r="D2" s="526"/>
      <c r="E2" s="526"/>
      <c r="F2" s="526"/>
      <c r="G2" s="526"/>
      <c r="H2" s="526"/>
      <c r="I2" s="526"/>
    </row>
    <row r="3" spans="1:18">
      <c r="A3" s="526" t="s">
        <v>1019</v>
      </c>
      <c r="B3" s="526"/>
      <c r="C3" s="526"/>
      <c r="D3" s="526"/>
      <c r="E3" s="526"/>
      <c r="F3" s="526"/>
      <c r="G3" s="526"/>
      <c r="H3" s="526"/>
      <c r="I3" s="526"/>
      <c r="M3" s="22" t="s">
        <v>1117</v>
      </c>
    </row>
    <row r="4" spans="1:18">
      <c r="M4" s="22" t="s">
        <v>1116</v>
      </c>
    </row>
    <row r="5" spans="1:18" ht="38.5">
      <c r="A5" s="98" t="s">
        <v>389</v>
      </c>
      <c r="B5" s="100" t="s">
        <v>390</v>
      </c>
      <c r="C5" s="81" t="s">
        <v>406</v>
      </c>
      <c r="D5" s="203"/>
      <c r="E5" s="81" t="s">
        <v>407</v>
      </c>
      <c r="F5" s="203"/>
      <c r="G5" s="81" t="s">
        <v>408</v>
      </c>
      <c r="H5" s="203"/>
      <c r="I5" s="81" t="s">
        <v>409</v>
      </c>
      <c r="K5" s="403" t="s">
        <v>59</v>
      </c>
      <c r="L5" s="403"/>
      <c r="M5" s="224" t="s">
        <v>152</v>
      </c>
    </row>
    <row r="7" spans="1:18">
      <c r="B7" s="44" t="s">
        <v>184</v>
      </c>
    </row>
    <row r="8" spans="1:18">
      <c r="B8" s="44" t="s">
        <v>185</v>
      </c>
      <c r="M8" s="525"/>
      <c r="N8" s="525"/>
    </row>
    <row r="9" spans="1:18">
      <c r="A9" s="83">
        <v>500</v>
      </c>
      <c r="B9" s="83" t="s">
        <v>391</v>
      </c>
      <c r="C9" s="84">
        <f>'Sch 4'!C310</f>
        <v>4075249.41</v>
      </c>
      <c r="D9" s="66"/>
      <c r="E9" s="84">
        <v>1852409.2593926867</v>
      </c>
      <c r="F9" s="66"/>
      <c r="G9" s="84">
        <f>ROUND(E9/($E$53-$E$51)*$C$51,0)</f>
        <v>1338704</v>
      </c>
      <c r="H9" s="66"/>
      <c r="I9" s="84">
        <f>C9+G9</f>
        <v>5413953.4100000001</v>
      </c>
      <c r="K9" s="213">
        <f>I9</f>
        <v>5413953.4100000001</v>
      </c>
      <c r="N9" s="66" t="s">
        <v>337</v>
      </c>
    </row>
    <row r="10" spans="1:18">
      <c r="A10" s="83">
        <v>501</v>
      </c>
      <c r="B10" s="83" t="s">
        <v>392</v>
      </c>
      <c r="C10" s="84">
        <f>'Sch 4'!C311+'Sch 4'!C313+'Sch 4'!C312</f>
        <v>132045334.61000001</v>
      </c>
      <c r="D10" s="66"/>
      <c r="E10" s="84">
        <v>3177400.49</v>
      </c>
      <c r="F10" s="66"/>
      <c r="G10" s="84">
        <f>ROUND(E10/($E$53-$E$51)*$C$51,0)</f>
        <v>2296252</v>
      </c>
      <c r="H10" s="66"/>
      <c r="I10" s="84">
        <f t="shared" ref="I10:I16" si="0">C10+G10</f>
        <v>134341586.61000001</v>
      </c>
      <c r="M10" s="213">
        <f>I10</f>
        <v>134341586.61000001</v>
      </c>
      <c r="N10" s="66" t="s">
        <v>340</v>
      </c>
      <c r="R10" s="204"/>
    </row>
    <row r="11" spans="1:18">
      <c r="A11" s="83">
        <v>5010005</v>
      </c>
      <c r="B11" s="83" t="s">
        <v>393</v>
      </c>
      <c r="C11" s="84">
        <f>'Sch 4'!C314</f>
        <v>-1066415.0200000005</v>
      </c>
      <c r="D11" s="66"/>
      <c r="E11" s="84">
        <v>0</v>
      </c>
      <c r="F11" s="66"/>
      <c r="G11" s="84">
        <f t="shared" ref="G11:G16" si="1">ROUND(E11/($E$53-$E$51)*$C$51,0)</f>
        <v>0</v>
      </c>
      <c r="H11" s="66"/>
      <c r="I11" s="84">
        <f>C11+G11</f>
        <v>-1066415.0200000005</v>
      </c>
      <c r="M11" s="213">
        <f>I11</f>
        <v>-1066415.0200000005</v>
      </c>
      <c r="N11" s="66" t="s">
        <v>340</v>
      </c>
      <c r="R11" s="204"/>
    </row>
    <row r="12" spans="1:18">
      <c r="A12" s="83">
        <v>502</v>
      </c>
      <c r="B12" s="83" t="s">
        <v>394</v>
      </c>
      <c r="C12" s="84">
        <f>'Sch 4'!C315</f>
        <v>5128125.17</v>
      </c>
      <c r="D12" s="66"/>
      <c r="E12" s="84">
        <v>1650039.85</v>
      </c>
      <c r="F12" s="66"/>
      <c r="G12" s="84">
        <f>ROUND(E12/($E$53-$E$51)*$C$51,0)</f>
        <v>1192455</v>
      </c>
      <c r="H12" s="66"/>
      <c r="I12" s="84">
        <f>C12+G12</f>
        <v>6320580.1699999999</v>
      </c>
      <c r="K12" s="213">
        <f>I12*0.34</f>
        <v>2148997.2578000003</v>
      </c>
      <c r="M12" s="213">
        <f>I12-K12</f>
        <v>4171582.9121999997</v>
      </c>
      <c r="N12" s="66" t="s">
        <v>846</v>
      </c>
      <c r="R12" s="204"/>
    </row>
    <row r="13" spans="1:18">
      <c r="A13" s="83">
        <v>505</v>
      </c>
      <c r="B13" s="83" t="s">
        <v>395</v>
      </c>
      <c r="C13" s="84">
        <f>'Sch 4'!C318</f>
        <v>58098.22</v>
      </c>
      <c r="D13" s="66"/>
      <c r="E13" s="84">
        <v>55472.72</v>
      </c>
      <c r="F13" s="66"/>
      <c r="G13" s="84">
        <f t="shared" si="1"/>
        <v>40089</v>
      </c>
      <c r="H13" s="66"/>
      <c r="I13" s="84">
        <f t="shared" si="0"/>
        <v>98187.22</v>
      </c>
      <c r="K13" s="213">
        <f>I13*0.34</f>
        <v>33383.654800000004</v>
      </c>
      <c r="M13" s="213">
        <f>I13-K13</f>
        <v>64803.565199999997</v>
      </c>
      <c r="N13" s="66" t="s">
        <v>846</v>
      </c>
      <c r="R13" s="204"/>
    </row>
    <row r="14" spans="1:18">
      <c r="A14" s="83">
        <v>506</v>
      </c>
      <c r="B14" s="83" t="s">
        <v>396</v>
      </c>
      <c r="C14" s="84">
        <f>'Sch 4'!C319+'Sch 4'!C320</f>
        <v>6078611.5899999999</v>
      </c>
      <c r="D14" s="66"/>
      <c r="E14" s="84">
        <v>2565804.37</v>
      </c>
      <c r="F14" s="66"/>
      <c r="G14" s="84">
        <f t="shared" si="1"/>
        <v>1854262</v>
      </c>
      <c r="H14" s="66"/>
      <c r="I14" s="84">
        <f t="shared" si="0"/>
        <v>7932873.5899999999</v>
      </c>
      <c r="K14" s="213">
        <f>I14</f>
        <v>7932873.5899999999</v>
      </c>
      <c r="M14" s="22">
        <v>0</v>
      </c>
      <c r="N14" s="66" t="s">
        <v>337</v>
      </c>
      <c r="R14" s="204"/>
    </row>
    <row r="15" spans="1:18">
      <c r="A15" s="83">
        <v>507</v>
      </c>
      <c r="B15" s="83" t="s">
        <v>397</v>
      </c>
      <c r="C15" s="84">
        <f>'Sch 4'!C320</f>
        <v>965.85</v>
      </c>
      <c r="D15" s="66"/>
      <c r="E15" s="84">
        <v>0</v>
      </c>
      <c r="F15" s="66"/>
      <c r="G15" s="84">
        <f t="shared" si="1"/>
        <v>0</v>
      </c>
      <c r="H15" s="66"/>
      <c r="I15" s="84">
        <f t="shared" si="0"/>
        <v>965.85</v>
      </c>
      <c r="K15" s="213">
        <f>C15</f>
        <v>965.85</v>
      </c>
      <c r="M15" s="22">
        <v>0</v>
      </c>
      <c r="N15" s="66" t="s">
        <v>337</v>
      </c>
      <c r="R15" s="204"/>
    </row>
    <row r="16" spans="1:18">
      <c r="B16" s="83" t="s">
        <v>200</v>
      </c>
      <c r="C16" s="205">
        <f>'Sch 4'!C338+'Sch 4'!C339</f>
        <v>856870.96000000008</v>
      </c>
      <c r="D16" s="66"/>
      <c r="E16" s="205">
        <v>198104</v>
      </c>
      <c r="F16" s="66"/>
      <c r="G16" s="205">
        <f t="shared" si="1"/>
        <v>143166</v>
      </c>
      <c r="H16" s="66"/>
      <c r="I16" s="205">
        <f t="shared" si="0"/>
        <v>1000036.9600000001</v>
      </c>
      <c r="K16" s="56"/>
      <c r="M16" s="225">
        <f>I16</f>
        <v>1000036.9600000001</v>
      </c>
      <c r="N16" s="66" t="s">
        <v>340</v>
      </c>
      <c r="R16" s="204"/>
    </row>
    <row r="17" spans="1:19">
      <c r="C17" s="84"/>
      <c r="D17" s="66"/>
      <c r="E17" s="84"/>
      <c r="F17" s="66"/>
      <c r="G17" s="84"/>
      <c r="H17" s="66"/>
      <c r="I17" s="84"/>
      <c r="R17" s="204"/>
    </row>
    <row r="18" spans="1:19" ht="13">
      <c r="B18" s="20" t="s">
        <v>193</v>
      </c>
      <c r="C18" s="84">
        <f>SUM(C9:C17)</f>
        <v>147176840.78999999</v>
      </c>
      <c r="D18" s="66"/>
      <c r="E18" s="84">
        <f>SUM(E9:E17)</f>
        <v>9499230.6893926859</v>
      </c>
      <c r="F18" s="66"/>
      <c r="G18" s="84">
        <f>SUM(G9:G17)</f>
        <v>6864928</v>
      </c>
      <c r="H18" s="66"/>
      <c r="I18" s="84">
        <f>SUM(I9:I17)</f>
        <v>154041768.78999999</v>
      </c>
      <c r="K18" s="84">
        <f>SUM(K9:K17)</f>
        <v>15530173.762599999</v>
      </c>
      <c r="M18" s="84">
        <f>SUM(M9:M17)</f>
        <v>138511595.02740002</v>
      </c>
      <c r="R18" s="204"/>
    </row>
    <row r="19" spans="1:19">
      <c r="C19" s="84"/>
      <c r="D19" s="66"/>
      <c r="E19" s="84"/>
      <c r="F19" s="66"/>
      <c r="G19" s="84"/>
      <c r="H19" s="66"/>
      <c r="I19" s="84"/>
      <c r="Q19" s="22"/>
      <c r="R19" s="204"/>
    </row>
    <row r="20" spans="1:19">
      <c r="C20" s="84"/>
      <c r="D20" s="66"/>
      <c r="E20" s="84"/>
      <c r="F20" s="66"/>
      <c r="G20" s="84"/>
      <c r="H20" s="66"/>
      <c r="I20" s="84"/>
      <c r="Q20" s="22"/>
      <c r="R20" s="204"/>
    </row>
    <row r="21" spans="1:19">
      <c r="B21" s="206" t="s">
        <v>398</v>
      </c>
      <c r="C21" s="84"/>
      <c r="D21" s="66"/>
      <c r="E21" s="84"/>
      <c r="F21" s="66"/>
      <c r="G21" s="84"/>
      <c r="H21" s="66"/>
      <c r="I21" s="84"/>
      <c r="Q21" s="22"/>
      <c r="R21" s="204"/>
    </row>
    <row r="22" spans="1:19">
      <c r="A22" s="83">
        <v>510</v>
      </c>
      <c r="B22" s="193" t="s">
        <v>391</v>
      </c>
      <c r="C22" s="84">
        <f>'Sch 4'!C325</f>
        <v>1352873.19</v>
      </c>
      <c r="D22" s="66"/>
      <c r="E22" s="84">
        <v>1198560</v>
      </c>
      <c r="F22" s="66"/>
      <c r="G22" s="84">
        <f>ROUND(E22/($E$53-$E$51)*$C$51,0)</f>
        <v>866178</v>
      </c>
      <c r="H22" s="66"/>
      <c r="I22" s="84">
        <f>C22+G22</f>
        <v>2219051.19</v>
      </c>
      <c r="K22" s="213">
        <f>I22</f>
        <v>2219051.19</v>
      </c>
      <c r="N22" s="66" t="s">
        <v>337</v>
      </c>
      <c r="Q22" s="22"/>
      <c r="R22" s="204"/>
    </row>
    <row r="23" spans="1:19">
      <c r="A23" s="83">
        <v>511</v>
      </c>
      <c r="B23" s="207" t="s">
        <v>400</v>
      </c>
      <c r="C23" s="84">
        <f>'Sch 4'!C326</f>
        <v>1989377.4100000001</v>
      </c>
      <c r="D23" s="66"/>
      <c r="E23" s="84">
        <v>131732</v>
      </c>
      <c r="F23" s="66"/>
      <c r="G23" s="84">
        <f>ROUND(E23/($E$53-$E$51)*$C$51,0)</f>
        <v>95200</v>
      </c>
      <c r="H23" s="66"/>
      <c r="I23" s="84">
        <f>C23+G23</f>
        <v>2084577.4100000001</v>
      </c>
      <c r="K23" s="213">
        <f>I23</f>
        <v>2084577.4100000001</v>
      </c>
      <c r="N23" s="66" t="s">
        <v>337</v>
      </c>
      <c r="Q23" s="22"/>
      <c r="R23" s="208"/>
    </row>
    <row r="24" spans="1:19">
      <c r="A24" s="83">
        <v>512</v>
      </c>
      <c r="B24" s="193" t="s">
        <v>401</v>
      </c>
      <c r="C24" s="84">
        <f>'Sch 4'!C327</f>
        <v>14866979.07</v>
      </c>
      <c r="D24" s="66"/>
      <c r="E24" s="84">
        <v>2029546</v>
      </c>
      <c r="F24" s="66"/>
      <c r="G24" s="84">
        <f>ROUND(E24/($E$53-$E$51)*$C$51,0)</f>
        <v>1466718</v>
      </c>
      <c r="H24" s="66"/>
      <c r="I24" s="84">
        <f>C24+G24</f>
        <v>16333697.07</v>
      </c>
      <c r="K24" s="213">
        <f>I24*0.34</f>
        <v>5553457.0038000001</v>
      </c>
      <c r="M24" s="213">
        <f>I24-K24</f>
        <v>10780240.066199999</v>
      </c>
      <c r="N24" s="66" t="s">
        <v>846</v>
      </c>
      <c r="Q24" s="22"/>
      <c r="R24" s="208"/>
      <c r="S24" s="22"/>
    </row>
    <row r="25" spans="1:19">
      <c r="A25" s="83">
        <v>513</v>
      </c>
      <c r="B25" s="193" t="s">
        <v>402</v>
      </c>
      <c r="C25" s="84">
        <f>'Sch 4'!C328</f>
        <v>4380927.99</v>
      </c>
      <c r="D25" s="66"/>
      <c r="E25" s="84">
        <v>918924</v>
      </c>
      <c r="F25" s="66"/>
      <c r="G25" s="84">
        <f>ROUND(E25/($E$53-$E$51)*$C$51,0)</f>
        <v>664090</v>
      </c>
      <c r="H25" s="66"/>
      <c r="I25" s="84">
        <f>C25+G25</f>
        <v>5045017.99</v>
      </c>
      <c r="K25" s="213">
        <f>I25</f>
        <v>5045017.99</v>
      </c>
      <c r="N25" s="66" t="s">
        <v>337</v>
      </c>
      <c r="Q25" s="22"/>
      <c r="R25" s="208"/>
      <c r="S25" s="22"/>
    </row>
    <row r="26" spans="1:19">
      <c r="A26" s="83" t="s">
        <v>399</v>
      </c>
      <c r="B26" s="193" t="s">
        <v>403</v>
      </c>
      <c r="C26" s="205">
        <f>'Sch 4'!C329</f>
        <v>1406936.23</v>
      </c>
      <c r="D26" s="66"/>
      <c r="E26" s="205">
        <v>168362</v>
      </c>
      <c r="F26" s="66"/>
      <c r="G26" s="205">
        <f>ROUND(E26/($E$53-$E$51)*$C$51,0)</f>
        <v>121672</v>
      </c>
      <c r="H26" s="66"/>
      <c r="I26" s="205">
        <f>C26+G26</f>
        <v>1528608.23</v>
      </c>
      <c r="K26" s="225">
        <f>I26</f>
        <v>1528608.23</v>
      </c>
      <c r="M26" s="56"/>
      <c r="N26" s="66" t="s">
        <v>337</v>
      </c>
      <c r="Q26" s="22"/>
      <c r="R26" s="208"/>
      <c r="S26" s="22"/>
    </row>
    <row r="27" spans="1:19">
      <c r="C27" s="84"/>
      <c r="D27" s="66"/>
      <c r="E27" s="84"/>
      <c r="F27" s="66"/>
      <c r="G27" s="84"/>
      <c r="H27" s="66"/>
      <c r="I27" s="84"/>
      <c r="Q27" s="22"/>
      <c r="R27" s="208"/>
      <c r="S27" s="22"/>
    </row>
    <row r="28" spans="1:19" ht="13">
      <c r="B28" s="209" t="s">
        <v>405</v>
      </c>
      <c r="C28" s="84">
        <f>SUM(C22:C27)</f>
        <v>23997093.890000004</v>
      </c>
      <c r="D28" s="66"/>
      <c r="E28" s="84">
        <f>SUM(E22:E27)</f>
        <v>4447124</v>
      </c>
      <c r="F28" s="66"/>
      <c r="G28" s="84">
        <f>SUM(G22:G27)</f>
        <v>3213858</v>
      </c>
      <c r="H28" s="66"/>
      <c r="I28" s="84">
        <f>SUM(I22:I27)</f>
        <v>27210951.890000004</v>
      </c>
      <c r="K28" s="84">
        <f>SUM(K22:K27)</f>
        <v>16430711.823799999</v>
      </c>
      <c r="M28" s="84">
        <f>SUM(M22:M27)</f>
        <v>10780240.066199999</v>
      </c>
      <c r="Q28" s="22"/>
      <c r="R28" s="204"/>
      <c r="S28" s="22"/>
    </row>
    <row r="29" spans="1:19">
      <c r="B29" s="193"/>
      <c r="C29" s="84"/>
      <c r="D29" s="66"/>
      <c r="E29" s="84"/>
      <c r="F29" s="66"/>
      <c r="G29" s="84"/>
      <c r="H29" s="66"/>
      <c r="I29" s="84"/>
      <c r="Q29" s="22"/>
      <c r="R29" s="204"/>
      <c r="S29" s="22"/>
    </row>
    <row r="30" spans="1:19">
      <c r="B30" s="193"/>
      <c r="C30" s="84"/>
      <c r="D30" s="66"/>
      <c r="E30" s="84"/>
      <c r="F30" s="66"/>
      <c r="G30" s="84"/>
      <c r="H30" s="66"/>
      <c r="I30" s="84"/>
      <c r="Q30" s="22"/>
      <c r="R30" s="204"/>
      <c r="S30" s="22"/>
    </row>
    <row r="31" spans="1:19" ht="13">
      <c r="B31" s="209" t="s">
        <v>404</v>
      </c>
      <c r="C31" s="84">
        <f>C18+C28</f>
        <v>171173934.68000001</v>
      </c>
      <c r="D31" s="66"/>
      <c r="E31" s="84">
        <f>E18+E28</f>
        <v>13946354.689392686</v>
      </c>
      <c r="F31" s="66"/>
      <c r="G31" s="84">
        <f>G18+G28</f>
        <v>10078786</v>
      </c>
      <c r="H31" s="66"/>
      <c r="I31" s="84">
        <f>I18+I28</f>
        <v>181252720.68000001</v>
      </c>
      <c r="K31" s="84">
        <f>K18+K28</f>
        <v>31960885.586399999</v>
      </c>
      <c r="M31" s="84">
        <f>M18+M28</f>
        <v>149291835.0936</v>
      </c>
      <c r="Q31" s="22"/>
      <c r="R31" s="204"/>
      <c r="S31" s="22"/>
    </row>
    <row r="32" spans="1:19">
      <c r="C32" s="84"/>
      <c r="D32" s="66"/>
      <c r="E32" s="84"/>
      <c r="F32" s="66"/>
      <c r="G32" s="84"/>
      <c r="H32" s="66"/>
      <c r="I32" s="84"/>
      <c r="Q32" s="22"/>
      <c r="R32" s="204"/>
      <c r="S32" s="22"/>
    </row>
    <row r="33" spans="2:19">
      <c r="C33" s="84"/>
      <c r="D33" s="66"/>
      <c r="E33" s="84"/>
      <c r="F33" s="66"/>
      <c r="G33" s="84"/>
      <c r="H33" s="66"/>
      <c r="I33" s="84"/>
      <c r="K33" s="403"/>
      <c r="Q33" s="22"/>
      <c r="R33" s="204"/>
      <c r="S33" s="22"/>
    </row>
    <row r="34" spans="2:19">
      <c r="B34" s="193" t="s">
        <v>820</v>
      </c>
      <c r="C34" s="84">
        <f>(+'Sch 4'!C298)*-1</f>
        <v>-97701230.639999971</v>
      </c>
      <c r="D34" s="66"/>
      <c r="E34" s="84">
        <v>0</v>
      </c>
      <c r="F34" s="66"/>
      <c r="G34" s="84">
        <v>0</v>
      </c>
      <c r="H34" s="66"/>
      <c r="I34" s="84">
        <f>C34+G34</f>
        <v>-97701230.639999971</v>
      </c>
      <c r="K34" s="239">
        <f>I34</f>
        <v>-97701230.639999971</v>
      </c>
      <c r="N34" s="66" t="s">
        <v>358</v>
      </c>
      <c r="Q34" s="22"/>
      <c r="R34" s="204"/>
      <c r="S34" s="22"/>
    </row>
    <row r="35" spans="2:19">
      <c r="B35" s="193"/>
      <c r="C35" s="84"/>
      <c r="D35" s="66"/>
      <c r="E35" s="84"/>
      <c r="F35" s="66"/>
      <c r="G35" s="84"/>
      <c r="H35" s="66"/>
      <c r="I35" s="84"/>
      <c r="Q35" s="22"/>
      <c r="R35" s="204"/>
      <c r="S35" s="22"/>
    </row>
    <row r="36" spans="2:19">
      <c r="B36" s="193" t="s">
        <v>840</v>
      </c>
      <c r="C36" s="84">
        <f>'Sch 4'!C356</f>
        <v>98580</v>
      </c>
      <c r="D36" s="66"/>
      <c r="E36" s="194"/>
      <c r="F36" s="195"/>
      <c r="G36" s="84"/>
      <c r="H36" s="66"/>
      <c r="I36" s="84">
        <f>C36+G36</f>
        <v>98580</v>
      </c>
      <c r="K36" s="66">
        <f>I36</f>
        <v>98580</v>
      </c>
      <c r="N36" s="25" t="s">
        <v>342</v>
      </c>
      <c r="R36" s="204"/>
      <c r="S36" s="22"/>
    </row>
    <row r="37" spans="2:19">
      <c r="B37" s="193" t="s">
        <v>817</v>
      </c>
      <c r="C37" s="84">
        <f>'Sch 4'!C354-'Sch 4'!C296</f>
        <v>141976318.07000002</v>
      </c>
      <c r="D37" s="66"/>
      <c r="E37" s="347"/>
      <c r="F37" s="210"/>
      <c r="G37" s="84"/>
      <c r="H37" s="66"/>
      <c r="I37" s="84">
        <f>C37+G37</f>
        <v>141976318.07000002</v>
      </c>
      <c r="K37" s="66">
        <f>I37</f>
        <v>141976318.07000002</v>
      </c>
      <c r="N37" s="66" t="s">
        <v>358</v>
      </c>
      <c r="R37" s="204"/>
      <c r="S37" s="22"/>
    </row>
    <row r="38" spans="2:19">
      <c r="B38" s="193" t="s">
        <v>818</v>
      </c>
      <c r="C38" s="84">
        <f>'Sch 4'!C355-'Sch 4'!C297</f>
        <v>304439.99</v>
      </c>
      <c r="D38" s="66"/>
      <c r="E38" s="347"/>
      <c r="F38" s="210"/>
      <c r="G38" s="84"/>
      <c r="H38" s="66"/>
      <c r="I38" s="84">
        <f>C38+G38</f>
        <v>304439.99</v>
      </c>
      <c r="K38" s="66"/>
      <c r="M38" s="213">
        <f>I38</f>
        <v>304439.99</v>
      </c>
      <c r="N38" s="66" t="s">
        <v>358</v>
      </c>
      <c r="R38" s="204"/>
      <c r="S38" s="22"/>
    </row>
    <row r="39" spans="2:19">
      <c r="B39" s="193" t="s">
        <v>819</v>
      </c>
      <c r="C39" s="201">
        <f>SUM('Sch 4'!C348:C353,'Sch 4'!C358:C359,'Sch 4'!C363:C368)</f>
        <v>12442644.020000001</v>
      </c>
      <c r="D39" s="66"/>
      <c r="E39" s="194">
        <v>3017474</v>
      </c>
      <c r="F39" s="195"/>
      <c r="G39" s="84">
        <f>ROUND(E39/($E$53-$E$51)*$C$51,0)</f>
        <v>2180676</v>
      </c>
      <c r="H39" s="66"/>
      <c r="I39" s="84">
        <f>C39+G39</f>
        <v>14623320.020000001</v>
      </c>
      <c r="K39" s="66">
        <f>I39</f>
        <v>14623320.020000001</v>
      </c>
      <c r="N39" s="25" t="s">
        <v>342</v>
      </c>
      <c r="S39" s="22"/>
    </row>
    <row r="40" spans="2:19">
      <c r="B40" s="193" t="s">
        <v>410</v>
      </c>
      <c r="C40" s="205">
        <f>'Sch 4'!C357</f>
        <v>-688801.43000000017</v>
      </c>
      <c r="D40" s="66"/>
      <c r="E40" s="348"/>
      <c r="F40" s="210"/>
      <c r="G40" s="205"/>
      <c r="H40" s="66"/>
      <c r="I40" s="205">
        <f>C40+G40</f>
        <v>-688801.43000000017</v>
      </c>
      <c r="K40" s="205"/>
      <c r="M40" s="56"/>
      <c r="N40" s="66" t="s">
        <v>810</v>
      </c>
      <c r="S40" s="22"/>
    </row>
    <row r="41" spans="2:19" ht="13">
      <c r="B41" s="209" t="s">
        <v>207</v>
      </c>
      <c r="C41" s="84">
        <f>SUM(C36:C40)</f>
        <v>154133180.65000004</v>
      </c>
      <c r="D41" s="66"/>
      <c r="E41" s="84">
        <f>SUM(E36:E40)</f>
        <v>3017474</v>
      </c>
      <c r="F41" s="66"/>
      <c r="G41" s="84">
        <f>SUM(G36:G40)</f>
        <v>2180676</v>
      </c>
      <c r="H41" s="66"/>
      <c r="I41" s="84">
        <f>SUM(I36:I40)</f>
        <v>156313856.65000004</v>
      </c>
      <c r="K41" s="84">
        <f>SUM(K36:K40)</f>
        <v>156698218.09000003</v>
      </c>
      <c r="M41" s="84">
        <f>SUM(M36:M40)</f>
        <v>304439.99</v>
      </c>
    </row>
    <row r="42" spans="2:19">
      <c r="B42" s="193"/>
      <c r="C42" s="84"/>
      <c r="D42" s="66"/>
      <c r="E42" s="84"/>
      <c r="F42" s="66"/>
      <c r="G42" s="84"/>
      <c r="H42" s="66"/>
      <c r="I42" s="84"/>
    </row>
    <row r="43" spans="2:19">
      <c r="B43" s="193"/>
      <c r="C43" s="84"/>
      <c r="D43" s="66"/>
      <c r="E43" s="84"/>
      <c r="F43" s="66"/>
      <c r="G43" s="84"/>
      <c r="H43" s="66"/>
      <c r="I43" s="84"/>
      <c r="M43" s="525"/>
      <c r="N43" s="525"/>
    </row>
    <row r="44" spans="2:19">
      <c r="B44" s="193" t="s">
        <v>367</v>
      </c>
      <c r="C44" s="84">
        <f>'Sch 4'!C369</f>
        <v>1399065.02</v>
      </c>
      <c r="D44" s="66"/>
      <c r="E44" s="194">
        <v>0</v>
      </c>
      <c r="F44" s="195"/>
      <c r="G44" s="84">
        <f t="shared" ref="G44:G50" si="2">ROUND(E44/($E$53-$E$51)*$C$51,0)</f>
        <v>0</v>
      </c>
      <c r="H44" s="66"/>
      <c r="I44" s="84">
        <f>C44+G44</f>
        <v>1399065.02</v>
      </c>
      <c r="K44" s="213">
        <f t="shared" ref="K44:K50" si="3">C44</f>
        <v>1399065.02</v>
      </c>
      <c r="N44" s="66" t="s">
        <v>342</v>
      </c>
    </row>
    <row r="45" spans="2:19">
      <c r="B45" s="193" t="s">
        <v>418</v>
      </c>
      <c r="C45" s="84">
        <f>'Sch 4'!C385</f>
        <v>11201820.149</v>
      </c>
      <c r="D45" s="66"/>
      <c r="E45" s="194">
        <v>6061897</v>
      </c>
      <c r="F45" s="195"/>
      <c r="G45" s="84">
        <f t="shared" si="2"/>
        <v>4380827</v>
      </c>
      <c r="H45" s="66"/>
      <c r="I45" s="84">
        <f t="shared" ref="I45:I51" si="4">C45+G45</f>
        <v>15582647.149</v>
      </c>
      <c r="K45" s="213">
        <f t="shared" si="3"/>
        <v>11201820.149</v>
      </c>
      <c r="N45" s="66" t="s">
        <v>344</v>
      </c>
    </row>
    <row r="46" spans="2:19">
      <c r="B46" s="193" t="s">
        <v>419</v>
      </c>
      <c r="C46" s="84">
        <f>+'Sch 4'!C398</f>
        <v>30820998.057999995</v>
      </c>
      <c r="D46" s="66"/>
      <c r="E46" s="194">
        <v>7498057</v>
      </c>
      <c r="F46" s="195"/>
      <c r="G46" s="84">
        <f t="shared" si="2"/>
        <v>5418715</v>
      </c>
      <c r="H46" s="66"/>
      <c r="I46" s="84">
        <f t="shared" si="4"/>
        <v>36239713.057999998</v>
      </c>
      <c r="K46" s="213">
        <f t="shared" si="3"/>
        <v>30820998.057999995</v>
      </c>
      <c r="N46" s="66" t="s">
        <v>344</v>
      </c>
    </row>
    <row r="47" spans="2:19">
      <c r="B47" s="193" t="s">
        <v>411</v>
      </c>
      <c r="C47" s="84">
        <f>'Sch 4'!C409</f>
        <v>5010286.08</v>
      </c>
      <c r="D47" s="66"/>
      <c r="E47" s="194">
        <v>2368704</v>
      </c>
      <c r="F47" s="195"/>
      <c r="G47" s="84">
        <f t="shared" si="2"/>
        <v>1711821</v>
      </c>
      <c r="H47" s="66"/>
      <c r="I47" s="84">
        <f t="shared" si="4"/>
        <v>6722107.0800000001</v>
      </c>
      <c r="K47" s="213">
        <f t="shared" si="3"/>
        <v>5010286.08</v>
      </c>
      <c r="N47" s="66" t="s">
        <v>753</v>
      </c>
    </row>
    <row r="48" spans="2:19">
      <c r="B48" s="193" t="s">
        <v>412</v>
      </c>
      <c r="C48" s="84">
        <f>'Sch 4'!C416</f>
        <v>1776406.0100000002</v>
      </c>
      <c r="D48" s="66"/>
      <c r="E48" s="194">
        <v>214602</v>
      </c>
      <c r="F48" s="195"/>
      <c r="G48" s="84">
        <f t="shared" si="2"/>
        <v>155089</v>
      </c>
      <c r="H48" s="66"/>
      <c r="I48" s="84">
        <f t="shared" si="4"/>
        <v>1931495.0100000002</v>
      </c>
      <c r="K48" s="213">
        <f t="shared" si="3"/>
        <v>1776406.0100000002</v>
      </c>
      <c r="N48" s="66" t="s">
        <v>753</v>
      </c>
    </row>
    <row r="49" spans="2:16">
      <c r="B49" s="193" t="s">
        <v>24</v>
      </c>
      <c r="C49" s="84">
        <f>'Sch 4'!C423</f>
        <v>9329.2200000000012</v>
      </c>
      <c r="D49" s="66"/>
      <c r="E49" s="194">
        <v>95</v>
      </c>
      <c r="F49" s="195"/>
      <c r="G49" s="84">
        <f t="shared" si="2"/>
        <v>69</v>
      </c>
      <c r="H49" s="66"/>
      <c r="I49" s="84">
        <f t="shared" si="4"/>
        <v>9398.2200000000012</v>
      </c>
      <c r="K49" s="213">
        <f t="shared" si="3"/>
        <v>9329.2200000000012</v>
      </c>
      <c r="N49" s="66" t="s">
        <v>753</v>
      </c>
    </row>
    <row r="50" spans="2:16">
      <c r="B50" s="193" t="s">
        <v>413</v>
      </c>
      <c r="C50" s="84">
        <f>'Sch 4'!C435+'Sch 4'!C436</f>
        <v>3286344.63</v>
      </c>
      <c r="D50" s="66"/>
      <c r="E50" s="194">
        <v>593708</v>
      </c>
      <c r="F50" s="195"/>
      <c r="G50" s="84">
        <f t="shared" si="2"/>
        <v>429062</v>
      </c>
      <c r="H50" s="66"/>
      <c r="I50" s="84">
        <f t="shared" si="4"/>
        <v>3715406.63</v>
      </c>
      <c r="K50" s="213">
        <f t="shared" si="3"/>
        <v>3286344.63</v>
      </c>
      <c r="N50" s="66" t="s">
        <v>358</v>
      </c>
    </row>
    <row r="51" spans="2:16">
      <c r="B51" s="193" t="s">
        <v>414</v>
      </c>
      <c r="C51" s="205">
        <f>'Sch 4'!C426+'Sch 4'!C427+'Sch 4'!C428+'Sch 4'!C429+'Sch 4'!C430+'Sch 4'!C431+'Sch 4'!C432+'Sch 4'!C433+'Sch 4'!C434+'Sch 4'!C437+'Sch 4'!C438+'Sch 4'!C439+'Sch 4'!C442+'Sch 4'!C443</f>
        <v>24355046.93</v>
      </c>
      <c r="D51" s="66"/>
      <c r="E51" s="284">
        <v>7962322</v>
      </c>
      <c r="F51" s="195"/>
      <c r="G51" s="205">
        <f>C51*-1</f>
        <v>-24355046.93</v>
      </c>
      <c r="H51" s="66"/>
      <c r="I51" s="205">
        <f t="shared" si="4"/>
        <v>0</v>
      </c>
      <c r="K51" s="56"/>
      <c r="M51" s="56"/>
      <c r="N51" s="66" t="s">
        <v>810</v>
      </c>
    </row>
    <row r="52" spans="2:16">
      <c r="B52" s="193"/>
      <c r="C52" s="84"/>
      <c r="D52" s="66"/>
      <c r="E52" s="84"/>
      <c r="F52" s="66"/>
      <c r="G52" s="84"/>
      <c r="H52" s="66"/>
      <c r="I52" s="84"/>
    </row>
    <row r="53" spans="2:16" ht="13">
      <c r="B53" s="209" t="s">
        <v>415</v>
      </c>
      <c r="C53" s="84">
        <f>C31+C34+C41+SUM(C44:C51)</f>
        <v>305465180.78700006</v>
      </c>
      <c r="D53" s="66"/>
      <c r="E53" s="84">
        <f>E31+E34+E41+SUM(E44:E51)</f>
        <v>41663213.689392686</v>
      </c>
      <c r="F53" s="66"/>
      <c r="G53" s="84">
        <f>G31+G34+G41+SUM(G44:G51)</f>
        <v>-1.9299999997019768</v>
      </c>
      <c r="H53" s="66"/>
      <c r="I53" s="84">
        <f>I31+I34+I41+SUM(I44:I51)</f>
        <v>305465178.85700005</v>
      </c>
      <c r="K53" s="84">
        <f>K31+K34+K41+SUM(K44:K51)</f>
        <v>144462122.20340008</v>
      </c>
      <c r="M53" s="84">
        <f>M31+M34+M41+SUM(M44:M51)</f>
        <v>149596275.08360001</v>
      </c>
    </row>
    <row r="54" spans="2:16">
      <c r="C54" s="84"/>
      <c r="D54" s="66"/>
      <c r="E54" s="84"/>
      <c r="F54" s="66"/>
      <c r="G54" s="84"/>
      <c r="H54" s="66"/>
      <c r="I54" s="84"/>
    </row>
    <row r="55" spans="2:16" s="3" customFormat="1" ht="13">
      <c r="B55" s="3" t="s">
        <v>809</v>
      </c>
      <c r="D55" s="13"/>
      <c r="F55" s="13"/>
      <c r="H55" s="13"/>
      <c r="K55" s="226">
        <f>K53/(K53+M53)</f>
        <v>0.49127018148849361</v>
      </c>
      <c r="L55" s="226"/>
      <c r="M55" s="226">
        <f>M53/(K53+M53)</f>
        <v>0.50872981851150645</v>
      </c>
      <c r="N55" s="226">
        <f>K55+M55</f>
        <v>1</v>
      </c>
      <c r="O55" s="13"/>
      <c r="P55" s="13"/>
    </row>
    <row r="56" spans="2:16">
      <c r="C56" s="524" t="s">
        <v>207</v>
      </c>
      <c r="D56" s="524"/>
      <c r="E56" s="524"/>
      <c r="F56" s="524"/>
      <c r="G56" s="524"/>
    </row>
    <row r="57" spans="2:16">
      <c r="C57" s="22" t="s">
        <v>416</v>
      </c>
      <c r="E57" s="84">
        <v>2257423</v>
      </c>
      <c r="G57" s="84">
        <f>ROUND(E57/($E$53-$E$51)*$C$51,0)</f>
        <v>1631400</v>
      </c>
    </row>
    <row r="58" spans="2:16" ht="14">
      <c r="C58" s="22" t="s">
        <v>417</v>
      </c>
      <c r="E58" s="413">
        <v>760051</v>
      </c>
      <c r="G58" s="212">
        <f>ROUND(E58/($E$53-$E$51)*$C$51,0)</f>
        <v>549276</v>
      </c>
    </row>
    <row r="59" spans="2:16">
      <c r="E59" s="84">
        <f>SUM(E57:E58)</f>
        <v>3017474</v>
      </c>
      <c r="G59" s="211">
        <f>SUM(G57:G58)</f>
        <v>2180676</v>
      </c>
    </row>
  </sheetData>
  <mergeCells count="6">
    <mergeCell ref="C56:G56"/>
    <mergeCell ref="M43:N43"/>
    <mergeCell ref="A1:I1"/>
    <mergeCell ref="A2:I2"/>
    <mergeCell ref="A3:I3"/>
    <mergeCell ref="M8:N8"/>
  </mergeCells>
  <pageMargins left="0.7" right="0.7" top="0.75" bottom="0.75" header="0.3" footer="0.3"/>
  <pageSetup scale="57" orientation="portrait" r:id="rId1"/>
  <headerFooter>
    <oddHeader>&amp;RKPSC Case No. 2025-00257
SECTION V-Application
Exhibit 1
&amp;Pof&amp;N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9"/>
  <sheetViews>
    <sheetView view="pageBreakPreview" topLeftCell="A2" zoomScale="110" zoomScaleNormal="88" zoomScaleSheetLayoutView="110" workbookViewId="0">
      <selection activeCell="A2" sqref="A1:XFD1048576"/>
    </sheetView>
  </sheetViews>
  <sheetFormatPr defaultColWidth="9.1796875" defaultRowHeight="12.5"/>
  <cols>
    <col min="1" max="1" width="28.26953125" style="83" bestFit="1" customWidth="1"/>
    <col min="2" max="2" width="15" style="83" bestFit="1" customWidth="1"/>
    <col min="3" max="3" width="1.7265625" style="83" customWidth="1"/>
    <col min="4" max="4" width="12.81640625" style="83" bestFit="1" customWidth="1"/>
    <col min="5" max="5" width="1.7265625" style="83" customWidth="1"/>
    <col min="6" max="6" width="14.1796875" style="83" bestFit="1" customWidth="1"/>
    <col min="7" max="7" width="9.1796875" style="83"/>
    <col min="8" max="8" width="15.81640625" style="83" bestFit="1" customWidth="1"/>
    <col min="9" max="9" width="9.1796875" style="83"/>
    <col min="10" max="10" width="12.81640625" style="83" bestFit="1" customWidth="1"/>
    <col min="11" max="16384" width="9.1796875" style="83"/>
  </cols>
  <sheetData>
    <row r="1" spans="1:10" ht="25.5" customHeight="1">
      <c r="A1" s="527" t="s">
        <v>330</v>
      </c>
      <c r="B1" s="527"/>
      <c r="C1" s="527"/>
      <c r="D1" s="527"/>
      <c r="E1" s="527"/>
      <c r="F1" s="527"/>
    </row>
    <row r="2" spans="1:10">
      <c r="A2" s="527" t="s">
        <v>867</v>
      </c>
      <c r="B2" s="527"/>
      <c r="C2" s="527"/>
      <c r="D2" s="527"/>
      <c r="E2" s="527"/>
      <c r="F2" s="527"/>
    </row>
    <row r="3" spans="1:10">
      <c r="A3" s="528" t="s">
        <v>1019</v>
      </c>
      <c r="B3" s="528"/>
      <c r="C3" s="528"/>
      <c r="D3" s="528"/>
      <c r="E3" s="528"/>
      <c r="F3" s="528"/>
      <c r="H3" s="83" t="s">
        <v>1117</v>
      </c>
    </row>
    <row r="4" spans="1:10">
      <c r="H4" s="83" t="s">
        <v>1118</v>
      </c>
    </row>
    <row r="6" spans="1:10">
      <c r="A6" s="285" t="s">
        <v>430</v>
      </c>
      <c r="B6" s="286" t="s">
        <v>152</v>
      </c>
      <c r="D6" s="285" t="s">
        <v>431</v>
      </c>
      <c r="F6" s="285" t="s">
        <v>432</v>
      </c>
    </row>
    <row r="8" spans="1:10">
      <c r="A8" s="193" t="s">
        <v>420</v>
      </c>
      <c r="B8" s="414">
        <v>125459372.98999999</v>
      </c>
      <c r="D8" s="414">
        <v>7033579.0000000009</v>
      </c>
      <c r="F8" s="104">
        <f>B8+D8</f>
        <v>132492951.98999999</v>
      </c>
      <c r="H8" s="14"/>
      <c r="J8" s="247"/>
    </row>
    <row r="9" spans="1:10">
      <c r="A9" s="193"/>
      <c r="B9" s="194"/>
      <c r="D9" s="193"/>
      <c r="F9" s="104"/>
    </row>
    <row r="10" spans="1:10">
      <c r="A10" s="193" t="s">
        <v>421</v>
      </c>
      <c r="B10" s="284">
        <v>0</v>
      </c>
      <c r="D10" s="284">
        <v>0</v>
      </c>
      <c r="F10" s="287">
        <f t="shared" ref="F10" si="0">B10+D10</f>
        <v>0</v>
      </c>
    </row>
    <row r="11" spans="1:10">
      <c r="A11" s="193"/>
    </row>
    <row r="12" spans="1:10">
      <c r="A12" s="193" t="s">
        <v>422</v>
      </c>
      <c r="B12" s="104">
        <f>B8+B10</f>
        <v>125459372.98999999</v>
      </c>
      <c r="D12" s="104">
        <f>D8+D10</f>
        <v>7033579.0000000009</v>
      </c>
      <c r="F12" s="104">
        <f>F8+F10</f>
        <v>132492951.98999999</v>
      </c>
    </row>
    <row r="13" spans="1:10">
      <c r="A13" s="193"/>
    </row>
    <row r="14" spans="1:10">
      <c r="A14" s="193" t="s">
        <v>423</v>
      </c>
    </row>
    <row r="15" spans="1:10">
      <c r="A15" s="193"/>
    </row>
    <row r="16" spans="1:10">
      <c r="A16" s="194" t="s">
        <v>424</v>
      </c>
      <c r="B16" s="288">
        <v>28364374.999999985</v>
      </c>
      <c r="C16" s="288"/>
      <c r="D16" s="288">
        <v>2446936.7800000003</v>
      </c>
      <c r="F16" s="38">
        <f>B16+D16</f>
        <v>30811311.779999986</v>
      </c>
    </row>
    <row r="17" spans="1:6">
      <c r="A17" s="194"/>
      <c r="B17" s="288"/>
      <c r="C17" s="288"/>
      <c r="D17" s="288"/>
    </row>
    <row r="18" spans="1:6">
      <c r="A18" s="194" t="s">
        <v>745</v>
      </c>
      <c r="B18" s="288">
        <v>-2956196.3600000003</v>
      </c>
      <c r="C18" s="288"/>
      <c r="D18" s="288">
        <v>-2708679.1799999978</v>
      </c>
      <c r="F18" s="38">
        <f>B18+D18</f>
        <v>-5664875.5399999982</v>
      </c>
    </row>
    <row r="19" spans="1:6">
      <c r="A19" s="194"/>
      <c r="B19" s="288"/>
      <c r="C19" s="288"/>
      <c r="D19" s="288"/>
    </row>
    <row r="20" spans="1:6" ht="25">
      <c r="A20" s="289" t="s">
        <v>425</v>
      </c>
      <c r="B20" s="288">
        <v>0</v>
      </c>
      <c r="C20" s="288"/>
      <c r="D20" s="288">
        <v>0</v>
      </c>
      <c r="F20" s="38">
        <f>B20+D20</f>
        <v>0</v>
      </c>
    </row>
    <row r="21" spans="1:6">
      <c r="A21" s="194"/>
      <c r="B21" s="288"/>
      <c r="C21" s="288"/>
      <c r="D21" s="288"/>
    </row>
    <row r="22" spans="1:6">
      <c r="A22" s="290" t="s">
        <v>426</v>
      </c>
      <c r="B22" s="288">
        <v>0</v>
      </c>
      <c r="C22" s="288"/>
      <c r="D22" s="288">
        <v>0</v>
      </c>
      <c r="F22" s="38">
        <f>B22+D22</f>
        <v>0</v>
      </c>
    </row>
    <row r="23" spans="1:6">
      <c r="A23" s="193"/>
      <c r="B23" s="288"/>
      <c r="C23" s="236"/>
      <c r="D23" s="236"/>
    </row>
    <row r="24" spans="1:6">
      <c r="A24" s="194" t="s">
        <v>365</v>
      </c>
      <c r="B24" s="415">
        <v>2291757.9999999995</v>
      </c>
      <c r="C24" s="288"/>
      <c r="D24" s="415">
        <v>0</v>
      </c>
      <c r="F24" s="197">
        <f>B24+D24</f>
        <v>2291757.9999999995</v>
      </c>
    </row>
    <row r="25" spans="1:6">
      <c r="A25" s="193"/>
    </row>
    <row r="26" spans="1:6">
      <c r="A26" s="193" t="s">
        <v>427</v>
      </c>
      <c r="B26" s="38">
        <f>B16+B18+B20+B22+B24</f>
        <v>27699936.639999986</v>
      </c>
      <c r="D26" s="38">
        <f>D16+D18+D20+D22+D24</f>
        <v>-261742.39999999758</v>
      </c>
      <c r="F26" s="38">
        <f>F16+F18+F20+F22+F24</f>
        <v>27438194.239999987</v>
      </c>
    </row>
    <row r="27" spans="1:6">
      <c r="A27" s="193"/>
    </row>
    <row r="28" spans="1:6">
      <c r="A28" s="193" t="s">
        <v>428</v>
      </c>
      <c r="B28" s="56">
        <v>0</v>
      </c>
      <c r="D28" s="56">
        <v>0</v>
      </c>
      <c r="F28" s="56">
        <v>0</v>
      </c>
    </row>
    <row r="29" spans="1:6">
      <c r="A29" s="193"/>
    </row>
    <row r="30" spans="1:6">
      <c r="A30" s="193" t="s">
        <v>429</v>
      </c>
      <c r="B30" s="104">
        <f>B12-B26-B28</f>
        <v>97759436.350000009</v>
      </c>
      <c r="D30" s="104">
        <f>D12-D26-D28</f>
        <v>7295321.3999999985</v>
      </c>
      <c r="F30" s="104">
        <f>F12-F26-F28</f>
        <v>105054757.75</v>
      </c>
    </row>
    <row r="31" spans="1:6">
      <c r="A31" s="193"/>
      <c r="B31" s="404" t="s">
        <v>340</v>
      </c>
      <c r="C31" s="404"/>
      <c r="D31" s="404" t="s">
        <v>337</v>
      </c>
    </row>
    <row r="32" spans="1:6">
      <c r="A32" s="291" t="s">
        <v>741</v>
      </c>
      <c r="B32" s="84">
        <f>ROUND(B30*'Allocation Factors'!$G$14,0)</f>
        <v>96390804</v>
      </c>
      <c r="C32" s="84"/>
      <c r="D32" s="84">
        <f>ROUND(D30*'Allocation Factors'!$G$10,0)</f>
        <v>7185892</v>
      </c>
      <c r="F32" s="211">
        <f>B32+D32</f>
        <v>103576696</v>
      </c>
    </row>
    <row r="33" spans="1:7">
      <c r="A33" s="193"/>
    </row>
    <row r="36" spans="1:7" ht="13">
      <c r="A36" s="83" t="s">
        <v>515</v>
      </c>
      <c r="B36" s="84">
        <f>ROUND(B26*'Allocation Factors'!$G$14,0)</f>
        <v>27312138</v>
      </c>
      <c r="C36" s="84"/>
      <c r="D36" s="84">
        <f>ROUND(D26*'Allocation Factors'!$G$10,0)</f>
        <v>-257816</v>
      </c>
      <c r="G36" s="209"/>
    </row>
    <row r="37" spans="1:7" ht="13">
      <c r="B37" s="404" t="s">
        <v>340</v>
      </c>
      <c r="C37" s="404"/>
      <c r="D37" s="404" t="s">
        <v>337</v>
      </c>
      <c r="G37" s="209"/>
    </row>
    <row r="38" spans="1:7">
      <c r="G38" s="89"/>
    </row>
    <row r="39" spans="1:7" ht="13">
      <c r="G39" s="292"/>
    </row>
  </sheetData>
  <mergeCells count="3">
    <mergeCell ref="A1:F1"/>
    <mergeCell ref="A2:F2"/>
    <mergeCell ref="A3:F3"/>
  </mergeCells>
  <pageMargins left="0.7" right="0.7" top="0.75" bottom="0.75" header="0.3" footer="0.3"/>
  <pageSetup scale="93" orientation="portrait" r:id="rId1"/>
  <headerFooter>
    <oddHeader>&amp;RKPSC Case No. 2025-00257
SECTION V-Application
Exhibit 1
&amp;Pof&amp;N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AG59"/>
  <sheetViews>
    <sheetView view="pageBreakPreview" zoomScale="60" zoomScaleNormal="100" workbookViewId="0">
      <selection sqref="A1:XFD1048576"/>
    </sheetView>
  </sheetViews>
  <sheetFormatPr defaultColWidth="9.1796875" defaultRowHeight="12.5"/>
  <cols>
    <col min="1" max="1" width="5" style="83" bestFit="1" customWidth="1"/>
    <col min="2" max="2" width="10.7265625" style="83" bestFit="1" customWidth="1"/>
    <col min="3" max="3" width="9.7265625" style="83" customWidth="1"/>
    <col min="4" max="4" width="2.26953125" style="83" customWidth="1"/>
    <col min="5" max="5" width="11.54296875" style="83" bestFit="1" customWidth="1"/>
    <col min="6" max="6" width="2.26953125" style="83" customWidth="1"/>
    <col min="7" max="7" width="11.54296875" style="83" bestFit="1" customWidth="1"/>
    <col min="8" max="8" width="2.26953125" style="83" customWidth="1"/>
    <col min="9" max="9" width="13.453125" style="83" customWidth="1"/>
    <col min="10" max="10" width="2.26953125" style="83" customWidth="1"/>
    <col min="11" max="11" width="18" style="83" bestFit="1" customWidth="1"/>
    <col min="12" max="12" width="2.26953125" style="83" customWidth="1"/>
    <col min="13" max="13" width="12.81640625" style="83" customWidth="1"/>
    <col min="14" max="14" width="2.26953125" style="83" customWidth="1"/>
    <col min="15" max="15" width="13.54296875" style="83" customWidth="1"/>
    <col min="16" max="16" width="2.26953125" style="83" customWidth="1"/>
    <col min="17" max="17" width="11.54296875" style="83" customWidth="1"/>
    <col min="18" max="18" width="2.26953125" style="83" customWidth="1"/>
    <col min="19" max="19" width="11.453125" style="83" customWidth="1"/>
    <col min="20" max="20" width="2.26953125" style="83" customWidth="1"/>
    <col min="21" max="21" width="11.1796875" style="83" customWidth="1"/>
    <col min="22" max="22" width="2.26953125" style="83" customWidth="1"/>
    <col min="23" max="23" width="12.54296875" style="83" customWidth="1"/>
    <col min="24" max="24" width="2.26953125" style="83" customWidth="1"/>
    <col min="25" max="25" width="11.54296875" style="83" bestFit="1" customWidth="1"/>
    <col min="26" max="26" width="2.26953125" style="83" customWidth="1"/>
    <col min="27" max="27" width="11.54296875" style="83" bestFit="1" customWidth="1"/>
    <col min="28" max="28" width="2.26953125" style="83" customWidth="1"/>
    <col min="29" max="29" width="12.1796875" style="83" bestFit="1" customWidth="1"/>
    <col min="30" max="30" width="2.26953125" style="83" customWidth="1"/>
    <col min="31" max="31" width="11.26953125" style="83" customWidth="1"/>
    <col min="32" max="32" width="2.26953125" style="83" customWidth="1"/>
    <col min="33" max="33" width="11.26953125" style="83" customWidth="1"/>
    <col min="34" max="16384" width="9.1796875" style="83"/>
  </cols>
  <sheetData>
    <row r="2" spans="1:33">
      <c r="AE2" s="83" t="s">
        <v>1117</v>
      </c>
    </row>
    <row r="3" spans="1:33">
      <c r="AE3" s="83" t="s">
        <v>1119</v>
      </c>
    </row>
    <row r="5" spans="1:33">
      <c r="N5" s="404"/>
      <c r="AG5" s="95"/>
    </row>
    <row r="6" spans="1:33">
      <c r="A6" s="529"/>
      <c r="B6" s="529"/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29"/>
      <c r="N6" s="529"/>
      <c r="O6" s="529"/>
      <c r="P6" s="529"/>
      <c r="Q6" s="529"/>
      <c r="R6" s="529"/>
      <c r="S6" s="529"/>
      <c r="T6" s="529"/>
      <c r="U6" s="529"/>
      <c r="V6" s="529"/>
      <c r="W6" s="529"/>
      <c r="X6" s="529"/>
      <c r="Y6" s="529"/>
      <c r="Z6" s="529"/>
      <c r="AA6" s="529"/>
      <c r="AB6" s="529"/>
      <c r="AC6" s="529"/>
      <c r="AD6" s="529"/>
      <c r="AE6" s="529"/>
      <c r="AF6" s="529"/>
      <c r="AG6" s="529"/>
    </row>
    <row r="7" spans="1:33">
      <c r="A7" s="526" t="s">
        <v>433</v>
      </c>
      <c r="B7" s="526"/>
      <c r="C7" s="526"/>
      <c r="D7" s="526"/>
      <c r="E7" s="526"/>
      <c r="F7" s="526"/>
      <c r="G7" s="526"/>
      <c r="H7" s="526"/>
      <c r="I7" s="526"/>
      <c r="J7" s="526"/>
      <c r="K7" s="526"/>
      <c r="L7" s="526"/>
      <c r="M7" s="526"/>
      <c r="N7" s="526"/>
      <c r="O7" s="526"/>
      <c r="P7" s="526"/>
      <c r="Q7" s="526"/>
      <c r="R7" s="526"/>
      <c r="S7" s="526"/>
      <c r="T7" s="526"/>
      <c r="U7" s="526"/>
      <c r="V7" s="526"/>
      <c r="W7" s="526"/>
      <c r="X7" s="526"/>
      <c r="Y7" s="526"/>
      <c r="Z7" s="526"/>
      <c r="AA7" s="526"/>
      <c r="AB7" s="526"/>
      <c r="AC7" s="526"/>
      <c r="AD7" s="526"/>
      <c r="AE7" s="526"/>
      <c r="AF7" s="526"/>
      <c r="AG7" s="526"/>
    </row>
    <row r="8" spans="1:33">
      <c r="A8" s="526" t="s">
        <v>434</v>
      </c>
      <c r="B8" s="526"/>
      <c r="C8" s="526"/>
      <c r="D8" s="526"/>
      <c r="E8" s="526"/>
      <c r="F8" s="526"/>
      <c r="G8" s="526"/>
      <c r="H8" s="526"/>
      <c r="I8" s="526"/>
      <c r="J8" s="526"/>
      <c r="K8" s="526"/>
      <c r="L8" s="526"/>
      <c r="M8" s="526"/>
      <c r="N8" s="526"/>
      <c r="O8" s="526"/>
      <c r="P8" s="526"/>
      <c r="Q8" s="526"/>
      <c r="R8" s="526"/>
      <c r="S8" s="526"/>
      <c r="T8" s="526"/>
      <c r="U8" s="526"/>
      <c r="V8" s="526"/>
      <c r="W8" s="526"/>
      <c r="X8" s="526"/>
      <c r="Y8" s="526"/>
      <c r="Z8" s="526"/>
      <c r="AA8" s="526"/>
      <c r="AB8" s="526"/>
      <c r="AC8" s="526"/>
      <c r="AD8" s="526"/>
      <c r="AE8" s="526"/>
      <c r="AF8" s="526"/>
      <c r="AG8" s="526"/>
    </row>
    <row r="9" spans="1:33">
      <c r="A9" s="529"/>
      <c r="B9" s="529"/>
      <c r="C9" s="529"/>
      <c r="D9" s="529"/>
      <c r="E9" s="529"/>
      <c r="F9" s="529"/>
      <c r="G9" s="529"/>
      <c r="H9" s="529"/>
      <c r="I9" s="529"/>
      <c r="J9" s="529"/>
      <c r="K9" s="529"/>
      <c r="L9" s="529"/>
      <c r="M9" s="529"/>
      <c r="N9" s="529"/>
      <c r="O9" s="529"/>
      <c r="P9" s="529"/>
      <c r="Q9" s="529"/>
      <c r="R9" s="529"/>
      <c r="S9" s="529"/>
      <c r="T9" s="529"/>
      <c r="U9" s="529"/>
      <c r="V9" s="529"/>
      <c r="W9" s="529"/>
      <c r="X9" s="529"/>
      <c r="Y9" s="529"/>
      <c r="Z9" s="529"/>
      <c r="AA9" s="529"/>
      <c r="AB9" s="529"/>
      <c r="AC9" s="529"/>
      <c r="AD9" s="529"/>
      <c r="AE9" s="529"/>
      <c r="AF9" s="529"/>
      <c r="AG9" s="529"/>
    </row>
    <row r="10" spans="1:33">
      <c r="N10" s="405"/>
    </row>
    <row r="12" spans="1:33">
      <c r="F12" s="405" t="s">
        <v>313</v>
      </c>
      <c r="J12" s="405" t="s">
        <v>21</v>
      </c>
      <c r="N12" s="405" t="s">
        <v>22</v>
      </c>
      <c r="R12" s="405" t="s">
        <v>119</v>
      </c>
      <c r="U12" s="530" t="s">
        <v>52</v>
      </c>
      <c r="V12" s="530"/>
      <c r="W12" s="530"/>
      <c r="Z12" s="405" t="s">
        <v>432</v>
      </c>
    </row>
    <row r="13" spans="1:33" ht="50">
      <c r="A13" s="98" t="s">
        <v>435</v>
      </c>
      <c r="B13" s="405" t="s">
        <v>436</v>
      </c>
      <c r="E13" s="98" t="s">
        <v>437</v>
      </c>
      <c r="F13" s="99"/>
      <c r="G13" s="98" t="s">
        <v>438</v>
      </c>
      <c r="H13" s="99"/>
      <c r="I13" s="98" t="s">
        <v>437</v>
      </c>
      <c r="J13" s="99"/>
      <c r="K13" s="98" t="s">
        <v>438</v>
      </c>
      <c r="L13" s="99"/>
      <c r="M13" s="98" t="s">
        <v>437</v>
      </c>
      <c r="N13" s="99"/>
      <c r="O13" s="98" t="s">
        <v>438</v>
      </c>
      <c r="P13" s="99"/>
      <c r="Q13" s="98" t="s">
        <v>437</v>
      </c>
      <c r="R13" s="99"/>
      <c r="S13" s="98" t="s">
        <v>438</v>
      </c>
      <c r="U13" s="98" t="s">
        <v>437</v>
      </c>
      <c r="V13" s="99"/>
      <c r="W13" s="98" t="s">
        <v>438</v>
      </c>
      <c r="Y13" s="98" t="s">
        <v>437</v>
      </c>
      <c r="Z13" s="99"/>
      <c r="AA13" s="98" t="s">
        <v>438</v>
      </c>
      <c r="AC13" s="98" t="s">
        <v>439</v>
      </c>
      <c r="AE13" s="98" t="s">
        <v>806</v>
      </c>
      <c r="AG13" s="98" t="s">
        <v>807</v>
      </c>
    </row>
    <row r="14" spans="1:33">
      <c r="A14" s="102">
        <v>-1</v>
      </c>
      <c r="B14" s="102">
        <v>-2</v>
      </c>
      <c r="E14" s="102">
        <v>-3</v>
      </c>
      <c r="G14" s="102">
        <v>-4</v>
      </c>
      <c r="I14" s="102">
        <v>-5</v>
      </c>
      <c r="K14" s="102">
        <v>-6</v>
      </c>
      <c r="M14" s="102">
        <v>-7</v>
      </c>
      <c r="O14" s="102">
        <v>-8</v>
      </c>
      <c r="Q14" s="102">
        <v>-9</v>
      </c>
      <c r="S14" s="102">
        <v>-10</v>
      </c>
      <c r="U14" s="102">
        <v>-11</v>
      </c>
      <c r="W14" s="102">
        <v>-12</v>
      </c>
      <c r="Y14" s="102">
        <v>-13</v>
      </c>
      <c r="AA14" s="102">
        <v>-14</v>
      </c>
      <c r="AC14" s="102">
        <v>-15</v>
      </c>
      <c r="AE14" s="102">
        <v>-16</v>
      </c>
      <c r="AG14" s="102">
        <v>-17</v>
      </c>
    </row>
    <row r="15" spans="1:33">
      <c r="A15" s="102"/>
      <c r="B15" s="102"/>
      <c r="E15" s="102"/>
      <c r="G15" s="102"/>
      <c r="I15" s="102"/>
      <c r="K15" s="102"/>
      <c r="M15" s="102"/>
      <c r="O15" s="102"/>
      <c r="Q15" s="102"/>
      <c r="S15" s="102"/>
      <c r="Y15" s="102"/>
      <c r="AA15" s="102"/>
      <c r="AC15" s="102"/>
      <c r="AE15" s="102"/>
    </row>
    <row r="16" spans="1:33">
      <c r="A16" s="102"/>
      <c r="B16" s="102"/>
      <c r="E16" s="102"/>
      <c r="G16" s="102"/>
      <c r="I16" s="102"/>
      <c r="K16" s="102"/>
      <c r="M16" s="102"/>
      <c r="O16" s="102"/>
      <c r="Q16" s="102"/>
      <c r="S16" s="102"/>
      <c r="Y16" s="102"/>
      <c r="AA16" s="102"/>
      <c r="AC16" s="102"/>
      <c r="AE16" s="102"/>
    </row>
    <row r="17" spans="1:33">
      <c r="A17" s="102">
        <f>+A15+1</f>
        <v>1</v>
      </c>
      <c r="B17" s="83" t="s">
        <v>443</v>
      </c>
      <c r="C17" s="417">
        <v>2024</v>
      </c>
      <c r="E17" s="418">
        <v>42720.51</v>
      </c>
      <c r="F17" s="418"/>
      <c r="G17" s="418">
        <v>24968.49</v>
      </c>
      <c r="H17" s="418"/>
      <c r="I17" s="418">
        <v>194648.68</v>
      </c>
      <c r="J17" s="418"/>
      <c r="K17" s="418">
        <v>125239.94</v>
      </c>
      <c r="L17" s="418"/>
      <c r="M17" s="418">
        <v>67177.41</v>
      </c>
      <c r="N17" s="418"/>
      <c r="O17" s="418">
        <v>43179.33</v>
      </c>
      <c r="P17" s="418"/>
      <c r="Q17" s="418">
        <v>11614.62</v>
      </c>
      <c r="R17" s="418"/>
      <c r="S17" s="418">
        <v>7301.81</v>
      </c>
      <c r="T17" s="104"/>
      <c r="U17" s="418">
        <v>9713.91</v>
      </c>
      <c r="V17" s="418"/>
      <c r="W17" s="418">
        <v>6252.13</v>
      </c>
      <c r="X17" s="104"/>
      <c r="Y17" s="104">
        <f>E17+I17+M17+Q17+U17</f>
        <v>325875.12999999995</v>
      </c>
      <c r="Z17" s="104"/>
      <c r="AA17" s="104">
        <f>G17+K17+O17+S17+W17</f>
        <v>206941.7</v>
      </c>
      <c r="AB17" s="104"/>
      <c r="AC17" s="104">
        <f>Y17+AA17</f>
        <v>532816.82999999996</v>
      </c>
      <c r="AE17" s="416">
        <v>3.3373399999999998E-3</v>
      </c>
      <c r="AG17" s="416">
        <v>2.1480000000000002E-3</v>
      </c>
    </row>
    <row r="18" spans="1:33">
      <c r="A18" s="102"/>
      <c r="B18" s="83" t="s">
        <v>441</v>
      </c>
      <c r="C18" s="419" t="s">
        <v>441</v>
      </c>
      <c r="E18" s="420"/>
      <c r="F18" s="418"/>
      <c r="G18" s="420"/>
      <c r="H18" s="418"/>
      <c r="I18" s="420"/>
      <c r="J18" s="418"/>
      <c r="K18" s="420"/>
      <c r="L18" s="418"/>
      <c r="M18" s="420"/>
      <c r="N18" s="418"/>
      <c r="O18" s="420"/>
      <c r="P18" s="418"/>
      <c r="Q18" s="420"/>
      <c r="R18" s="418"/>
      <c r="S18" s="420"/>
      <c r="U18" s="420"/>
      <c r="V18" s="418"/>
      <c r="W18" s="420"/>
      <c r="Y18" s="102"/>
      <c r="Z18" s="104"/>
      <c r="AA18" s="104"/>
      <c r="AB18" s="104"/>
      <c r="AC18" s="104"/>
      <c r="AE18" s="102"/>
    </row>
    <row r="19" spans="1:33">
      <c r="A19" s="102">
        <f>+A17+1</f>
        <v>2</v>
      </c>
      <c r="B19" s="83" t="s">
        <v>444</v>
      </c>
      <c r="C19" s="417">
        <v>2024</v>
      </c>
      <c r="E19" s="418">
        <v>70856.95</v>
      </c>
      <c r="F19" s="418"/>
      <c r="G19" s="418">
        <v>38744.39</v>
      </c>
      <c r="H19" s="418"/>
      <c r="I19" s="418">
        <v>184206.19</v>
      </c>
      <c r="J19" s="418"/>
      <c r="K19" s="418">
        <v>99505.94</v>
      </c>
      <c r="L19" s="418"/>
      <c r="M19" s="418">
        <v>66422.59</v>
      </c>
      <c r="N19" s="418"/>
      <c r="O19" s="418">
        <v>36307.64</v>
      </c>
      <c r="P19" s="418"/>
      <c r="Q19" s="418">
        <v>14077.330000000002</v>
      </c>
      <c r="R19" s="418"/>
      <c r="S19" s="418">
        <v>7714.4400000000005</v>
      </c>
      <c r="T19" s="104"/>
      <c r="U19" s="418">
        <v>10330.790000000001</v>
      </c>
      <c r="V19" s="418"/>
      <c r="W19" s="418">
        <v>5660.33</v>
      </c>
      <c r="X19" s="104"/>
      <c r="Y19" s="104">
        <f>E19+I19+M19+Q19+U19</f>
        <v>345893.85</v>
      </c>
      <c r="Z19" s="104"/>
      <c r="AA19" s="104">
        <f>G19+K19+O19+S19+W19</f>
        <v>187932.74000000002</v>
      </c>
      <c r="AB19" s="104"/>
      <c r="AC19" s="104">
        <f>Y19+AA19</f>
        <v>533826.59</v>
      </c>
      <c r="AE19" s="416">
        <v>3.4615100000000001E-3</v>
      </c>
      <c r="AG19" s="416">
        <v>1.8965900000000001E-3</v>
      </c>
    </row>
    <row r="20" spans="1:33">
      <c r="A20" s="102"/>
      <c r="B20" s="83" t="s">
        <v>441</v>
      </c>
      <c r="C20" s="419" t="s">
        <v>441</v>
      </c>
      <c r="E20" s="420"/>
      <c r="F20" s="418"/>
      <c r="G20" s="420"/>
      <c r="H20" s="418"/>
      <c r="I20" s="420"/>
      <c r="J20" s="418"/>
      <c r="K20" s="420"/>
      <c r="L20" s="418"/>
      <c r="M20" s="420"/>
      <c r="N20" s="418"/>
      <c r="O20" s="420"/>
      <c r="P20" s="418"/>
      <c r="Q20" s="420"/>
      <c r="R20" s="418"/>
      <c r="S20" s="420"/>
      <c r="U20" s="420"/>
      <c r="V20" s="418"/>
      <c r="W20" s="420"/>
      <c r="Y20" s="102"/>
      <c r="Z20" s="104"/>
      <c r="AA20" s="104"/>
      <c r="AB20" s="104"/>
      <c r="AC20" s="104"/>
      <c r="AE20" s="102"/>
    </row>
    <row r="21" spans="1:33">
      <c r="A21" s="102">
        <f>+A19+1</f>
        <v>3</v>
      </c>
      <c r="B21" s="83" t="s">
        <v>445</v>
      </c>
      <c r="C21" s="417">
        <v>2024</v>
      </c>
      <c r="E21" s="418">
        <v>71515.44</v>
      </c>
      <c r="F21" s="418"/>
      <c r="G21" s="418">
        <v>43417.31</v>
      </c>
      <c r="H21" s="418"/>
      <c r="I21" s="418">
        <v>203350.73</v>
      </c>
      <c r="J21" s="418"/>
      <c r="K21" s="418">
        <v>123964.17</v>
      </c>
      <c r="L21" s="418"/>
      <c r="M21" s="418">
        <v>67125.040000000008</v>
      </c>
      <c r="N21" s="418"/>
      <c r="O21" s="418">
        <v>40916.26</v>
      </c>
      <c r="P21" s="418"/>
      <c r="Q21" s="418">
        <v>13892.56</v>
      </c>
      <c r="R21" s="418"/>
      <c r="S21" s="418">
        <v>8472.2000000000007</v>
      </c>
      <c r="T21" s="104"/>
      <c r="U21" s="418">
        <v>10470.369999999999</v>
      </c>
      <c r="V21" s="418"/>
      <c r="W21" s="418">
        <v>6379.02</v>
      </c>
      <c r="X21" s="104"/>
      <c r="Y21" s="104">
        <f>E21+I21+M21+Q21+U21</f>
        <v>366354.14000000007</v>
      </c>
      <c r="Z21" s="104"/>
      <c r="AA21" s="104">
        <f>G21+K21+O21+S21+W21</f>
        <v>223148.96</v>
      </c>
      <c r="AB21" s="104"/>
      <c r="AC21" s="104">
        <f>Y21+AA21</f>
        <v>589503.10000000009</v>
      </c>
      <c r="AE21" s="416">
        <v>3.37434E-3</v>
      </c>
      <c r="AG21" s="416">
        <v>2.0558E-3</v>
      </c>
    </row>
    <row r="22" spans="1:33">
      <c r="A22" s="102"/>
      <c r="B22" s="83" t="s">
        <v>441</v>
      </c>
      <c r="C22" s="419" t="s">
        <v>441</v>
      </c>
      <c r="E22" s="420"/>
      <c r="F22" s="418"/>
      <c r="G22" s="420"/>
      <c r="H22" s="418"/>
      <c r="I22" s="420"/>
      <c r="J22" s="418"/>
      <c r="K22" s="420"/>
      <c r="L22" s="418"/>
      <c r="M22" s="420"/>
      <c r="N22" s="418"/>
      <c r="O22" s="420"/>
      <c r="P22" s="418"/>
      <c r="Q22" s="420"/>
      <c r="R22" s="418"/>
      <c r="S22" s="420"/>
      <c r="U22" s="420"/>
      <c r="V22" s="418"/>
      <c r="W22" s="420"/>
      <c r="Y22" s="102"/>
      <c r="Z22" s="104"/>
      <c r="AA22" s="104"/>
      <c r="AB22" s="104"/>
      <c r="AC22" s="104"/>
      <c r="AE22" s="102"/>
    </row>
    <row r="23" spans="1:33">
      <c r="A23" s="102">
        <f>+A21+1</f>
        <v>4</v>
      </c>
      <c r="B23" s="83" t="s">
        <v>446</v>
      </c>
      <c r="C23" s="417">
        <v>2024</v>
      </c>
      <c r="E23" s="418">
        <v>46091.47</v>
      </c>
      <c r="F23" s="418"/>
      <c r="G23" s="418">
        <v>29886.880000000001</v>
      </c>
      <c r="H23" s="418"/>
      <c r="I23" s="418">
        <v>181173.89</v>
      </c>
      <c r="J23" s="418"/>
      <c r="K23" s="418">
        <v>122918.51000000001</v>
      </c>
      <c r="L23" s="418"/>
      <c r="M23" s="418">
        <v>62820.82</v>
      </c>
      <c r="N23" s="418"/>
      <c r="O23" s="418">
        <v>41403.86</v>
      </c>
      <c r="P23" s="418"/>
      <c r="Q23" s="418">
        <v>11535.9</v>
      </c>
      <c r="R23" s="418"/>
      <c r="S23" s="418">
        <v>7471.369999999999</v>
      </c>
      <c r="T23" s="104"/>
      <c r="U23" s="418">
        <v>10619.86</v>
      </c>
      <c r="V23" s="418"/>
      <c r="W23" s="418">
        <v>6878.13</v>
      </c>
      <c r="X23" s="104"/>
      <c r="Y23" s="104">
        <f>E23+I23+M23+Q23+U23</f>
        <v>312241.94</v>
      </c>
      <c r="Z23" s="104"/>
      <c r="AA23" s="104">
        <f>G23+K23+O23+S23+W23</f>
        <v>208558.75</v>
      </c>
      <c r="AB23" s="104"/>
      <c r="AC23" s="104">
        <f>Y23+AA23</f>
        <v>520800.69</v>
      </c>
      <c r="AE23" s="416">
        <v>3.2642299999999999E-3</v>
      </c>
      <c r="AG23" s="416">
        <v>2.1139900000000001E-3</v>
      </c>
    </row>
    <row r="24" spans="1:33">
      <c r="A24" s="102"/>
      <c r="C24" s="419" t="s">
        <v>441</v>
      </c>
      <c r="E24" s="420"/>
      <c r="F24" s="418"/>
      <c r="G24" s="420"/>
      <c r="H24" s="418"/>
      <c r="I24" s="420"/>
      <c r="J24" s="418"/>
      <c r="K24" s="420"/>
      <c r="L24" s="418"/>
      <c r="M24" s="420"/>
      <c r="N24" s="418"/>
      <c r="O24" s="420"/>
      <c r="P24" s="418"/>
      <c r="Q24" s="420"/>
      <c r="R24" s="418"/>
      <c r="S24" s="420"/>
      <c r="U24" s="420"/>
      <c r="V24" s="418"/>
      <c r="W24" s="420"/>
      <c r="Y24" s="102"/>
      <c r="Z24" s="104"/>
      <c r="AA24" s="104"/>
      <c r="AB24" s="104"/>
      <c r="AC24" s="104"/>
      <c r="AE24" s="102"/>
    </row>
    <row r="25" spans="1:33">
      <c r="A25" s="102">
        <f>+A23+1</f>
        <v>5</v>
      </c>
      <c r="B25" s="83" t="s">
        <v>447</v>
      </c>
      <c r="C25" s="417">
        <v>2024</v>
      </c>
      <c r="E25" s="418">
        <v>23216.73</v>
      </c>
      <c r="F25" s="418"/>
      <c r="G25" s="418">
        <v>7515.88</v>
      </c>
      <c r="H25" s="418"/>
      <c r="I25" s="418">
        <v>260679.01</v>
      </c>
      <c r="J25" s="418"/>
      <c r="K25" s="418">
        <v>81988.39</v>
      </c>
      <c r="L25" s="418"/>
      <c r="M25" s="418">
        <v>69354.61</v>
      </c>
      <c r="N25" s="418"/>
      <c r="O25" s="418">
        <v>21936.05</v>
      </c>
      <c r="P25" s="418"/>
      <c r="Q25" s="418">
        <v>11618.900000000001</v>
      </c>
      <c r="R25" s="418"/>
      <c r="S25" s="418">
        <v>3130.56</v>
      </c>
      <c r="T25" s="104"/>
      <c r="U25" s="418">
        <v>13032.84</v>
      </c>
      <c r="V25" s="418"/>
      <c r="W25" s="418">
        <v>4224.41</v>
      </c>
      <c r="X25" s="104"/>
      <c r="Y25" s="104">
        <f>E25+I25+M25+Q25+U25</f>
        <v>377902.09</v>
      </c>
      <c r="Z25" s="104"/>
      <c r="AA25" s="104">
        <f>G25+K25+O25+S25+W25</f>
        <v>118795.29000000001</v>
      </c>
      <c r="AB25" s="104"/>
      <c r="AC25" s="104">
        <f>Y25+AA25</f>
        <v>496697.38</v>
      </c>
      <c r="AE25" s="416">
        <v>3.80087E-3</v>
      </c>
      <c r="AG25" s="416">
        <v>1.232E-3</v>
      </c>
    </row>
    <row r="26" spans="1:33">
      <c r="A26" s="102"/>
      <c r="B26" s="83" t="s">
        <v>441</v>
      </c>
      <c r="C26" s="419" t="s">
        <v>441</v>
      </c>
      <c r="E26" s="420"/>
      <c r="F26" s="418"/>
      <c r="G26" s="420"/>
      <c r="H26" s="418"/>
      <c r="I26" s="420"/>
      <c r="J26" s="418"/>
      <c r="K26" s="420"/>
      <c r="L26" s="418"/>
      <c r="M26" s="420"/>
      <c r="N26" s="418"/>
      <c r="O26" s="420"/>
      <c r="P26" s="418"/>
      <c r="Q26" s="420"/>
      <c r="R26" s="418"/>
      <c r="S26" s="420"/>
      <c r="U26" s="420"/>
      <c r="V26" s="418"/>
      <c r="W26" s="420"/>
      <c r="Y26" s="102"/>
      <c r="Z26" s="104"/>
      <c r="AA26" s="104"/>
      <c r="AB26" s="104"/>
      <c r="AC26" s="104"/>
      <c r="AE26" s="102"/>
    </row>
    <row r="27" spans="1:33">
      <c r="A27" s="102">
        <f>+A25+1</f>
        <v>6</v>
      </c>
      <c r="B27" s="83" t="s">
        <v>448</v>
      </c>
      <c r="C27" s="417">
        <v>2024</v>
      </c>
      <c r="E27" s="418">
        <v>27317.93</v>
      </c>
      <c r="F27" s="418"/>
      <c r="G27" s="418">
        <v>4171.45</v>
      </c>
      <c r="H27" s="418"/>
      <c r="I27" s="418">
        <v>286352.15000000002</v>
      </c>
      <c r="J27" s="418"/>
      <c r="K27" s="418">
        <v>43676.73</v>
      </c>
      <c r="L27" s="418"/>
      <c r="M27" s="418">
        <v>68291.66</v>
      </c>
      <c r="N27" s="418"/>
      <c r="O27" s="418">
        <v>10764.42</v>
      </c>
      <c r="P27" s="418"/>
      <c r="Q27" s="418">
        <v>15811.39</v>
      </c>
      <c r="R27" s="418"/>
      <c r="S27" s="418">
        <v>2515.0200000000004</v>
      </c>
      <c r="T27" s="104"/>
      <c r="U27" s="418">
        <v>20885.080000000002</v>
      </c>
      <c r="V27" s="418"/>
      <c r="W27" s="418">
        <v>3322.06</v>
      </c>
      <c r="X27" s="104"/>
      <c r="Y27" s="104">
        <f>E27+I27+M27+Q27+U27</f>
        <v>418658.21</v>
      </c>
      <c r="Z27" s="104"/>
      <c r="AA27" s="104">
        <f>G27+K27+O27+S27+W27</f>
        <v>64449.679999999993</v>
      </c>
      <c r="AB27" s="104"/>
      <c r="AC27" s="104">
        <f>Y27+AA27</f>
        <v>483107.89</v>
      </c>
      <c r="AE27" s="416">
        <v>3.9144200000000001E-3</v>
      </c>
      <c r="AG27" s="416">
        <v>6.2264000000000004E-4</v>
      </c>
    </row>
    <row r="28" spans="1:33">
      <c r="A28" s="102"/>
      <c r="B28" s="83" t="s">
        <v>441</v>
      </c>
      <c r="C28" s="417"/>
      <c r="E28" s="420"/>
      <c r="F28" s="418"/>
      <c r="G28" s="420"/>
      <c r="H28" s="418"/>
      <c r="I28" s="420"/>
      <c r="J28" s="418"/>
      <c r="K28" s="420"/>
      <c r="L28" s="418"/>
      <c r="M28" s="420"/>
      <c r="N28" s="418"/>
      <c r="O28" s="420"/>
      <c r="P28" s="418"/>
      <c r="Q28" s="420"/>
      <c r="R28" s="418"/>
      <c r="S28" s="420"/>
      <c r="U28" s="420"/>
      <c r="V28" s="418"/>
      <c r="W28" s="420"/>
      <c r="Y28" s="102"/>
      <c r="Z28" s="104"/>
      <c r="AA28" s="104"/>
      <c r="AB28" s="104"/>
      <c r="AC28" s="104"/>
      <c r="AE28" s="102"/>
    </row>
    <row r="29" spans="1:33">
      <c r="A29" s="102">
        <f>+A27+1</f>
        <v>7</v>
      </c>
      <c r="B29" s="83" t="s">
        <v>449</v>
      </c>
      <c r="C29" s="417">
        <v>2024</v>
      </c>
      <c r="E29" s="418">
        <v>21833.49</v>
      </c>
      <c r="F29" s="418"/>
      <c r="G29" s="418">
        <v>-37.65</v>
      </c>
      <c r="H29" s="418"/>
      <c r="I29" s="418">
        <v>254392.69</v>
      </c>
      <c r="J29" s="418"/>
      <c r="K29" s="418">
        <v>22190.84</v>
      </c>
      <c r="L29" s="418"/>
      <c r="M29" s="418">
        <v>71726.320000000007</v>
      </c>
      <c r="N29" s="418"/>
      <c r="O29" s="418">
        <v>6246.7300000000005</v>
      </c>
      <c r="P29" s="418"/>
      <c r="Q29" s="418">
        <v>6956.66</v>
      </c>
      <c r="R29" s="418"/>
      <c r="S29" s="418">
        <v>-8.9799999999999898</v>
      </c>
      <c r="T29" s="104"/>
      <c r="U29" s="418">
        <v>21353.03</v>
      </c>
      <c r="V29" s="418"/>
      <c r="W29" s="418">
        <v>1947.01</v>
      </c>
      <c r="X29" s="104"/>
      <c r="Y29" s="104">
        <f>E29+I29+M29+Q29+U29</f>
        <v>376262.18999999994</v>
      </c>
      <c r="Z29" s="104"/>
      <c r="AA29" s="104">
        <f>G29+K29+O29+S29+W29</f>
        <v>30337.949999999997</v>
      </c>
      <c r="AB29" s="104"/>
      <c r="AC29" s="104">
        <f>Y29+AA29</f>
        <v>406600.13999999996</v>
      </c>
      <c r="AE29" s="416">
        <v>3.90187E-3</v>
      </c>
      <c r="AG29" s="416">
        <v>3.5577999999999999E-4</v>
      </c>
    </row>
    <row r="30" spans="1:33">
      <c r="A30" s="102"/>
      <c r="C30" s="419" t="s">
        <v>441</v>
      </c>
      <c r="E30" s="420"/>
      <c r="F30" s="418"/>
      <c r="G30" s="420"/>
      <c r="H30" s="418"/>
      <c r="I30" s="420"/>
      <c r="J30" s="418"/>
      <c r="K30" s="420"/>
      <c r="L30" s="418"/>
      <c r="M30" s="420"/>
      <c r="N30" s="418"/>
      <c r="O30" s="420"/>
      <c r="P30" s="418"/>
      <c r="Q30" s="420"/>
      <c r="R30" s="418"/>
      <c r="S30" s="420"/>
      <c r="U30" s="420"/>
      <c r="V30" s="418"/>
      <c r="W30" s="420"/>
      <c r="Y30" s="102"/>
      <c r="Z30" s="104"/>
      <c r="AA30" s="104"/>
      <c r="AB30" s="104"/>
      <c r="AC30" s="104"/>
      <c r="AE30" s="102"/>
    </row>
    <row r="31" spans="1:33">
      <c r="A31" s="102">
        <f>+A29+1</f>
        <v>8</v>
      </c>
      <c r="B31" s="83" t="s">
        <v>450</v>
      </c>
      <c r="C31" s="417">
        <v>2025</v>
      </c>
      <c r="E31" s="418">
        <v>21230.7</v>
      </c>
      <c r="F31" s="418"/>
      <c r="G31" s="418">
        <v>-167.09</v>
      </c>
      <c r="H31" s="418"/>
      <c r="I31" s="418">
        <v>136697.28</v>
      </c>
      <c r="J31" s="418"/>
      <c r="K31" s="418">
        <v>-26248.080000000002</v>
      </c>
      <c r="L31" s="418"/>
      <c r="M31" s="418">
        <v>74676.180000000008</v>
      </c>
      <c r="N31" s="418"/>
      <c r="O31" s="418">
        <v>-1394.83</v>
      </c>
      <c r="P31" s="418"/>
      <c r="Q31" s="418">
        <v>3733.29</v>
      </c>
      <c r="R31" s="418"/>
      <c r="S31" s="418">
        <v>-3954.4300000000003</v>
      </c>
      <c r="T31" s="104"/>
      <c r="U31" s="418">
        <v>805.71</v>
      </c>
      <c r="V31" s="418"/>
      <c r="W31" s="418">
        <v>0</v>
      </c>
      <c r="X31" s="104"/>
      <c r="Y31" s="104">
        <f>E31+I31+M31+Q31+U31</f>
        <v>237143.16000000003</v>
      </c>
      <c r="Z31" s="104"/>
      <c r="AA31" s="104">
        <f>G31+K31+O31+S31+W31</f>
        <v>-31764.43</v>
      </c>
      <c r="AB31" s="104"/>
      <c r="AC31" s="104">
        <f>Y31+AA31</f>
        <v>205378.73000000004</v>
      </c>
      <c r="AE31" s="416">
        <v>3.9526500000000003E-3</v>
      </c>
      <c r="AG31" s="416">
        <v>0</v>
      </c>
    </row>
    <row r="32" spans="1:33">
      <c r="A32" s="102"/>
      <c r="B32" s="83" t="s">
        <v>441</v>
      </c>
      <c r="C32" s="419"/>
      <c r="E32" s="420"/>
      <c r="F32" s="418"/>
      <c r="G32" s="420"/>
      <c r="H32" s="418"/>
      <c r="I32" s="420"/>
      <c r="J32" s="418"/>
      <c r="K32" s="420"/>
      <c r="L32" s="418"/>
      <c r="M32" s="420"/>
      <c r="N32" s="418"/>
      <c r="O32" s="420"/>
      <c r="P32" s="418"/>
      <c r="Q32" s="420"/>
      <c r="R32" s="418"/>
      <c r="S32" s="420"/>
      <c r="U32" s="420"/>
      <c r="V32" s="418"/>
      <c r="W32" s="420"/>
      <c r="Y32" s="102"/>
      <c r="Z32" s="104"/>
      <c r="AA32" s="104"/>
      <c r="AB32" s="104"/>
      <c r="AC32" s="104"/>
      <c r="AE32" s="102"/>
    </row>
    <row r="33" spans="1:33">
      <c r="A33" s="102">
        <f>+A31+1</f>
        <v>9</v>
      </c>
      <c r="B33" s="83" t="s">
        <v>451</v>
      </c>
      <c r="C33" s="417">
        <v>2025</v>
      </c>
      <c r="E33" s="418">
        <v>-601.89</v>
      </c>
      <c r="F33" s="418"/>
      <c r="G33" s="418">
        <v>9600.51</v>
      </c>
      <c r="H33" s="418"/>
      <c r="I33" s="418">
        <v>175278.31</v>
      </c>
      <c r="J33" s="418"/>
      <c r="K33" s="418">
        <v>139481.49</v>
      </c>
      <c r="L33" s="418"/>
      <c r="M33" s="418">
        <v>80774.5</v>
      </c>
      <c r="N33" s="418"/>
      <c r="O33" s="418">
        <v>64193.440000000002</v>
      </c>
      <c r="P33" s="418"/>
      <c r="Q33" s="418">
        <v>1795.4699999999998</v>
      </c>
      <c r="R33" s="418"/>
      <c r="S33" s="418">
        <v>1597.3</v>
      </c>
      <c r="T33" s="104"/>
      <c r="U33" s="418">
        <v>615.84</v>
      </c>
      <c r="V33" s="418"/>
      <c r="W33" s="418">
        <v>489.07</v>
      </c>
      <c r="X33" s="104"/>
      <c r="Y33" s="104">
        <f>E33+I33+M33+Q33+U33</f>
        <v>257862.22999999998</v>
      </c>
      <c r="Z33" s="104"/>
      <c r="AA33" s="104">
        <f>G33+K33+O33+S33+W33</f>
        <v>215361.81</v>
      </c>
      <c r="AB33" s="104"/>
      <c r="AC33" s="104">
        <f>Y33+AA33</f>
        <v>473224.04</v>
      </c>
      <c r="AE33" s="416">
        <v>3.0026599999999999E-3</v>
      </c>
      <c r="AG33" s="416">
        <v>2.38456E-3</v>
      </c>
    </row>
    <row r="34" spans="1:33">
      <c r="A34" s="102"/>
      <c r="C34" s="417"/>
      <c r="E34" s="420"/>
      <c r="F34" s="418"/>
      <c r="G34" s="420"/>
      <c r="H34" s="418"/>
      <c r="I34" s="420"/>
      <c r="J34" s="418"/>
      <c r="K34" s="420"/>
      <c r="L34" s="418"/>
      <c r="M34" s="420"/>
      <c r="N34" s="418"/>
      <c r="O34" s="420"/>
      <c r="P34" s="418"/>
      <c r="Q34" s="420"/>
      <c r="R34" s="418"/>
      <c r="S34" s="420"/>
      <c r="U34" s="420"/>
      <c r="V34" s="418"/>
      <c r="W34" s="420"/>
      <c r="Y34" s="102"/>
      <c r="Z34" s="104"/>
      <c r="AA34" s="104"/>
      <c r="AB34" s="104"/>
      <c r="AC34" s="104"/>
      <c r="AE34" s="102"/>
    </row>
    <row r="35" spans="1:33">
      <c r="A35" s="102">
        <f>+A33+1</f>
        <v>10</v>
      </c>
      <c r="B35" s="83" t="s">
        <v>452</v>
      </c>
      <c r="C35" s="417">
        <v>2025</v>
      </c>
      <c r="E35" s="418">
        <v>12998.06</v>
      </c>
      <c r="F35" s="418"/>
      <c r="G35" s="418">
        <v>13560.6</v>
      </c>
      <c r="H35" s="418"/>
      <c r="I35" s="418">
        <v>162178.85</v>
      </c>
      <c r="J35" s="418"/>
      <c r="K35" s="418">
        <v>177152.73</v>
      </c>
      <c r="L35" s="418"/>
      <c r="M35" s="418">
        <v>70403.56</v>
      </c>
      <c r="N35" s="418"/>
      <c r="O35" s="418">
        <v>78947.89</v>
      </c>
      <c r="P35" s="418"/>
      <c r="Q35" s="418">
        <v>1545.74</v>
      </c>
      <c r="R35" s="418"/>
      <c r="S35" s="418">
        <v>1841.21</v>
      </c>
      <c r="T35" s="104"/>
      <c r="U35" s="418">
        <v>576.80000000000007</v>
      </c>
      <c r="V35" s="418"/>
      <c r="W35" s="418">
        <v>601.06000000000006</v>
      </c>
      <c r="X35" s="104"/>
      <c r="Y35" s="104">
        <f>E35+I35+M35+Q35+U35</f>
        <v>247703.00999999998</v>
      </c>
      <c r="Z35" s="104"/>
      <c r="AA35" s="104">
        <f>G35+K35+O35+S35+W35</f>
        <v>272103.49000000005</v>
      </c>
      <c r="AB35" s="104"/>
      <c r="AC35" s="104">
        <f>Y35+AA35</f>
        <v>519806.5</v>
      </c>
      <c r="AE35" s="416">
        <v>2.7940999999999999E-3</v>
      </c>
      <c r="AG35" s="416">
        <v>2.9116099999999998E-3</v>
      </c>
    </row>
    <row r="36" spans="1:33">
      <c r="A36" s="102"/>
      <c r="C36" s="419"/>
      <c r="E36" s="420"/>
      <c r="F36" s="418"/>
      <c r="G36" s="420"/>
      <c r="H36" s="418"/>
      <c r="I36" s="420"/>
      <c r="J36" s="418"/>
      <c r="K36" s="420"/>
      <c r="L36" s="418"/>
      <c r="M36" s="420"/>
      <c r="N36" s="418"/>
      <c r="O36" s="420"/>
      <c r="P36" s="418"/>
      <c r="Q36" s="420"/>
      <c r="R36" s="418"/>
      <c r="S36" s="420"/>
      <c r="U36" s="420"/>
      <c r="V36" s="418"/>
      <c r="W36" s="420"/>
      <c r="Y36" s="102"/>
      <c r="Z36" s="104"/>
      <c r="AA36" s="104"/>
      <c r="AB36" s="104"/>
      <c r="AC36" s="104"/>
      <c r="AE36" s="102"/>
    </row>
    <row r="37" spans="1:33">
      <c r="A37" s="102">
        <f>+A35+1</f>
        <v>11</v>
      </c>
      <c r="B37" s="83" t="s">
        <v>878</v>
      </c>
      <c r="C37" s="417">
        <v>2025</v>
      </c>
      <c r="E37" s="418">
        <v>13656.300000000001</v>
      </c>
      <c r="F37" s="418"/>
      <c r="G37" s="418">
        <v>15005.76</v>
      </c>
      <c r="H37" s="418"/>
      <c r="I37" s="418">
        <v>216868.23</v>
      </c>
      <c r="J37" s="418"/>
      <c r="K37" s="418">
        <v>238278.44</v>
      </c>
      <c r="L37" s="418"/>
      <c r="M37" s="418">
        <v>81516.650000000009</v>
      </c>
      <c r="N37" s="418"/>
      <c r="O37" s="418">
        <v>89621.98</v>
      </c>
      <c r="P37" s="418"/>
      <c r="Q37" s="418">
        <v>1919.73</v>
      </c>
      <c r="R37" s="418"/>
      <c r="S37" s="418">
        <v>2108.92</v>
      </c>
      <c r="T37" s="104"/>
      <c r="U37" s="418">
        <v>571.84</v>
      </c>
      <c r="V37" s="418"/>
      <c r="W37" s="418">
        <v>628.19000000000005</v>
      </c>
      <c r="X37" s="104"/>
      <c r="Y37" s="104">
        <f>E37+I37+M37+Q37+U37</f>
        <v>314532.75</v>
      </c>
      <c r="Z37" s="104"/>
      <c r="AA37" s="104">
        <f>G37+K37+O37+S37+W37</f>
        <v>345643.29</v>
      </c>
      <c r="AB37" s="104"/>
      <c r="AC37" s="104">
        <f>Y37+AA37</f>
        <v>660176.04</v>
      </c>
      <c r="AE37" s="416">
        <v>2.7503100000000002E-3</v>
      </c>
      <c r="AG37" s="416">
        <v>3.0213599999999998E-3</v>
      </c>
    </row>
    <row r="38" spans="1:33">
      <c r="A38" s="102"/>
      <c r="B38" s="83" t="s">
        <v>441</v>
      </c>
      <c r="C38" s="419" t="s">
        <v>441</v>
      </c>
      <c r="E38" s="420"/>
      <c r="F38" s="418"/>
      <c r="G38" s="420"/>
      <c r="H38" s="418"/>
      <c r="I38" s="420"/>
      <c r="J38" s="418"/>
      <c r="K38" s="420"/>
      <c r="L38" s="418"/>
      <c r="M38" s="420"/>
      <c r="N38" s="418"/>
      <c r="O38" s="420"/>
      <c r="P38" s="418"/>
      <c r="Q38" s="420"/>
      <c r="R38" s="418"/>
      <c r="S38" s="420"/>
      <c r="U38" s="420"/>
      <c r="V38" s="418"/>
      <c r="W38" s="420"/>
      <c r="Y38" s="102"/>
      <c r="Z38" s="104"/>
      <c r="AA38" s="104"/>
      <c r="AB38" s="104"/>
      <c r="AC38" s="104"/>
      <c r="AE38" s="102"/>
    </row>
    <row r="39" spans="1:33">
      <c r="A39" s="102">
        <f>+A37+1</f>
        <v>12</v>
      </c>
      <c r="B39" s="83" t="s">
        <v>442</v>
      </c>
      <c r="C39" s="417">
        <v>2025</v>
      </c>
      <c r="E39" s="418">
        <v>16969.25</v>
      </c>
      <c r="F39" s="418"/>
      <c r="G39" s="418">
        <v>13226.39</v>
      </c>
      <c r="H39" s="418"/>
      <c r="I39" s="418">
        <v>242451.05000000002</v>
      </c>
      <c r="J39" s="418"/>
      <c r="K39" s="418">
        <v>188645.97</v>
      </c>
      <c r="L39" s="418"/>
      <c r="M39" s="418">
        <v>83258.460000000006</v>
      </c>
      <c r="N39" s="418"/>
      <c r="O39" s="418">
        <v>67740.95</v>
      </c>
      <c r="P39" s="418"/>
      <c r="Q39" s="418">
        <v>2061.0100000000002</v>
      </c>
      <c r="R39" s="418"/>
      <c r="S39" s="418">
        <v>1636.49</v>
      </c>
      <c r="T39" s="104"/>
      <c r="U39" s="418">
        <v>630.18000000000006</v>
      </c>
      <c r="V39" s="418"/>
      <c r="W39" s="418">
        <v>491.38</v>
      </c>
      <c r="X39" s="104"/>
      <c r="Y39" s="104">
        <f>E39+I39+M39+Q39+U39</f>
        <v>345369.95</v>
      </c>
      <c r="Z39" s="104"/>
      <c r="AA39" s="104">
        <f>G39+K39+O39+S39+W39</f>
        <v>271741.18</v>
      </c>
      <c r="AB39" s="104"/>
      <c r="AC39" s="104">
        <f>Y39+AA39</f>
        <v>617111.13</v>
      </c>
      <c r="AE39" s="416">
        <v>3.0041999999999998E-3</v>
      </c>
      <c r="AG39" s="416">
        <v>2.3424800000000001E-3</v>
      </c>
    </row>
    <row r="40" spans="1:33">
      <c r="A40" s="102"/>
      <c r="E40" s="105" t="s">
        <v>453</v>
      </c>
      <c r="G40" s="105" t="s">
        <v>453</v>
      </c>
      <c r="I40" s="105" t="s">
        <v>453</v>
      </c>
      <c r="K40" s="105" t="s">
        <v>453</v>
      </c>
      <c r="M40" s="105" t="s">
        <v>453</v>
      </c>
      <c r="O40" s="105" t="s">
        <v>453</v>
      </c>
      <c r="Q40" s="105" t="s">
        <v>453</v>
      </c>
      <c r="S40" s="105" t="s">
        <v>453</v>
      </c>
      <c r="U40" s="105" t="s">
        <v>453</v>
      </c>
      <c r="W40" s="105" t="s">
        <v>453</v>
      </c>
      <c r="Y40" s="105" t="s">
        <v>453</v>
      </c>
      <c r="AA40" s="105" t="s">
        <v>453</v>
      </c>
      <c r="AC40" s="105" t="s">
        <v>453</v>
      </c>
      <c r="AE40" s="107"/>
    </row>
    <row r="41" spans="1:33">
      <c r="A41" s="102"/>
      <c r="AE41" s="228"/>
      <c r="AF41" s="228"/>
    </row>
    <row r="42" spans="1:33">
      <c r="A42" s="102">
        <v>13</v>
      </c>
      <c r="B42" s="404" t="s">
        <v>454</v>
      </c>
      <c r="E42" s="104">
        <f>SUM(E17:E39)</f>
        <v>367804.94</v>
      </c>
      <c r="G42" s="104">
        <f>SUM(G17:G39)</f>
        <v>199892.92000000004</v>
      </c>
      <c r="I42" s="104">
        <f>SUM(I17:I39)</f>
        <v>2498277.06</v>
      </c>
      <c r="K42" s="104">
        <f>SUM(K17:K39)</f>
        <v>1336795.0699999998</v>
      </c>
      <c r="M42" s="104">
        <f>SUM(M17:M39)</f>
        <v>863547.79999999993</v>
      </c>
      <c r="O42" s="104">
        <f>SUM(O17:O39)</f>
        <v>499863.72000000003</v>
      </c>
      <c r="Q42" s="104">
        <f>SUM(Q17:Q39)</f>
        <v>96562.6</v>
      </c>
      <c r="S42" s="104">
        <f>SUM(S17:S39)</f>
        <v>39825.909999999989</v>
      </c>
      <c r="U42" s="104">
        <f>SUM(U17:U39)</f>
        <v>99606.25</v>
      </c>
      <c r="W42" s="204">
        <f>SUM(W17:W39)</f>
        <v>36872.79</v>
      </c>
      <c r="Y42" s="104">
        <f>SUM(Y17:Y39)</f>
        <v>3925798.6500000004</v>
      </c>
      <c r="AA42" s="104">
        <f>SUM(AA17:AA39)</f>
        <v>2113250.41</v>
      </c>
      <c r="AC42" s="104">
        <f>SUM(AC17:AC39)</f>
        <v>6039049.0599999996</v>
      </c>
      <c r="AE42" s="228"/>
      <c r="AF42" s="228"/>
    </row>
    <row r="43" spans="1:33">
      <c r="A43" s="102"/>
      <c r="E43" s="105" t="s">
        <v>455</v>
      </c>
      <c r="G43" s="105" t="s">
        <v>455</v>
      </c>
      <c r="I43" s="105" t="s">
        <v>455</v>
      </c>
      <c r="K43" s="105" t="s">
        <v>455</v>
      </c>
      <c r="M43" s="105" t="s">
        <v>455</v>
      </c>
      <c r="O43" s="105" t="s">
        <v>455</v>
      </c>
      <c r="Q43" s="105" t="s">
        <v>455</v>
      </c>
      <c r="S43" s="105" t="s">
        <v>455</v>
      </c>
      <c r="U43" s="105" t="s">
        <v>455</v>
      </c>
      <c r="W43" s="105" t="s">
        <v>455</v>
      </c>
      <c r="Y43" s="105" t="s">
        <v>455</v>
      </c>
      <c r="AA43" s="105" t="s">
        <v>455</v>
      </c>
      <c r="AC43" s="105" t="s">
        <v>456</v>
      </c>
      <c r="AE43" s="107"/>
    </row>
    <row r="44" spans="1:33">
      <c r="A44" s="102"/>
      <c r="AE44" s="107"/>
    </row>
    <row r="45" spans="1:33">
      <c r="A45" s="102"/>
      <c r="AE45" s="107"/>
    </row>
    <row r="46" spans="1:33">
      <c r="A46" s="102"/>
      <c r="Y46" s="228"/>
      <c r="Z46" s="228"/>
      <c r="AA46" s="228"/>
      <c r="AE46" s="107"/>
    </row>
    <row r="47" spans="1:33">
      <c r="A47" s="102"/>
      <c r="Y47" s="228"/>
      <c r="Z47" s="228"/>
      <c r="AA47" s="228"/>
      <c r="AE47" s="107"/>
    </row>
    <row r="48" spans="1:33">
      <c r="A48" s="102"/>
      <c r="Y48" s="228"/>
      <c r="Z48" s="228"/>
      <c r="AA48" s="228"/>
      <c r="AE48" s="107"/>
    </row>
    <row r="49" spans="1:33">
      <c r="A49" s="102"/>
      <c r="Y49" s="228"/>
      <c r="Z49" s="228"/>
      <c r="AA49" s="228"/>
      <c r="AE49" s="107"/>
    </row>
    <row r="50" spans="1:33">
      <c r="A50" s="102"/>
      <c r="AE50" s="107"/>
    </row>
    <row r="51" spans="1:33" ht="12.75" customHeight="1">
      <c r="A51" s="102"/>
      <c r="K51" s="14"/>
      <c r="AE51" s="107"/>
      <c r="AG51" s="222"/>
    </row>
    <row r="52" spans="1:33">
      <c r="A52" s="102"/>
      <c r="AG52" s="222"/>
    </row>
    <row r="53" spans="1:33">
      <c r="A53" s="102"/>
      <c r="AG53" s="222"/>
    </row>
    <row r="54" spans="1:33">
      <c r="A54" s="102"/>
      <c r="K54" s="14"/>
      <c r="AG54" s="222"/>
    </row>
    <row r="55" spans="1:33">
      <c r="A55" s="102"/>
      <c r="AG55" s="222"/>
    </row>
    <row r="56" spans="1:33">
      <c r="AG56" s="222"/>
    </row>
    <row r="57" spans="1:33">
      <c r="K57" s="316"/>
      <c r="AG57" s="222"/>
    </row>
    <row r="58" spans="1:33">
      <c r="AG58" s="222"/>
    </row>
    <row r="59" spans="1:33">
      <c r="AG59" s="222"/>
    </row>
  </sheetData>
  <mergeCells count="5">
    <mergeCell ref="A7:AG7"/>
    <mergeCell ref="A8:AG8"/>
    <mergeCell ref="A6:AG6"/>
    <mergeCell ref="A9:AG9"/>
    <mergeCell ref="U12:W12"/>
  </mergeCells>
  <pageMargins left="0.7" right="0.7" top="0.75" bottom="0.75" header="0.3" footer="0.3"/>
  <pageSetup scale="37" orientation="portrait" r:id="rId1"/>
  <headerFooter>
    <oddHeader>&amp;RKPSC Case No. 2025-00257
SECTION V-Application
Exhibit 1
&amp;Pof&amp;N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S51"/>
  <sheetViews>
    <sheetView view="pageBreakPreview" zoomScale="60" zoomScaleNormal="80" workbookViewId="0">
      <pane xSplit="4" ySplit="11" topLeftCell="E12" activePane="bottomRight" state="frozen"/>
      <selection activeCell="C26" sqref="C26"/>
      <selection pane="topRight" activeCell="C26" sqref="C26"/>
      <selection pane="bottomLeft" activeCell="C26" sqref="C26"/>
      <selection pane="bottomRight" sqref="A1:XFD1048576"/>
    </sheetView>
  </sheetViews>
  <sheetFormatPr defaultColWidth="9.1796875" defaultRowHeight="12.5"/>
  <cols>
    <col min="1" max="1" width="2.26953125" style="83" customWidth="1"/>
    <col min="2" max="2" width="5" style="404" bestFit="1" customWidth="1"/>
    <col min="3" max="3" width="33.81640625" style="83" bestFit="1" customWidth="1"/>
    <col min="4" max="4" width="2.26953125" style="83" customWidth="1"/>
    <col min="5" max="14" width="10.7265625" style="83" customWidth="1"/>
    <col min="15" max="15" width="10.453125" style="83" customWidth="1"/>
    <col min="16" max="16" width="10.7265625" style="83" customWidth="1"/>
    <col min="17" max="17" width="12.7265625" style="83" customWidth="1"/>
    <col min="18" max="18" width="2.26953125" style="83" customWidth="1"/>
    <col min="19" max="19" width="10.81640625" style="83" bestFit="1" customWidth="1"/>
    <col min="20" max="16384" width="9.1796875" style="83"/>
  </cols>
  <sheetData>
    <row r="1" spans="2:18">
      <c r="Q1" s="95"/>
    </row>
    <row r="2" spans="2:18">
      <c r="Q2" s="95"/>
    </row>
    <row r="3" spans="2:18">
      <c r="I3" s="404"/>
      <c r="P3" s="83" t="s">
        <v>1117</v>
      </c>
    </row>
    <row r="4" spans="2:18" ht="13">
      <c r="I4" s="196" t="s">
        <v>787</v>
      </c>
      <c r="P4" s="83" t="s">
        <v>790</v>
      </c>
    </row>
    <row r="5" spans="2:18">
      <c r="I5" s="96"/>
    </row>
    <row r="8" spans="2:18" ht="25">
      <c r="B8" s="98" t="s">
        <v>435</v>
      </c>
      <c r="C8" s="405" t="s">
        <v>332</v>
      </c>
      <c r="E8" s="98" t="s">
        <v>662</v>
      </c>
      <c r="F8" s="98" t="s">
        <v>663</v>
      </c>
      <c r="G8" s="98" t="s">
        <v>664</v>
      </c>
      <c r="H8" s="98" t="s">
        <v>665</v>
      </c>
      <c r="I8" s="98" t="s">
        <v>666</v>
      </c>
      <c r="J8" s="98" t="s">
        <v>667</v>
      </c>
      <c r="K8" s="98" t="s">
        <v>668</v>
      </c>
      <c r="L8" s="98" t="s">
        <v>669</v>
      </c>
      <c r="M8" s="98" t="s">
        <v>670</v>
      </c>
      <c r="N8" s="98" t="s">
        <v>671</v>
      </c>
      <c r="O8" s="98" t="s">
        <v>672</v>
      </c>
      <c r="P8" s="98" t="s">
        <v>673</v>
      </c>
      <c r="Q8" s="98" t="s">
        <v>674</v>
      </c>
    </row>
    <row r="9" spans="2:18">
      <c r="B9" s="102"/>
    </row>
    <row r="10" spans="2:18" ht="26.15" customHeight="1">
      <c r="B10" s="102">
        <v>1</v>
      </c>
      <c r="C10" s="83" t="s">
        <v>675</v>
      </c>
      <c r="E10" s="98" t="s">
        <v>1041</v>
      </c>
      <c r="F10" s="98" t="s">
        <v>1042</v>
      </c>
      <c r="G10" s="98" t="s">
        <v>1043</v>
      </c>
      <c r="H10" s="98" t="s">
        <v>1044</v>
      </c>
      <c r="I10" s="98" t="s">
        <v>1045</v>
      </c>
      <c r="J10" s="98" t="s">
        <v>1047</v>
      </c>
      <c r="K10" s="98" t="s">
        <v>1048</v>
      </c>
      <c r="L10" s="98" t="s">
        <v>1049</v>
      </c>
      <c r="M10" s="98" t="s">
        <v>1050</v>
      </c>
      <c r="N10" s="98" t="s">
        <v>1051</v>
      </c>
      <c r="O10" s="98" t="s">
        <v>1052</v>
      </c>
      <c r="P10" s="98" t="s">
        <v>1053</v>
      </c>
      <c r="Q10" s="98" t="s">
        <v>676</v>
      </c>
      <c r="R10" s="405"/>
    </row>
    <row r="11" spans="2:18" ht="26.15" customHeight="1">
      <c r="B11" s="102">
        <f>+B10+1</f>
        <v>2</v>
      </c>
      <c r="C11" s="83" t="s">
        <v>677</v>
      </c>
      <c r="E11" s="400" t="s">
        <v>1046</v>
      </c>
      <c r="F11" s="400" t="s">
        <v>950</v>
      </c>
      <c r="G11" s="400" t="s">
        <v>678</v>
      </c>
      <c r="H11" s="400" t="s">
        <v>678</v>
      </c>
      <c r="I11" s="400" t="s">
        <v>679</v>
      </c>
      <c r="J11" s="400" t="s">
        <v>951</v>
      </c>
      <c r="K11" s="400" t="s">
        <v>877</v>
      </c>
      <c r="L11" s="400" t="s">
        <v>951</v>
      </c>
      <c r="M11" s="400" t="s">
        <v>679</v>
      </c>
      <c r="N11" s="400" t="s">
        <v>679</v>
      </c>
      <c r="O11" s="400" t="s">
        <v>877</v>
      </c>
      <c r="P11" s="400" t="s">
        <v>1046</v>
      </c>
      <c r="Q11" s="400" t="s">
        <v>680</v>
      </c>
      <c r="R11" s="234"/>
    </row>
    <row r="12" spans="2:18" ht="12.75" customHeight="1">
      <c r="B12" s="102"/>
      <c r="E12" s="400" t="s">
        <v>681</v>
      </c>
      <c r="F12" s="400" t="s">
        <v>681</v>
      </c>
      <c r="G12" s="400" t="s">
        <v>681</v>
      </c>
      <c r="H12" s="400" t="s">
        <v>681</v>
      </c>
      <c r="I12" s="400" t="s">
        <v>681</v>
      </c>
      <c r="J12" s="400" t="s">
        <v>681</v>
      </c>
      <c r="K12" s="400" t="s">
        <v>681</v>
      </c>
      <c r="L12" s="400" t="s">
        <v>681</v>
      </c>
      <c r="M12" s="400" t="s">
        <v>681</v>
      </c>
      <c r="N12" s="400" t="s">
        <v>681</v>
      </c>
      <c r="O12" s="400" t="s">
        <v>681</v>
      </c>
      <c r="P12" s="400" t="s">
        <v>681</v>
      </c>
      <c r="Q12" s="400" t="s">
        <v>681</v>
      </c>
    </row>
    <row r="13" spans="2:18" ht="12.75" customHeight="1">
      <c r="B13" s="102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</row>
    <row r="14" spans="2:18" ht="12.75" customHeight="1">
      <c r="B14" s="102">
        <f>+B11+1</f>
        <v>3</v>
      </c>
      <c r="C14" s="83" t="s">
        <v>682</v>
      </c>
      <c r="E14" s="214">
        <v>923</v>
      </c>
      <c r="F14" s="214">
        <v>965</v>
      </c>
      <c r="G14" s="214">
        <v>980</v>
      </c>
      <c r="H14" s="214">
        <v>819</v>
      </c>
      <c r="I14" s="214">
        <v>736</v>
      </c>
      <c r="J14" s="214">
        <v>879</v>
      </c>
      <c r="K14" s="214">
        <v>1047</v>
      </c>
      <c r="L14" s="214">
        <v>1347</v>
      </c>
      <c r="M14" s="214">
        <v>1156</v>
      </c>
      <c r="N14" s="214">
        <v>999</v>
      </c>
      <c r="O14" s="214">
        <v>878</v>
      </c>
      <c r="P14" s="214">
        <v>784</v>
      </c>
      <c r="Q14" s="214">
        <f>SUM(E14:P14)</f>
        <v>11513</v>
      </c>
    </row>
    <row r="15" spans="2:18" ht="12.75" customHeight="1">
      <c r="B15" s="102">
        <f>+B14+1</f>
        <v>4</v>
      </c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>
        <f>ROUND(Q14/12,3)</f>
        <v>959.41700000000003</v>
      </c>
    </row>
    <row r="16" spans="2:18" ht="12.75" customHeight="1">
      <c r="B16" s="102">
        <f>+B15+1</f>
        <v>5</v>
      </c>
      <c r="C16" s="83" t="s">
        <v>683</v>
      </c>
      <c r="E16" s="214">
        <v>0</v>
      </c>
      <c r="F16" s="214">
        <v>317</v>
      </c>
      <c r="G16" s="214">
        <v>180</v>
      </c>
      <c r="H16" s="214">
        <v>0</v>
      </c>
      <c r="I16" s="214">
        <v>0</v>
      </c>
      <c r="J16" s="214">
        <v>0</v>
      </c>
      <c r="K16" s="214">
        <v>0</v>
      </c>
      <c r="L16" s="214">
        <v>0</v>
      </c>
      <c r="M16" s="214">
        <v>0</v>
      </c>
      <c r="N16" s="214">
        <v>0</v>
      </c>
      <c r="O16" s="214">
        <v>0</v>
      </c>
      <c r="P16" s="214">
        <v>0</v>
      </c>
      <c r="Q16" s="214">
        <f>SUM(E16:P16)</f>
        <v>497</v>
      </c>
    </row>
    <row r="17" spans="2:19" ht="12.75" customHeight="1">
      <c r="B17" s="102">
        <f>+B16+1</f>
        <v>6</v>
      </c>
      <c r="C17" s="83" t="s">
        <v>684</v>
      </c>
      <c r="E17" s="349">
        <v>1.0341260000000001</v>
      </c>
      <c r="F17" s="349">
        <v>1.0341260000000001</v>
      </c>
      <c r="G17" s="349">
        <v>1.0341260000000001</v>
      </c>
      <c r="H17" s="349">
        <v>1.0341260000000001</v>
      </c>
      <c r="I17" s="349">
        <v>1.0341260000000001</v>
      </c>
      <c r="J17" s="349">
        <v>1.0341260000000001</v>
      </c>
      <c r="K17" s="349">
        <v>1.0341260000000001</v>
      </c>
      <c r="L17" s="349">
        <v>1.0341260000000001</v>
      </c>
      <c r="M17" s="349">
        <v>1.0341260000000001</v>
      </c>
      <c r="N17" s="349">
        <v>1.0341260000000001</v>
      </c>
      <c r="O17" s="349">
        <v>1.0341260000000001</v>
      </c>
      <c r="P17" s="349">
        <v>1.0341260000000001</v>
      </c>
      <c r="Q17" s="214"/>
    </row>
    <row r="18" spans="2:19" ht="12.75" customHeight="1">
      <c r="B18" s="102">
        <f>+B17+1</f>
        <v>7</v>
      </c>
      <c r="C18" s="83" t="s">
        <v>685</v>
      </c>
      <c r="E18" s="214">
        <f>ROUND(E16*E17,3)</f>
        <v>0</v>
      </c>
      <c r="F18" s="214">
        <f t="shared" ref="F18:P18" si="0">ROUND(F16*F17,3)</f>
        <v>327.81799999999998</v>
      </c>
      <c r="G18" s="214">
        <f t="shared" si="0"/>
        <v>186.143</v>
      </c>
      <c r="H18" s="214">
        <f t="shared" si="0"/>
        <v>0</v>
      </c>
      <c r="I18" s="214">
        <f t="shared" si="0"/>
        <v>0</v>
      </c>
      <c r="J18" s="214">
        <f t="shared" si="0"/>
        <v>0</v>
      </c>
      <c r="K18" s="214">
        <f t="shared" si="0"/>
        <v>0</v>
      </c>
      <c r="L18" s="214">
        <f t="shared" si="0"/>
        <v>0</v>
      </c>
      <c r="M18" s="214">
        <f t="shared" si="0"/>
        <v>0</v>
      </c>
      <c r="N18" s="214">
        <f t="shared" si="0"/>
        <v>0</v>
      </c>
      <c r="O18" s="214">
        <f t="shared" si="0"/>
        <v>0</v>
      </c>
      <c r="P18" s="214">
        <f t="shared" si="0"/>
        <v>0</v>
      </c>
      <c r="Q18" s="214">
        <f>SUM(E18:P18)</f>
        <v>513.96100000000001</v>
      </c>
    </row>
    <row r="19" spans="2:19" ht="12.75" customHeight="1">
      <c r="B19" s="102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214">
        <f>ROUND(Q18/12,3)</f>
        <v>42.83</v>
      </c>
      <c r="S19" s="214"/>
    </row>
    <row r="20" spans="2:19" ht="12.75" customHeight="1">
      <c r="B20" s="102">
        <v>8</v>
      </c>
      <c r="C20" s="83" t="s">
        <v>815</v>
      </c>
      <c r="E20" s="214">
        <f>+E14-(E18-E16)</f>
        <v>923</v>
      </c>
      <c r="F20" s="214">
        <f t="shared" ref="F20:P20" si="1">+F14-(F18-F16)</f>
        <v>954.18200000000002</v>
      </c>
      <c r="G20" s="214">
        <f t="shared" si="1"/>
        <v>973.85699999999997</v>
      </c>
      <c r="H20" s="214">
        <f t="shared" si="1"/>
        <v>819</v>
      </c>
      <c r="I20" s="214">
        <f t="shared" si="1"/>
        <v>736</v>
      </c>
      <c r="J20" s="214">
        <f t="shared" si="1"/>
        <v>879</v>
      </c>
      <c r="K20" s="214">
        <f t="shared" si="1"/>
        <v>1047</v>
      </c>
      <c r="L20" s="214">
        <f t="shared" si="1"/>
        <v>1347</v>
      </c>
      <c r="M20" s="214">
        <f t="shared" si="1"/>
        <v>1156</v>
      </c>
      <c r="N20" s="214">
        <f t="shared" si="1"/>
        <v>999</v>
      </c>
      <c r="O20" s="214">
        <f t="shared" si="1"/>
        <v>878</v>
      </c>
      <c r="P20" s="214">
        <f t="shared" si="1"/>
        <v>784</v>
      </c>
      <c r="Q20" s="214">
        <f>SUM(E20:P20)</f>
        <v>11496.039000000001</v>
      </c>
    </row>
    <row r="21" spans="2:19" ht="12.75" customHeight="1">
      <c r="B21" s="102">
        <f>+B20+1</f>
        <v>9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214">
        <f>ROUND(Q20/12,3)</f>
        <v>958.00300000000004</v>
      </c>
    </row>
    <row r="22" spans="2:19" ht="12.75" customHeight="1">
      <c r="B22" s="102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2:19" ht="12.75" customHeight="1">
      <c r="B23" s="102"/>
      <c r="C23" s="405" t="s">
        <v>686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2:19" ht="12.75" customHeight="1">
      <c r="B24" s="102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2:19" ht="30" customHeight="1">
      <c r="B25" s="102">
        <f>+B21+1</f>
        <v>10</v>
      </c>
      <c r="C25" s="83" t="s">
        <v>687</v>
      </c>
      <c r="E25" s="214">
        <f>'Olive Hill - Vanceburg'!E10/1000</f>
        <v>4.3905600000000007</v>
      </c>
      <c r="F25" s="214">
        <f>'Olive Hill - Vanceburg'!E11/1000</f>
        <v>4.5863999999999994</v>
      </c>
      <c r="G25" s="214">
        <f>'Olive Hill - Vanceburg'!E12/1000</f>
        <v>4.5316800000000006</v>
      </c>
      <c r="H25" s="214">
        <f>'Olive Hill - Vanceburg'!E13/1000</f>
        <v>3.5020799999999999</v>
      </c>
      <c r="I25" s="214">
        <f>'Olive Hill - Vanceburg'!$E14/1000</f>
        <v>2.9001600000000001</v>
      </c>
      <c r="J25" s="214">
        <f>'Olive Hill - Vanceburg'!$E15/1000</f>
        <v>3.6475200000000001</v>
      </c>
      <c r="K25" s="214">
        <f>'Olive Hill - Vanceburg'!$E16/1000</f>
        <v>4.6454399999999998</v>
      </c>
      <c r="L25" s="214">
        <f>'Olive Hill - Vanceburg'!$E17/1000</f>
        <v>6.0436800000000002</v>
      </c>
      <c r="M25" s="214">
        <f>'Olive Hill - Vanceburg'!$E18/1000</f>
        <v>4.71312</v>
      </c>
      <c r="N25" s="214">
        <f>'Olive Hill - Vanceburg'!$E19/1000</f>
        <v>3.8764799999999999</v>
      </c>
      <c r="O25" s="214">
        <f>'Olive Hill - Vanceburg'!$E20/1000</f>
        <v>3.2183999999999999</v>
      </c>
      <c r="P25" s="214">
        <f>'Olive Hill - Vanceburg'!$E21/1000</f>
        <v>2.90448</v>
      </c>
      <c r="Q25" s="214">
        <f>SUM(E25:P25)</f>
        <v>48.96</v>
      </c>
    </row>
    <row r="26" spans="2:19" ht="12.75" customHeight="1">
      <c r="B26" s="102">
        <f>+B25+1</f>
        <v>11</v>
      </c>
      <c r="C26" s="3" t="s">
        <v>684</v>
      </c>
      <c r="E26" s="349">
        <v>1.0551999999999999</v>
      </c>
      <c r="F26" s="349">
        <f>+$E$26</f>
        <v>1.0551999999999999</v>
      </c>
      <c r="G26" s="349">
        <f t="shared" ref="G26:P26" si="2">+$E$26</f>
        <v>1.0551999999999999</v>
      </c>
      <c r="H26" s="349">
        <f t="shared" si="2"/>
        <v>1.0551999999999999</v>
      </c>
      <c r="I26" s="349">
        <f t="shared" si="2"/>
        <v>1.0551999999999999</v>
      </c>
      <c r="J26" s="349">
        <f t="shared" si="2"/>
        <v>1.0551999999999999</v>
      </c>
      <c r="K26" s="349">
        <f t="shared" si="2"/>
        <v>1.0551999999999999</v>
      </c>
      <c r="L26" s="349">
        <f t="shared" si="2"/>
        <v>1.0551999999999999</v>
      </c>
      <c r="M26" s="349">
        <f t="shared" si="2"/>
        <v>1.0551999999999999</v>
      </c>
      <c r="N26" s="349">
        <f t="shared" si="2"/>
        <v>1.0551999999999999</v>
      </c>
      <c r="O26" s="349">
        <f t="shared" si="2"/>
        <v>1.0551999999999999</v>
      </c>
      <c r="P26" s="349">
        <f t="shared" si="2"/>
        <v>1.0551999999999999</v>
      </c>
      <c r="Q26" s="214"/>
    </row>
    <row r="27" spans="2:19" ht="12.75" customHeight="1">
      <c r="B27" s="102">
        <f>+B26+1</f>
        <v>12</v>
      </c>
      <c r="C27" s="83" t="s">
        <v>688</v>
      </c>
      <c r="E27" s="214">
        <f>ROUND(E25*E26,3)</f>
        <v>4.633</v>
      </c>
      <c r="F27" s="214">
        <f t="shared" ref="F27:P27" si="3">ROUND(F25*F26,3)</f>
        <v>4.84</v>
      </c>
      <c r="G27" s="214">
        <f t="shared" si="3"/>
        <v>4.782</v>
      </c>
      <c r="H27" s="214">
        <f t="shared" si="3"/>
        <v>3.6949999999999998</v>
      </c>
      <c r="I27" s="214">
        <f t="shared" si="3"/>
        <v>3.06</v>
      </c>
      <c r="J27" s="214">
        <f t="shared" si="3"/>
        <v>3.8490000000000002</v>
      </c>
      <c r="K27" s="214">
        <f t="shared" si="3"/>
        <v>4.9020000000000001</v>
      </c>
      <c r="L27" s="214">
        <f t="shared" si="3"/>
        <v>6.3769999999999998</v>
      </c>
      <c r="M27" s="214">
        <f t="shared" si="3"/>
        <v>4.9729999999999999</v>
      </c>
      <c r="N27" s="214">
        <f t="shared" si="3"/>
        <v>4.09</v>
      </c>
      <c r="O27" s="214">
        <f t="shared" si="3"/>
        <v>3.3959999999999999</v>
      </c>
      <c r="P27" s="214">
        <f t="shared" si="3"/>
        <v>3.0649999999999999</v>
      </c>
      <c r="Q27" s="214">
        <f>SUM(E27:P27)</f>
        <v>51.661999999999992</v>
      </c>
    </row>
    <row r="28" spans="2:19" ht="12.75" customHeight="1">
      <c r="B28" s="102">
        <f>+B27+1</f>
        <v>13</v>
      </c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>
        <f>ROUND(Q27/12,3)</f>
        <v>4.3049999999999997</v>
      </c>
    </row>
    <row r="29" spans="2:19" ht="12.75" customHeight="1">
      <c r="B29" s="102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</row>
    <row r="30" spans="2:19" ht="30" customHeight="1">
      <c r="B30" s="102">
        <f>+B28+1</f>
        <v>14</v>
      </c>
      <c r="C30" s="83" t="s">
        <v>689</v>
      </c>
      <c r="E30" s="214">
        <f>'Olive Hill - Vanceburg'!H10/1000</f>
        <v>10.452</v>
      </c>
      <c r="F30" s="214">
        <f>'Olive Hill - Vanceburg'!H11/1000</f>
        <v>10.504</v>
      </c>
      <c r="G30" s="214">
        <f>'Olive Hill - Vanceburg'!H12/1000</f>
        <v>10.558</v>
      </c>
      <c r="H30" s="214">
        <f>'Olive Hill - Vanceburg'!H13/1000</f>
        <v>8.7799999999999994</v>
      </c>
      <c r="I30" s="214">
        <f>'Olive Hill - Vanceburg'!H14/1000</f>
        <v>7.4009999999999998</v>
      </c>
      <c r="J30" s="214">
        <f>'Olive Hill - Vanceburg'!H15/1000</f>
        <v>7.944</v>
      </c>
      <c r="K30" s="214">
        <f>'Olive Hill - Vanceburg'!H16/1000</f>
        <v>11.349</v>
      </c>
      <c r="L30" s="214">
        <f>'Olive Hill - Vanceburg'!H17/1000</f>
        <v>14.795</v>
      </c>
      <c r="M30" s="214">
        <f>'Olive Hill - Vanceburg'!H18/1000</f>
        <v>11.382999999999999</v>
      </c>
      <c r="N30" s="214">
        <f>'Olive Hill - Vanceburg'!H19/1000</f>
        <v>9.7040000000000006</v>
      </c>
      <c r="O30" s="214">
        <f>'Olive Hill - Vanceburg'!H20/1000</f>
        <v>8.6850000000000005</v>
      </c>
      <c r="P30" s="214">
        <f>'Olive Hill - Vanceburg'!H21/1000</f>
        <v>7.7060000000000004</v>
      </c>
      <c r="Q30" s="214">
        <f>SUM(E30:P30)</f>
        <v>119.26100000000001</v>
      </c>
    </row>
    <row r="31" spans="2:19" ht="12.75" customHeight="1">
      <c r="B31" s="102">
        <f>+B30+1</f>
        <v>15</v>
      </c>
      <c r="C31" s="3" t="s">
        <v>684</v>
      </c>
      <c r="E31" s="349">
        <v>1.0341260000000001</v>
      </c>
      <c r="F31" s="349">
        <f>+$E$31</f>
        <v>1.0341260000000001</v>
      </c>
      <c r="G31" s="349">
        <f t="shared" ref="G31:P31" si="4">+$E$31</f>
        <v>1.0341260000000001</v>
      </c>
      <c r="H31" s="349">
        <f t="shared" si="4"/>
        <v>1.0341260000000001</v>
      </c>
      <c r="I31" s="349">
        <f t="shared" si="4"/>
        <v>1.0341260000000001</v>
      </c>
      <c r="J31" s="349">
        <f t="shared" si="4"/>
        <v>1.0341260000000001</v>
      </c>
      <c r="K31" s="349">
        <f t="shared" si="4"/>
        <v>1.0341260000000001</v>
      </c>
      <c r="L31" s="349">
        <f t="shared" si="4"/>
        <v>1.0341260000000001</v>
      </c>
      <c r="M31" s="349">
        <f t="shared" si="4"/>
        <v>1.0341260000000001</v>
      </c>
      <c r="N31" s="349">
        <f t="shared" si="4"/>
        <v>1.0341260000000001</v>
      </c>
      <c r="O31" s="349">
        <f t="shared" si="4"/>
        <v>1.0341260000000001</v>
      </c>
      <c r="P31" s="349">
        <f t="shared" si="4"/>
        <v>1.0341260000000001</v>
      </c>
      <c r="Q31" s="214"/>
    </row>
    <row r="32" spans="2:19" ht="12.75" customHeight="1">
      <c r="B32" s="102">
        <f>+B31+1</f>
        <v>16</v>
      </c>
      <c r="C32" s="83" t="s">
        <v>690</v>
      </c>
      <c r="E32" s="214">
        <f>ROUND(E30*E31,3)</f>
        <v>10.808999999999999</v>
      </c>
      <c r="F32" s="214">
        <f t="shared" ref="F32:P32" si="5">ROUND(F30*F31,3)</f>
        <v>10.862</v>
      </c>
      <c r="G32" s="214">
        <f t="shared" si="5"/>
        <v>10.917999999999999</v>
      </c>
      <c r="H32" s="214">
        <f t="shared" si="5"/>
        <v>9.08</v>
      </c>
      <c r="I32" s="214">
        <f t="shared" si="5"/>
        <v>7.6539999999999999</v>
      </c>
      <c r="J32" s="214">
        <f t="shared" si="5"/>
        <v>8.2149999999999999</v>
      </c>
      <c r="K32" s="214">
        <f t="shared" si="5"/>
        <v>11.736000000000001</v>
      </c>
      <c r="L32" s="214">
        <f t="shared" si="5"/>
        <v>15.3</v>
      </c>
      <c r="M32" s="214">
        <f t="shared" si="5"/>
        <v>11.771000000000001</v>
      </c>
      <c r="N32" s="214">
        <f t="shared" si="5"/>
        <v>10.035</v>
      </c>
      <c r="O32" s="214">
        <f t="shared" si="5"/>
        <v>8.9809999999999999</v>
      </c>
      <c r="P32" s="214">
        <f t="shared" si="5"/>
        <v>7.9690000000000003</v>
      </c>
      <c r="Q32" s="214">
        <f>SUM(E32:P32)</f>
        <v>123.32999999999998</v>
      </c>
    </row>
    <row r="33" spans="2:17" ht="12.75" customHeight="1">
      <c r="B33" s="102">
        <f>+B32+1</f>
        <v>17</v>
      </c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>
        <f>ROUND(Q32/12,3)</f>
        <v>10.278</v>
      </c>
    </row>
    <row r="34" spans="2:17">
      <c r="B34" s="102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</row>
    <row r="35" spans="2:17">
      <c r="B35" s="102">
        <f>+B33+1</f>
        <v>18</v>
      </c>
      <c r="C35" s="83" t="s">
        <v>691</v>
      </c>
      <c r="E35" s="14">
        <f>+E27+E32</f>
        <v>15.442</v>
      </c>
      <c r="F35" s="14">
        <f t="shared" ref="F35:O35" si="6">+F27+F32</f>
        <v>15.702</v>
      </c>
      <c r="G35" s="14">
        <f t="shared" si="6"/>
        <v>15.7</v>
      </c>
      <c r="H35" s="14">
        <f t="shared" si="6"/>
        <v>12.775</v>
      </c>
      <c r="I35" s="14">
        <f t="shared" si="6"/>
        <v>10.714</v>
      </c>
      <c r="J35" s="14">
        <f t="shared" si="6"/>
        <v>12.064</v>
      </c>
      <c r="K35" s="14">
        <f t="shared" si="6"/>
        <v>16.638000000000002</v>
      </c>
      <c r="L35" s="14">
        <f t="shared" si="6"/>
        <v>21.677</v>
      </c>
      <c r="M35" s="14">
        <f t="shared" si="6"/>
        <v>16.744</v>
      </c>
      <c r="N35" s="14">
        <f t="shared" si="6"/>
        <v>14.125</v>
      </c>
      <c r="O35" s="14">
        <f t="shared" si="6"/>
        <v>12.376999999999999</v>
      </c>
      <c r="P35" s="14">
        <f>+P27+P32</f>
        <v>11.034000000000001</v>
      </c>
      <c r="Q35" s="214">
        <f>SUM(E35:P35)</f>
        <v>174.99199999999999</v>
      </c>
    </row>
    <row r="36" spans="2:17">
      <c r="B36" s="102">
        <f>+B35+1</f>
        <v>19</v>
      </c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14">
        <f>ROUND(Q35/12,3)</f>
        <v>14.583</v>
      </c>
    </row>
    <row r="37" spans="2:17">
      <c r="B37" s="102"/>
    </row>
    <row r="38" spans="2:17" ht="13">
      <c r="B38" s="102">
        <f>+B36+1</f>
        <v>20</v>
      </c>
      <c r="C38" s="103" t="s">
        <v>692</v>
      </c>
      <c r="F38" s="214">
        <f>+Q36</f>
        <v>14.583</v>
      </c>
      <c r="G38" s="294" t="s">
        <v>693</v>
      </c>
      <c r="H38" s="214">
        <f>+$Q$21</f>
        <v>958.00300000000004</v>
      </c>
      <c r="I38" s="294" t="s">
        <v>694</v>
      </c>
      <c r="J38" s="3">
        <f>ROUND(F38/H38,3)</f>
        <v>1.4999999999999999E-2</v>
      </c>
      <c r="L38" s="214"/>
      <c r="M38" s="294"/>
      <c r="N38" s="214"/>
      <c r="O38" s="294"/>
    </row>
    <row r="39" spans="2:17">
      <c r="B39" s="102"/>
    </row>
    <row r="40" spans="2:17">
      <c r="B40" s="102">
        <f>+B38+1</f>
        <v>21</v>
      </c>
      <c r="C40" s="83" t="s">
        <v>695</v>
      </c>
      <c r="E40" s="14">
        <f>+E20-E35</f>
        <v>907.55799999999999</v>
      </c>
      <c r="F40" s="14">
        <f t="shared" ref="F40:O40" si="7">+F20-F35</f>
        <v>938.48</v>
      </c>
      <c r="G40" s="14">
        <f t="shared" si="7"/>
        <v>958.15699999999993</v>
      </c>
      <c r="H40" s="14">
        <f t="shared" si="7"/>
        <v>806.22500000000002</v>
      </c>
      <c r="I40" s="14">
        <f t="shared" si="7"/>
        <v>725.28599999999994</v>
      </c>
      <c r="J40" s="14">
        <f t="shared" si="7"/>
        <v>866.93600000000004</v>
      </c>
      <c r="K40" s="14">
        <f t="shared" si="7"/>
        <v>1030.3620000000001</v>
      </c>
      <c r="L40" s="14">
        <f t="shared" si="7"/>
        <v>1325.3230000000001</v>
      </c>
      <c r="M40" s="14">
        <f t="shared" si="7"/>
        <v>1139.2560000000001</v>
      </c>
      <c r="N40" s="14">
        <f t="shared" si="7"/>
        <v>984.875</v>
      </c>
      <c r="O40" s="14">
        <f t="shared" si="7"/>
        <v>865.62300000000005</v>
      </c>
      <c r="P40" s="14">
        <f>+P20-P35</f>
        <v>772.96600000000001</v>
      </c>
      <c r="Q40" s="214">
        <f>SUM(E40:P40)</f>
        <v>11321.046999999999</v>
      </c>
    </row>
    <row r="41" spans="2:17">
      <c r="B41" s="102">
        <f>+B40+1</f>
        <v>22</v>
      </c>
      <c r="P41" s="107"/>
      <c r="Q41" s="214">
        <f>ROUND(Q40/12,3)</f>
        <v>943.42100000000005</v>
      </c>
    </row>
    <row r="42" spans="2:17">
      <c r="B42" s="102"/>
      <c r="P42" s="107"/>
    </row>
    <row r="43" spans="2:17" ht="12.75" customHeight="1">
      <c r="B43" s="102">
        <f>+B41+1</f>
        <v>23</v>
      </c>
      <c r="C43" s="103" t="s">
        <v>696</v>
      </c>
      <c r="F43" s="14">
        <f>+Q41</f>
        <v>943.42100000000005</v>
      </c>
      <c r="G43" s="246" t="s">
        <v>693</v>
      </c>
      <c r="H43" s="14">
        <f>+$Q$21</f>
        <v>958.00300000000004</v>
      </c>
      <c r="I43" s="294" t="s">
        <v>694</v>
      </c>
      <c r="J43" s="3">
        <f>ROUND(F43/H43,3)</f>
        <v>0.98499999999999999</v>
      </c>
      <c r="Q43" s="222"/>
    </row>
    <row r="44" spans="2:17" ht="17.25" customHeight="1">
      <c r="B44" s="102"/>
      <c r="F44" s="14"/>
      <c r="G44" s="14"/>
      <c r="H44" s="14"/>
      <c r="Q44" s="222"/>
    </row>
    <row r="45" spans="2:17" ht="25.5" customHeight="1">
      <c r="B45" s="102" t="s">
        <v>551</v>
      </c>
      <c r="C45" s="83" t="s">
        <v>697</v>
      </c>
      <c r="Q45" s="222"/>
    </row>
    <row r="46" spans="2:17" ht="26.25" customHeight="1">
      <c r="Q46" s="222"/>
    </row>
    <row r="47" spans="2:17">
      <c r="Q47" s="222"/>
    </row>
    <row r="48" spans="2:17">
      <c r="Q48" s="222"/>
    </row>
    <row r="49" spans="17:17">
      <c r="Q49" s="222"/>
    </row>
    <row r="50" spans="17:17">
      <c r="Q50" s="222"/>
    </row>
    <row r="51" spans="17:17">
      <c r="Q51" s="222"/>
    </row>
  </sheetData>
  <pageMargins left="0.7" right="0.7" top="0.75" bottom="0.75" header="0.3" footer="0.3"/>
  <pageSetup scale="50" orientation="portrait" r:id="rId1"/>
  <headerFooter>
    <oddHeader>&amp;RKPSC Case No. 2025-00257
SECTION V-Application
Exhibit 1
&amp;Pof&amp;N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T54"/>
  <sheetViews>
    <sheetView view="pageBreakPreview" zoomScale="60" zoomScaleNormal="90" workbookViewId="0">
      <pane ySplit="7" topLeftCell="A8" activePane="bottomLeft" state="frozen"/>
      <selection activeCell="C26" sqref="C26"/>
      <selection pane="bottomLeft" sqref="A1:XFD1048576"/>
    </sheetView>
  </sheetViews>
  <sheetFormatPr defaultColWidth="9.1796875" defaultRowHeight="12.5"/>
  <cols>
    <col min="1" max="1" width="2.26953125" style="83" customWidth="1"/>
    <col min="2" max="2" width="6.1796875" style="404" bestFit="1" customWidth="1"/>
    <col min="3" max="3" width="5.7265625" style="404" customWidth="1"/>
    <col min="4" max="4" width="29.453125" style="83" bestFit="1" customWidth="1"/>
    <col min="5" max="5" width="2.26953125" style="83" customWidth="1"/>
    <col min="6" max="6" width="14.1796875" style="83" customWidth="1"/>
    <col min="7" max="8" width="12.7265625" style="83" customWidth="1"/>
    <col min="9" max="9" width="2.26953125" style="83" customWidth="1"/>
    <col min="10" max="14" width="12.7265625" style="83" customWidth="1"/>
    <col min="15" max="17" width="8.7265625" style="83" customWidth="1"/>
    <col min="18" max="16384" width="9.1796875" style="83"/>
  </cols>
  <sheetData>
    <row r="1" spans="2:17">
      <c r="I1" s="404"/>
      <c r="N1" s="95"/>
    </row>
    <row r="2" spans="2:17">
      <c r="N2" s="95"/>
    </row>
    <row r="3" spans="2:17">
      <c r="I3" s="96"/>
    </row>
    <row r="4" spans="2:17" ht="13">
      <c r="I4" s="196" t="s">
        <v>788</v>
      </c>
      <c r="N4" s="83" t="s">
        <v>1117</v>
      </c>
    </row>
    <row r="5" spans="2:17">
      <c r="I5" s="405"/>
      <c r="N5" s="83" t="s">
        <v>791</v>
      </c>
    </row>
    <row r="6" spans="2:17" ht="25.5">
      <c r="B6" s="98" t="s">
        <v>435</v>
      </c>
      <c r="C6" s="98"/>
      <c r="D6" s="215" t="s">
        <v>808</v>
      </c>
      <c r="F6" s="100" t="s">
        <v>698</v>
      </c>
      <c r="G6" s="98" t="s">
        <v>699</v>
      </c>
      <c r="H6" s="98" t="s">
        <v>700</v>
      </c>
      <c r="I6" s="98"/>
      <c r="J6" s="98" t="s">
        <v>701</v>
      </c>
      <c r="K6" s="98"/>
      <c r="L6" s="98"/>
      <c r="M6" s="98"/>
      <c r="N6" s="98"/>
      <c r="O6" s="98"/>
      <c r="P6" s="98"/>
    </row>
    <row r="7" spans="2:17">
      <c r="B7" s="98" t="s">
        <v>12</v>
      </c>
      <c r="C7" s="98"/>
      <c r="D7" s="102">
        <f>+B7-1</f>
        <v>-2</v>
      </c>
      <c r="F7" s="102">
        <f>+D7-1</f>
        <v>-3</v>
      </c>
      <c r="G7" s="102">
        <f>+F7-1</f>
        <v>-4</v>
      </c>
      <c r="H7" s="102">
        <f t="shared" ref="H7:N7" si="0">+G7-1</f>
        <v>-5</v>
      </c>
      <c r="I7" s="102"/>
      <c r="J7" s="102">
        <f>+H7-1</f>
        <v>-6</v>
      </c>
      <c r="K7" s="102">
        <f t="shared" si="0"/>
        <v>-7</v>
      </c>
      <c r="L7" s="102">
        <f t="shared" si="0"/>
        <v>-8</v>
      </c>
      <c r="M7" s="102">
        <f t="shared" si="0"/>
        <v>-9</v>
      </c>
      <c r="N7" s="102">
        <f t="shared" si="0"/>
        <v>-10</v>
      </c>
      <c r="O7" s="102"/>
      <c r="P7" s="98"/>
    </row>
    <row r="8" spans="2:17">
      <c r="B8" s="98"/>
      <c r="C8" s="98"/>
      <c r="D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98"/>
    </row>
    <row r="9" spans="2:17">
      <c r="B9" s="102"/>
      <c r="C9" s="216" t="s">
        <v>702</v>
      </c>
    </row>
    <row r="10" spans="2:17" ht="12.75" customHeight="1">
      <c r="B10" s="102">
        <v>1</v>
      </c>
      <c r="C10" s="102"/>
      <c r="D10" s="83" t="s">
        <v>719</v>
      </c>
      <c r="F10" s="217">
        <v>441722</v>
      </c>
      <c r="G10" s="218">
        <f>'Olive Hill - Vanceburg'!R22</f>
        <v>3.4099999999999998E-2</v>
      </c>
      <c r="H10" s="217">
        <f>ROUND(F10*G10,0)</f>
        <v>15063</v>
      </c>
      <c r="I10" s="217"/>
      <c r="J10" s="217">
        <f>+F10+H10</f>
        <v>456785</v>
      </c>
      <c r="K10" s="98"/>
      <c r="L10" s="98"/>
      <c r="M10" s="98"/>
      <c r="N10" s="98"/>
      <c r="O10" s="98"/>
      <c r="P10" s="98"/>
      <c r="Q10" s="405"/>
    </row>
    <row r="11" spans="2:17" ht="12.75" customHeight="1">
      <c r="B11" s="102"/>
      <c r="C11" s="102"/>
      <c r="F11" s="217"/>
      <c r="G11" s="218"/>
      <c r="H11" s="217"/>
      <c r="I11" s="217"/>
      <c r="J11" s="217"/>
      <c r="K11" s="98"/>
      <c r="L11" s="98"/>
      <c r="M11" s="98"/>
      <c r="N11" s="98"/>
      <c r="O11" s="98"/>
      <c r="P11" s="98"/>
      <c r="Q11" s="405"/>
    </row>
    <row r="12" spans="2:17" ht="30" customHeight="1">
      <c r="B12" s="102">
        <f>+B10+1</f>
        <v>2</v>
      </c>
      <c r="C12" s="102"/>
      <c r="D12" s="83" t="s">
        <v>703</v>
      </c>
      <c r="F12" s="10">
        <f>'Olive Hill - Vanceburg'!I24/1000</f>
        <v>54153.701000000001</v>
      </c>
      <c r="G12" s="218">
        <f>'Olive Hill - Vanceburg'!R22</f>
        <v>3.4099999999999998E-2</v>
      </c>
      <c r="H12" s="217">
        <f>ROUND(F12*G12,0)</f>
        <v>1847</v>
      </c>
      <c r="I12" s="217"/>
      <c r="J12" s="217">
        <f>+F12+H12</f>
        <v>56000.701000000001</v>
      </c>
      <c r="K12" s="98"/>
      <c r="L12" s="98"/>
      <c r="M12" s="98"/>
      <c r="N12" s="98"/>
      <c r="O12" s="98"/>
      <c r="P12" s="98"/>
      <c r="Q12" s="405"/>
    </row>
    <row r="13" spans="2:17" ht="11.5" customHeight="1">
      <c r="B13" s="102"/>
      <c r="C13" s="102"/>
      <c r="F13" s="10"/>
      <c r="G13" s="218"/>
      <c r="H13" s="217"/>
      <c r="I13" s="217"/>
      <c r="J13" s="217"/>
      <c r="K13" s="98"/>
      <c r="L13" s="98"/>
      <c r="M13" s="98"/>
      <c r="N13" s="98"/>
      <c r="O13" s="98"/>
      <c r="P13" s="98"/>
      <c r="Q13" s="405"/>
    </row>
    <row r="14" spans="2:17" ht="12.75" customHeight="1">
      <c r="B14" s="102"/>
      <c r="C14" s="216" t="s">
        <v>704</v>
      </c>
      <c r="F14" s="10"/>
      <c r="G14" s="105"/>
      <c r="H14" s="10"/>
      <c r="I14" s="10"/>
      <c r="J14" s="10"/>
      <c r="K14" s="214"/>
      <c r="L14" s="214"/>
      <c r="M14" s="214"/>
      <c r="N14" s="214"/>
      <c r="O14" s="214"/>
      <c r="P14" s="214"/>
    </row>
    <row r="15" spans="2:17" ht="30" customHeight="1">
      <c r="B15" s="102">
        <f>+B12+1</f>
        <v>3</v>
      </c>
      <c r="C15" s="102"/>
      <c r="D15" s="83" t="s">
        <v>705</v>
      </c>
      <c r="F15" s="10">
        <f>'Olive Hill - Vanceburg'!F24/1000</f>
        <v>21302.112959999999</v>
      </c>
      <c r="G15" s="218">
        <f>'Olive Hill - Vanceburg'!R24</f>
        <v>5.552E-2</v>
      </c>
      <c r="H15" s="217">
        <f>ROUND(F15*G15,0)</f>
        <v>1183</v>
      </c>
      <c r="I15" s="217"/>
      <c r="J15" s="217">
        <f>+F15+H15</f>
        <v>22485.112959999999</v>
      </c>
      <c r="K15" s="214"/>
      <c r="L15" s="214"/>
      <c r="M15" s="214"/>
      <c r="N15" s="214"/>
      <c r="O15" s="214"/>
      <c r="P15" s="214"/>
    </row>
    <row r="16" spans="2:17" ht="12.75" customHeight="1">
      <c r="B16" s="102"/>
      <c r="C16" s="102"/>
      <c r="F16" s="214"/>
      <c r="G16" s="214"/>
      <c r="H16" s="38"/>
      <c r="I16" s="38"/>
      <c r="J16" s="38"/>
      <c r="K16" s="214"/>
      <c r="L16" s="214"/>
      <c r="M16" s="214"/>
      <c r="N16" s="214"/>
      <c r="O16" s="214"/>
      <c r="P16" s="214"/>
    </row>
    <row r="17" spans="2:17" ht="12.75" customHeight="1">
      <c r="B17" s="102"/>
      <c r="C17" s="102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</row>
    <row r="18" spans="2:17" ht="39" customHeight="1">
      <c r="B18" s="102"/>
      <c r="C18" s="102"/>
      <c r="F18" s="98" t="s">
        <v>706</v>
      </c>
      <c r="G18" s="100" t="s">
        <v>707</v>
      </c>
      <c r="H18" s="98" t="s">
        <v>708</v>
      </c>
      <c r="I18" s="98"/>
      <c r="J18" s="98" t="s">
        <v>709</v>
      </c>
      <c r="K18" s="98" t="s">
        <v>710</v>
      </c>
      <c r="L18" s="98" t="s">
        <v>821</v>
      </c>
      <c r="M18" s="98" t="s">
        <v>816</v>
      </c>
      <c r="N18" s="98" t="s">
        <v>711</v>
      </c>
      <c r="O18" s="214"/>
      <c r="P18" s="214"/>
    </row>
    <row r="19" spans="2:17" ht="12.75" customHeight="1">
      <c r="B19" s="102"/>
      <c r="C19" s="102"/>
      <c r="F19" s="102">
        <f>+F7</f>
        <v>-3</v>
      </c>
      <c r="G19" s="102">
        <f>+G7</f>
        <v>-4</v>
      </c>
      <c r="H19" s="102">
        <f>+H7</f>
        <v>-5</v>
      </c>
      <c r="I19" s="102"/>
      <c r="J19" s="102">
        <f>+J7</f>
        <v>-6</v>
      </c>
      <c r="K19" s="102">
        <f>+K7</f>
        <v>-7</v>
      </c>
      <c r="L19" s="102">
        <f>+L7</f>
        <v>-8</v>
      </c>
      <c r="M19" s="102">
        <f>+M7</f>
        <v>-9</v>
      </c>
      <c r="N19" s="102">
        <f>+N7</f>
        <v>-10</v>
      </c>
      <c r="O19" s="214"/>
      <c r="P19" s="214"/>
    </row>
    <row r="20" spans="2:17" ht="12.75" customHeight="1">
      <c r="B20" s="102"/>
      <c r="C20" s="102"/>
      <c r="F20" s="219"/>
      <c r="G20" s="98"/>
      <c r="H20" s="98"/>
      <c r="I20" s="98"/>
      <c r="J20" s="98"/>
      <c r="K20" s="98"/>
      <c r="L20" s="98"/>
      <c r="M20" s="98"/>
      <c r="N20" s="98"/>
      <c r="O20" s="214"/>
      <c r="P20" s="214"/>
    </row>
    <row r="21" spans="2:17" ht="12.75" customHeight="1">
      <c r="B21" s="102"/>
      <c r="C21" s="220" t="s">
        <v>712</v>
      </c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</row>
    <row r="22" spans="2:17" ht="12.75" customHeight="1">
      <c r="B22" s="102">
        <f>+B15+1</f>
        <v>4</v>
      </c>
      <c r="C22" s="102"/>
      <c r="D22" s="83" t="s">
        <v>713</v>
      </c>
      <c r="F22" s="38">
        <v>3012791</v>
      </c>
      <c r="G22" s="38">
        <v>0</v>
      </c>
      <c r="H22" s="38">
        <f>+F22-G22</f>
        <v>3012791</v>
      </c>
      <c r="I22" s="38"/>
      <c r="J22" s="214"/>
      <c r="K22" s="214"/>
      <c r="L22" s="214"/>
      <c r="M22" s="214"/>
      <c r="N22" s="214"/>
      <c r="O22" s="214"/>
      <c r="P22" s="214"/>
      <c r="Q22" s="405"/>
    </row>
    <row r="23" spans="2:17" ht="12.75" customHeight="1">
      <c r="B23" s="102">
        <f>+B22+1</f>
        <v>5</v>
      </c>
      <c r="C23" s="102"/>
      <c r="D23" s="83" t="s">
        <v>714</v>
      </c>
      <c r="F23" s="38">
        <v>3119813</v>
      </c>
      <c r="G23" s="38">
        <v>0</v>
      </c>
      <c r="H23" s="38">
        <f>+F23-G23</f>
        <v>3119813</v>
      </c>
      <c r="I23" s="38"/>
      <c r="J23" s="214"/>
      <c r="K23" s="214"/>
      <c r="L23" s="214"/>
      <c r="M23" s="214"/>
      <c r="N23" s="214"/>
      <c r="O23" s="214"/>
      <c r="P23" s="214"/>
      <c r="Q23" s="405"/>
    </row>
    <row r="24" spans="2:17" ht="12.75" customHeight="1">
      <c r="B24" s="102">
        <f>+B23+1</f>
        <v>6</v>
      </c>
      <c r="C24" s="102"/>
      <c r="D24" s="83" t="s">
        <v>715</v>
      </c>
      <c r="F24" s="38">
        <v>0</v>
      </c>
      <c r="G24" s="38">
        <v>0</v>
      </c>
      <c r="H24" s="38">
        <f>+F24-G24</f>
        <v>0</v>
      </c>
      <c r="I24" s="38"/>
      <c r="J24" s="214"/>
      <c r="K24" s="214"/>
      <c r="L24" s="214"/>
      <c r="M24" s="214"/>
      <c r="N24" s="214"/>
      <c r="O24" s="214"/>
      <c r="P24" s="214"/>
    </row>
    <row r="25" spans="2:17" ht="12.75" customHeight="1">
      <c r="B25" s="102"/>
      <c r="C25" s="102"/>
      <c r="F25" s="105" t="s">
        <v>681</v>
      </c>
      <c r="G25" s="105" t="s">
        <v>681</v>
      </c>
      <c r="H25" s="105" t="s">
        <v>681</v>
      </c>
      <c r="I25" s="105"/>
      <c r="J25" s="105"/>
      <c r="K25" s="105"/>
      <c r="L25" s="105"/>
      <c r="M25" s="105"/>
      <c r="N25" s="105"/>
      <c r="O25" s="105"/>
      <c r="P25" s="214"/>
    </row>
    <row r="26" spans="2:17" ht="12.75" customHeight="1">
      <c r="B26" s="102">
        <f>+B24+1</f>
        <v>7</v>
      </c>
      <c r="C26" s="102"/>
      <c r="D26" s="404" t="s">
        <v>716</v>
      </c>
      <c r="F26" s="38">
        <f>SUM(F22:F25)</f>
        <v>6132604</v>
      </c>
      <c r="G26" s="38">
        <f>SUM(G22:G25)</f>
        <v>0</v>
      </c>
      <c r="H26" s="38">
        <f>SUM(H22:H25)</f>
        <v>6132604</v>
      </c>
      <c r="I26" s="38"/>
      <c r="J26" s="38"/>
      <c r="K26" s="38"/>
      <c r="L26" s="38"/>
      <c r="M26" s="38"/>
      <c r="N26" s="38"/>
      <c r="O26" s="38"/>
      <c r="P26" s="214"/>
    </row>
    <row r="27" spans="2:17" ht="12.75" customHeight="1">
      <c r="B27" s="102"/>
      <c r="C27" s="102"/>
      <c r="F27" s="105" t="s">
        <v>681</v>
      </c>
      <c r="G27" s="105" t="s">
        <v>681</v>
      </c>
      <c r="H27" s="105" t="s">
        <v>681</v>
      </c>
      <c r="I27" s="105"/>
      <c r="J27" s="105"/>
      <c r="K27" s="105"/>
      <c r="L27" s="105"/>
      <c r="M27" s="105"/>
      <c r="N27" s="105"/>
      <c r="O27" s="38"/>
      <c r="P27" s="214"/>
    </row>
    <row r="28" spans="2:17" ht="12.75" customHeight="1">
      <c r="B28" s="102"/>
      <c r="C28" s="102"/>
      <c r="F28" s="231"/>
      <c r="G28" s="38"/>
      <c r="H28" s="38"/>
      <c r="I28" s="38"/>
      <c r="J28" s="38"/>
      <c r="K28" s="38"/>
      <c r="L28" s="38"/>
      <c r="M28" s="38"/>
      <c r="N28" s="38"/>
      <c r="O28" s="38"/>
      <c r="P28" s="214"/>
    </row>
    <row r="29" spans="2:17" ht="12.75" customHeight="1">
      <c r="B29" s="102"/>
      <c r="C29" s="220" t="s">
        <v>717</v>
      </c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2:17" ht="12.75" customHeight="1">
      <c r="B30" s="102">
        <f>+B26+1</f>
        <v>8</v>
      </c>
      <c r="C30" s="102"/>
      <c r="D30" s="83" t="s">
        <v>718</v>
      </c>
      <c r="F30" s="38">
        <f>5297563192/1000</f>
        <v>5297563.1919999998</v>
      </c>
      <c r="G30" s="38">
        <v>0</v>
      </c>
      <c r="H30" s="38">
        <f>+F30-G30</f>
        <v>5297563.1919999998</v>
      </c>
      <c r="I30" s="38"/>
      <c r="J30" s="38">
        <v>0</v>
      </c>
      <c r="K30" s="38">
        <v>0</v>
      </c>
      <c r="L30" s="38">
        <v>0</v>
      </c>
      <c r="M30" s="38">
        <f>+J30+K30+L30</f>
        <v>0</v>
      </c>
      <c r="N30" s="38">
        <f>+H30-M30</f>
        <v>5297563.1919999998</v>
      </c>
      <c r="O30" s="214"/>
      <c r="P30" s="214"/>
    </row>
    <row r="31" spans="2:17" ht="12.75" customHeight="1">
      <c r="B31" s="102"/>
      <c r="C31" s="102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214"/>
    </row>
    <row r="32" spans="2:17" ht="12.75" customHeight="1">
      <c r="B32" s="102">
        <f>+B30+1</f>
        <v>9</v>
      </c>
      <c r="C32" s="102"/>
      <c r="D32" s="83" t="s">
        <v>719</v>
      </c>
      <c r="F32" s="38">
        <f>+F10</f>
        <v>441722</v>
      </c>
      <c r="G32" s="38">
        <f>+F10</f>
        <v>441722</v>
      </c>
      <c r="H32" s="38">
        <f t="shared" ref="H32:H37" si="1">+F32-G32</f>
        <v>0</v>
      </c>
      <c r="I32" s="38"/>
      <c r="J32" s="38">
        <v>0</v>
      </c>
      <c r="K32" s="38">
        <v>0</v>
      </c>
      <c r="L32" s="38">
        <v>0</v>
      </c>
      <c r="M32" s="38">
        <f>+J32+K32+L32</f>
        <v>0</v>
      </c>
      <c r="N32" s="38">
        <f>+H32-M32</f>
        <v>0</v>
      </c>
      <c r="O32" s="214"/>
      <c r="P32" s="214"/>
    </row>
    <row r="33" spans="2:20" ht="30" customHeight="1">
      <c r="B33" s="102">
        <f>+B32+1</f>
        <v>10</v>
      </c>
      <c r="C33" s="102"/>
      <c r="D33" s="221" t="s">
        <v>720</v>
      </c>
      <c r="F33" s="38">
        <f>+F15</f>
        <v>21302.112959999999</v>
      </c>
      <c r="G33" s="38">
        <v>0</v>
      </c>
      <c r="H33" s="38">
        <f>+F33-G33</f>
        <v>21302.112959999999</v>
      </c>
      <c r="I33" s="38"/>
      <c r="J33" s="38">
        <f>+H33</f>
        <v>21302.112959999999</v>
      </c>
      <c r="K33" s="38">
        <v>0</v>
      </c>
      <c r="L33" s="38">
        <v>0</v>
      </c>
      <c r="M33" s="38">
        <f>+J33+K33+L33</f>
        <v>21302.112959999999</v>
      </c>
      <c r="N33" s="38">
        <f>+H33-M33</f>
        <v>0</v>
      </c>
      <c r="O33" s="214"/>
      <c r="P33" s="214"/>
    </row>
    <row r="34" spans="2:20" ht="30" customHeight="1">
      <c r="B34" s="102">
        <f>+B33+1</f>
        <v>11</v>
      </c>
      <c r="C34" s="102"/>
      <c r="D34" s="221" t="s">
        <v>721</v>
      </c>
      <c r="F34" s="38">
        <f>+F12</f>
        <v>54153.701000000001</v>
      </c>
      <c r="G34" s="38">
        <v>0</v>
      </c>
      <c r="H34" s="38">
        <f t="shared" si="1"/>
        <v>54153.701000000001</v>
      </c>
      <c r="I34" s="38"/>
      <c r="J34" s="38">
        <v>0</v>
      </c>
      <c r="K34" s="38">
        <f>+H34</f>
        <v>54153.701000000001</v>
      </c>
      <c r="L34" s="38">
        <v>0</v>
      </c>
      <c r="M34" s="38">
        <f>+J34+K34+L34</f>
        <v>54153.701000000001</v>
      </c>
      <c r="N34" s="38">
        <f>+H34-M34</f>
        <v>0</v>
      </c>
      <c r="O34" s="214"/>
      <c r="P34" s="214"/>
    </row>
    <row r="35" spans="2:20" ht="25">
      <c r="B35" s="102">
        <f>+B34+1</f>
        <v>12</v>
      </c>
      <c r="C35" s="102"/>
      <c r="D35" s="98" t="s">
        <v>722</v>
      </c>
      <c r="F35" s="10">
        <f>SUM(F32:F34)</f>
        <v>517177.81396</v>
      </c>
      <c r="G35" s="10">
        <f>SUM(G32:G34)</f>
        <v>441722</v>
      </c>
      <c r="H35" s="10">
        <f t="shared" ref="H35:N35" si="2">SUM(H32:H34)</f>
        <v>75455.813959999999</v>
      </c>
      <c r="I35" s="10"/>
      <c r="J35" s="10">
        <f t="shared" si="2"/>
        <v>21302.112959999999</v>
      </c>
      <c r="K35" s="10">
        <f t="shared" si="2"/>
        <v>54153.701000000001</v>
      </c>
      <c r="L35" s="10">
        <f t="shared" si="2"/>
        <v>0</v>
      </c>
      <c r="M35" s="10">
        <f>SUM(M32:M34)</f>
        <v>75455.813959999999</v>
      </c>
      <c r="N35" s="10">
        <f t="shared" si="2"/>
        <v>0</v>
      </c>
      <c r="O35" s="105"/>
      <c r="P35" s="214"/>
    </row>
    <row r="36" spans="2:20">
      <c r="B36" s="102"/>
      <c r="C36" s="102"/>
      <c r="D36" s="404"/>
      <c r="F36" s="10"/>
      <c r="G36" s="10"/>
      <c r="H36" s="10"/>
      <c r="I36" s="10"/>
      <c r="J36" s="10"/>
      <c r="K36" s="10"/>
      <c r="L36" s="10"/>
      <c r="M36" s="10"/>
      <c r="N36" s="10"/>
      <c r="O36" s="105"/>
      <c r="P36" s="214"/>
    </row>
    <row r="37" spans="2:20">
      <c r="B37" s="102">
        <f>+B35+1</f>
        <v>13</v>
      </c>
      <c r="C37" s="102"/>
      <c r="D37" s="83" t="s">
        <v>723</v>
      </c>
      <c r="F37" s="38">
        <v>268685.03999999998</v>
      </c>
      <c r="G37" s="38">
        <f>+H10</f>
        <v>15063</v>
      </c>
      <c r="H37" s="38">
        <f t="shared" si="1"/>
        <v>253622.03999999998</v>
      </c>
      <c r="I37" s="38"/>
      <c r="J37" s="38">
        <f>+H15</f>
        <v>1183</v>
      </c>
      <c r="K37" s="38">
        <f>+H12</f>
        <v>1847</v>
      </c>
      <c r="L37" s="38">
        <v>0</v>
      </c>
      <c r="M37" s="38">
        <f>+J37+K37+L37</f>
        <v>3030</v>
      </c>
      <c r="N37" s="38">
        <f>+H37-M37</f>
        <v>250592.03999999998</v>
      </c>
    </row>
    <row r="38" spans="2:20">
      <c r="B38" s="102"/>
      <c r="C38" s="102"/>
      <c r="F38" s="105" t="s">
        <v>681</v>
      </c>
      <c r="G38" s="105" t="s">
        <v>681</v>
      </c>
      <c r="H38" s="105" t="s">
        <v>681</v>
      </c>
      <c r="I38" s="105"/>
      <c r="J38" s="105" t="s">
        <v>681</v>
      </c>
      <c r="K38" s="105" t="s">
        <v>681</v>
      </c>
      <c r="L38" s="105" t="s">
        <v>681</v>
      </c>
      <c r="M38" s="105" t="s">
        <v>681</v>
      </c>
      <c r="N38" s="105" t="s">
        <v>681</v>
      </c>
      <c r="P38" s="222"/>
    </row>
    <row r="39" spans="2:20" ht="25.5" customHeight="1">
      <c r="B39" s="102">
        <f>+B37+1</f>
        <v>14</v>
      </c>
      <c r="C39" s="102"/>
      <c r="D39" s="98" t="s">
        <v>724</v>
      </c>
      <c r="F39" s="38">
        <f>+F30+F35+F37</f>
        <v>6083426.0459599998</v>
      </c>
      <c r="G39" s="38">
        <f>+G30+G35+G37</f>
        <v>456785</v>
      </c>
      <c r="H39" s="38">
        <f>+H30+H35+H37</f>
        <v>5626641.0459599998</v>
      </c>
      <c r="I39" s="38"/>
      <c r="J39" s="38">
        <f>+J30+J35+J37</f>
        <v>22485.112959999999</v>
      </c>
      <c r="K39" s="38">
        <f>+K30+K35+K37</f>
        <v>56000.701000000001</v>
      </c>
      <c r="L39" s="38">
        <f>+L30+L35+L37</f>
        <v>0</v>
      </c>
      <c r="M39" s="38">
        <f>+M30+M35+M37</f>
        <v>78485.813959999999</v>
      </c>
      <c r="N39" s="38">
        <f>+N30+N35+N37</f>
        <v>5548155.2319999998</v>
      </c>
      <c r="O39" s="38"/>
      <c r="P39" s="222"/>
      <c r="Q39" s="38"/>
      <c r="R39" s="38"/>
      <c r="S39" s="38"/>
      <c r="T39" s="38"/>
    </row>
    <row r="40" spans="2:20">
      <c r="B40" s="102"/>
      <c r="C40" s="102"/>
      <c r="F40" s="105" t="s">
        <v>681</v>
      </c>
      <c r="G40" s="105" t="s">
        <v>681</v>
      </c>
      <c r="H40" s="105" t="s">
        <v>681</v>
      </c>
      <c r="I40" s="105"/>
      <c r="J40" s="105" t="s">
        <v>681</v>
      </c>
      <c r="K40" s="105" t="s">
        <v>681</v>
      </c>
      <c r="L40" s="105" t="s">
        <v>681</v>
      </c>
      <c r="M40" s="105" t="s">
        <v>681</v>
      </c>
      <c r="N40" s="105" t="s">
        <v>681</v>
      </c>
      <c r="O40" s="214"/>
      <c r="P40" s="222"/>
    </row>
    <row r="41" spans="2:20" ht="13">
      <c r="B41" s="102">
        <f>+B39+1</f>
        <v>15</v>
      </c>
      <c r="C41" s="102"/>
      <c r="D41" s="103" t="s">
        <v>725</v>
      </c>
      <c r="F41" s="38"/>
      <c r="G41" s="38"/>
      <c r="H41" s="214">
        <v>1</v>
      </c>
      <c r="I41" s="214"/>
      <c r="J41" s="214"/>
      <c r="K41" s="214"/>
      <c r="L41" s="214"/>
      <c r="M41" s="223">
        <f>ROUND(M39/H39,3)</f>
        <v>1.4E-2</v>
      </c>
      <c r="N41" s="223">
        <f>+H41-M41</f>
        <v>0.98599999999999999</v>
      </c>
      <c r="P41" s="222"/>
    </row>
    <row r="42" spans="2:20">
      <c r="B42" s="102"/>
      <c r="C42" s="102"/>
      <c r="F42" s="105"/>
      <c r="G42" s="105"/>
      <c r="H42" s="105" t="s">
        <v>573</v>
      </c>
      <c r="I42" s="105"/>
      <c r="J42" s="105" t="s">
        <v>573</v>
      </c>
      <c r="K42" s="105" t="s">
        <v>573</v>
      </c>
      <c r="L42" s="105" t="s">
        <v>573</v>
      </c>
      <c r="M42" s="105" t="s">
        <v>573</v>
      </c>
      <c r="N42" s="105" t="s">
        <v>573</v>
      </c>
      <c r="P42" s="222"/>
    </row>
    <row r="43" spans="2:20">
      <c r="B43" s="102"/>
      <c r="C43" s="102"/>
      <c r="D43" s="103"/>
      <c r="F43" s="38"/>
      <c r="G43" s="38"/>
      <c r="H43" s="102"/>
      <c r="I43" s="102"/>
      <c r="J43" s="38"/>
      <c r="K43" s="102"/>
      <c r="L43" s="38"/>
      <c r="M43" s="38"/>
      <c r="N43" s="38"/>
      <c r="P43" s="222"/>
    </row>
    <row r="44" spans="2:20" ht="59.25" customHeight="1">
      <c r="B44" s="102"/>
      <c r="C44" s="102"/>
      <c r="D44" s="350"/>
      <c r="F44" s="38"/>
      <c r="G44" s="38"/>
      <c r="H44" s="38"/>
      <c r="I44" s="38"/>
      <c r="J44" s="38"/>
      <c r="K44" s="38"/>
      <c r="L44" s="38"/>
      <c r="M44" s="38"/>
      <c r="N44" s="38"/>
    </row>
    <row r="45" spans="2:20">
      <c r="B45" s="102"/>
      <c r="C45" s="102"/>
      <c r="F45" s="38"/>
      <c r="G45" s="38"/>
      <c r="H45" s="38"/>
      <c r="I45" s="38"/>
      <c r="J45" s="38"/>
      <c r="K45" s="38"/>
      <c r="L45" s="38"/>
      <c r="M45" s="38"/>
      <c r="N45" s="38"/>
    </row>
    <row r="46" spans="2:20">
      <c r="B46" s="102"/>
      <c r="C46" s="102"/>
      <c r="F46" s="38"/>
      <c r="G46" s="38"/>
    </row>
    <row r="47" spans="2:20">
      <c r="F47" s="38"/>
    </row>
    <row r="48" spans="2:20">
      <c r="H48" s="38"/>
    </row>
    <row r="49" spans="6:7">
      <c r="F49" s="38"/>
    </row>
    <row r="53" spans="6:7">
      <c r="F53" s="38"/>
    </row>
    <row r="54" spans="6:7">
      <c r="G54" s="38"/>
    </row>
  </sheetData>
  <pageMargins left="0.7" right="0.7" top="0.75" bottom="0.75" header="0.3" footer="0.3"/>
  <pageSetup scale="55" orientation="portrait" r:id="rId1"/>
  <headerFooter>
    <oddHeader>&amp;RKPSC Case No. 2025-00257
SECTION V-Application
Exhibit 1
&amp;Pof&amp;N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64"/>
  <sheetViews>
    <sheetView view="pageBreakPreview" zoomScale="60" zoomScaleNormal="100" workbookViewId="0">
      <selection sqref="A1:XFD1048576"/>
    </sheetView>
  </sheetViews>
  <sheetFormatPr defaultRowHeight="12.5"/>
  <cols>
    <col min="1" max="1" width="5.1796875" bestFit="1" customWidth="1"/>
    <col min="2" max="2" width="2.1796875" customWidth="1"/>
    <col min="3" max="3" width="25.1796875" customWidth="1"/>
    <col min="4" max="4" width="2.1796875" customWidth="1"/>
    <col min="5" max="5" width="10.453125" bestFit="1" customWidth="1"/>
    <col min="6" max="6" width="2.1796875" customWidth="1"/>
    <col min="7" max="7" width="10" customWidth="1"/>
    <col min="8" max="8" width="2.1796875" customWidth="1"/>
    <col min="9" max="9" width="14.1796875" bestFit="1" customWidth="1"/>
    <col min="10" max="10" width="2.1796875" customWidth="1"/>
    <col min="11" max="11" width="14" bestFit="1" customWidth="1"/>
    <col min="13" max="13" width="15" bestFit="1" customWidth="1"/>
    <col min="16" max="16" width="12.54296875" customWidth="1"/>
  </cols>
  <sheetData>
    <row r="1" spans="1:13">
      <c r="A1" s="34"/>
      <c r="B1" s="3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3">
      <c r="A2" s="531"/>
      <c r="B2" s="532"/>
      <c r="C2" s="532"/>
      <c r="D2" s="532"/>
      <c r="E2" s="532"/>
      <c r="F2" s="532"/>
      <c r="G2" s="532"/>
      <c r="H2" s="532"/>
      <c r="I2" s="532"/>
      <c r="J2" s="26"/>
      <c r="K2" s="26"/>
      <c r="L2" s="26"/>
      <c r="M2" s="26"/>
    </row>
    <row r="3" spans="1:13">
      <c r="A3" s="533" t="s">
        <v>789</v>
      </c>
      <c r="B3" s="533"/>
      <c r="C3" s="533"/>
      <c r="D3" s="533"/>
      <c r="E3" s="533"/>
      <c r="F3" s="533"/>
      <c r="G3" s="533"/>
      <c r="H3" s="533"/>
      <c r="I3" s="533"/>
      <c r="J3" s="26"/>
      <c r="K3" s="26"/>
      <c r="L3" s="26"/>
      <c r="M3" s="26"/>
    </row>
    <row r="5" spans="1:13" ht="13">
      <c r="A5" s="531"/>
      <c r="B5" s="534"/>
      <c r="C5" s="534"/>
      <c r="D5" s="534"/>
      <c r="E5" s="534"/>
      <c r="F5" s="534"/>
      <c r="G5" s="534"/>
      <c r="H5" s="534"/>
      <c r="I5" s="534"/>
      <c r="J5" s="26"/>
      <c r="K5" s="26" t="s">
        <v>1117</v>
      </c>
      <c r="L5" s="26"/>
      <c r="M5" s="26"/>
    </row>
    <row r="6" spans="1:13">
      <c r="K6" t="s">
        <v>1120</v>
      </c>
    </row>
    <row r="7" spans="1:13" ht="26">
      <c r="A7" s="32" t="s">
        <v>331</v>
      </c>
      <c r="B7" s="26"/>
      <c r="C7" s="36" t="s">
        <v>332</v>
      </c>
      <c r="D7" s="26"/>
      <c r="E7" s="36" t="s">
        <v>333</v>
      </c>
      <c r="F7" s="26"/>
      <c r="G7" s="36" t="s">
        <v>334</v>
      </c>
      <c r="H7" s="26"/>
      <c r="I7" s="36" t="s">
        <v>335</v>
      </c>
      <c r="J7" s="26"/>
      <c r="K7" s="26"/>
      <c r="L7" s="236"/>
      <c r="M7" s="236"/>
    </row>
    <row r="8" spans="1:13" ht="13">
      <c r="A8" s="33">
        <v>-1</v>
      </c>
      <c r="B8" s="33"/>
      <c r="C8" s="37">
        <v>-2</v>
      </c>
      <c r="D8" s="33"/>
      <c r="E8" s="37">
        <v>-3</v>
      </c>
      <c r="F8" s="33"/>
      <c r="G8" s="37">
        <v>-4</v>
      </c>
      <c r="H8" s="33"/>
      <c r="I8" s="37">
        <v>-5</v>
      </c>
      <c r="J8" s="33"/>
      <c r="K8" s="33"/>
      <c r="L8" s="351"/>
      <c r="M8" s="351"/>
    </row>
    <row r="9" spans="1:13">
      <c r="A9" s="26"/>
      <c r="B9" s="26"/>
      <c r="C9" s="28"/>
      <c r="D9" s="26"/>
      <c r="E9" s="26"/>
      <c r="F9" s="26"/>
      <c r="G9" s="26"/>
      <c r="H9" s="26"/>
      <c r="I9" s="26"/>
      <c r="J9" s="26"/>
      <c r="K9" s="26"/>
      <c r="L9" s="236"/>
      <c r="M9" s="236"/>
    </row>
    <row r="10" spans="1:13">
      <c r="A10" s="29">
        <v>1</v>
      </c>
      <c r="B10" s="26"/>
      <c r="C10" s="237" t="s">
        <v>336</v>
      </c>
      <c r="D10" s="236"/>
      <c r="E10" s="236" t="s">
        <v>337</v>
      </c>
      <c r="F10" s="236"/>
      <c r="G10" s="68">
        <f>'Sch 9'!J43</f>
        <v>0.98499999999999999</v>
      </c>
      <c r="H10" s="236"/>
      <c r="I10" s="238" t="s">
        <v>796</v>
      </c>
      <c r="J10" s="236"/>
      <c r="K10" s="236"/>
      <c r="L10" s="352"/>
      <c r="M10" s="356"/>
    </row>
    <row r="11" spans="1:13">
      <c r="A11" s="29"/>
      <c r="B11" s="26"/>
      <c r="C11" s="28"/>
      <c r="D11" s="26"/>
      <c r="E11" s="26"/>
      <c r="F11" s="26"/>
      <c r="G11" s="68"/>
      <c r="H11" s="26"/>
      <c r="I11" s="31"/>
      <c r="J11" s="26"/>
      <c r="K11" s="26"/>
      <c r="L11" s="352"/>
      <c r="M11" s="356"/>
    </row>
    <row r="12" spans="1:13">
      <c r="A12" s="29">
        <v>2</v>
      </c>
      <c r="B12" s="26"/>
      <c r="C12" s="28" t="s">
        <v>338</v>
      </c>
      <c r="D12" s="26"/>
      <c r="E12" s="26" t="s">
        <v>339</v>
      </c>
      <c r="F12" s="26"/>
      <c r="G12" s="68">
        <f>'Sch 9'!J43</f>
        <v>0.98499999999999999</v>
      </c>
      <c r="H12" s="26"/>
      <c r="I12" s="31" t="s">
        <v>796</v>
      </c>
      <c r="J12" s="26"/>
      <c r="K12" s="26"/>
      <c r="L12" s="352"/>
      <c r="M12" s="356"/>
    </row>
    <row r="13" spans="1:13">
      <c r="A13" s="29"/>
      <c r="B13" s="26"/>
      <c r="C13" s="28"/>
      <c r="D13" s="26"/>
      <c r="E13" s="26"/>
      <c r="F13" s="26"/>
      <c r="G13" s="68"/>
      <c r="H13" s="26"/>
      <c r="I13" s="31"/>
      <c r="J13" s="26"/>
      <c r="K13" s="26"/>
      <c r="L13" s="352"/>
      <c r="M13" s="356"/>
    </row>
    <row r="14" spans="1:13">
      <c r="A14" s="29">
        <v>3</v>
      </c>
      <c r="B14" s="26"/>
      <c r="C14" s="28" t="s">
        <v>152</v>
      </c>
      <c r="D14" s="26"/>
      <c r="E14" s="26" t="s">
        <v>340</v>
      </c>
      <c r="F14" s="26"/>
      <c r="G14" s="68">
        <f>'Sch 10'!N41</f>
        <v>0.98599999999999999</v>
      </c>
      <c r="H14" s="26"/>
      <c r="I14" s="31" t="s">
        <v>797</v>
      </c>
      <c r="J14" s="26"/>
      <c r="K14" s="26"/>
      <c r="L14" s="352"/>
      <c r="M14" s="356"/>
    </row>
    <row r="15" spans="1:13">
      <c r="A15" s="29"/>
      <c r="B15" s="26"/>
      <c r="C15" s="28"/>
      <c r="D15" s="26"/>
      <c r="E15" s="26"/>
      <c r="F15" s="26"/>
      <c r="G15" s="30"/>
      <c r="H15" s="26"/>
      <c r="I15" s="31"/>
      <c r="J15" s="26"/>
      <c r="K15" s="26"/>
      <c r="L15" s="352"/>
      <c r="M15" s="356"/>
    </row>
    <row r="16" spans="1:13">
      <c r="A16" s="29">
        <v>4</v>
      </c>
      <c r="B16" s="26"/>
      <c r="C16" s="28" t="s">
        <v>341</v>
      </c>
      <c r="D16" s="26"/>
      <c r="E16" s="26" t="s">
        <v>342</v>
      </c>
      <c r="F16" s="26"/>
      <c r="G16" s="30">
        <f>ROUND(('Sch 4'!E174)/('Sch 4'!C174),3)</f>
        <v>0.98499999999999999</v>
      </c>
      <c r="H16" s="26"/>
      <c r="I16" s="31" t="s">
        <v>800</v>
      </c>
      <c r="J16" s="26"/>
      <c r="K16" s="26"/>
      <c r="L16" s="352"/>
      <c r="M16" s="356"/>
    </row>
    <row r="17" spans="1:16">
      <c r="A17" s="29"/>
      <c r="B17" s="26"/>
      <c r="C17" s="28"/>
      <c r="D17" s="26"/>
      <c r="E17" s="26"/>
      <c r="F17" s="26"/>
      <c r="G17" s="30"/>
      <c r="H17" s="26"/>
      <c r="I17" s="26"/>
      <c r="L17" s="353"/>
      <c r="M17" s="356"/>
    </row>
    <row r="18" spans="1:16">
      <c r="A18" s="29">
        <v>5</v>
      </c>
      <c r="B18" s="26"/>
      <c r="C18" s="28" t="s">
        <v>343</v>
      </c>
      <c r="D18" s="26"/>
      <c r="E18" s="26" t="s">
        <v>344</v>
      </c>
      <c r="F18" s="26"/>
      <c r="G18" s="30">
        <f>ROUND(('Sch 4'!E176)/('Sch 4'!C176),3)</f>
        <v>0.999</v>
      </c>
      <c r="H18" s="26"/>
      <c r="I18" s="31" t="s">
        <v>801</v>
      </c>
      <c r="L18" s="353"/>
      <c r="M18" s="356"/>
    </row>
    <row r="19" spans="1:16">
      <c r="A19" s="29"/>
      <c r="B19" s="26"/>
      <c r="C19" s="28"/>
      <c r="D19" s="26"/>
      <c r="E19" s="26"/>
      <c r="F19" s="26"/>
      <c r="G19" s="30"/>
      <c r="H19" s="26"/>
      <c r="I19" s="26"/>
      <c r="L19" s="353"/>
      <c r="M19" s="356"/>
    </row>
    <row r="20" spans="1:16">
      <c r="A20" s="29">
        <v>6</v>
      </c>
      <c r="B20" s="26"/>
      <c r="C20" s="28" t="s">
        <v>345</v>
      </c>
      <c r="D20" s="26"/>
      <c r="E20" s="26" t="s">
        <v>346</v>
      </c>
      <c r="F20" s="26"/>
      <c r="G20" s="30">
        <f>ROUND(('Sch 4'!E178)/('Sch 4'!C178),3)</f>
        <v>0.99299999999999999</v>
      </c>
      <c r="H20" s="26"/>
      <c r="I20" s="31" t="s">
        <v>802</v>
      </c>
      <c r="L20" s="353"/>
      <c r="M20" s="356"/>
    </row>
    <row r="21" spans="1:16">
      <c r="A21" s="29"/>
      <c r="B21" s="26"/>
      <c r="C21" s="28"/>
      <c r="D21" s="26"/>
      <c r="E21" s="26"/>
      <c r="F21" s="26"/>
      <c r="G21" s="30"/>
      <c r="H21" s="26"/>
      <c r="I21" s="26"/>
      <c r="L21" s="353"/>
      <c r="M21" s="356"/>
    </row>
    <row r="22" spans="1:16">
      <c r="A22" s="29">
        <v>7</v>
      </c>
      <c r="B22" s="26"/>
      <c r="C22" s="28" t="s">
        <v>347</v>
      </c>
      <c r="D22" s="26"/>
      <c r="E22" s="26" t="s">
        <v>348</v>
      </c>
      <c r="F22" s="26"/>
      <c r="G22" s="68">
        <f>ROUND('Sch 4'!E182/'Sch 4'!C182,3)</f>
        <v>0.98</v>
      </c>
      <c r="H22" s="26"/>
      <c r="I22" s="31" t="s">
        <v>875</v>
      </c>
      <c r="K22" s="39"/>
      <c r="L22" s="353"/>
      <c r="M22" s="356"/>
    </row>
    <row r="23" spans="1:16">
      <c r="A23" s="29"/>
      <c r="B23" s="26"/>
      <c r="C23" s="28"/>
      <c r="D23" s="26"/>
      <c r="E23" s="26"/>
      <c r="F23" s="26"/>
      <c r="G23" s="30"/>
      <c r="H23" s="26"/>
      <c r="I23" s="26"/>
      <c r="L23" s="353"/>
      <c r="M23" s="356"/>
    </row>
    <row r="24" spans="1:16">
      <c r="A24" s="29">
        <v>8</v>
      </c>
      <c r="B24" s="26"/>
      <c r="C24" s="28" t="s">
        <v>349</v>
      </c>
      <c r="D24" s="26"/>
      <c r="E24" s="27" t="s">
        <v>350</v>
      </c>
      <c r="F24" s="26"/>
      <c r="G24" s="68">
        <f>ROUND('Sch 4'!E180/'Sch 4'!C180,3)</f>
        <v>0.98</v>
      </c>
      <c r="H24" s="26"/>
      <c r="I24" s="31" t="s">
        <v>803</v>
      </c>
      <c r="K24" s="77"/>
      <c r="L24" s="353"/>
      <c r="M24" s="356"/>
    </row>
    <row r="25" spans="1:16">
      <c r="A25" s="29"/>
      <c r="B25" s="26"/>
      <c r="C25" s="28"/>
      <c r="D25" s="26"/>
      <c r="E25" s="26"/>
      <c r="F25" s="26"/>
      <c r="G25" s="30"/>
      <c r="H25" s="26"/>
      <c r="I25" s="26"/>
      <c r="L25" s="353"/>
      <c r="M25" s="356"/>
    </row>
    <row r="26" spans="1:16">
      <c r="A26" s="29">
        <v>9</v>
      </c>
      <c r="B26" s="26"/>
      <c r="C26" s="237" t="s">
        <v>294</v>
      </c>
      <c r="D26" s="236"/>
      <c r="E26" s="236" t="s">
        <v>351</v>
      </c>
      <c r="F26" s="236"/>
      <c r="G26" s="68">
        <f>ROUND('Sch 4'!E45/('Sch 4'!C45-('Sch 4'!C170-'Sch 4'!C200)),3)</f>
        <v>0.97799999999999998</v>
      </c>
      <c r="H26" s="236"/>
      <c r="I26" s="238" t="s">
        <v>804</v>
      </c>
      <c r="J26" s="89"/>
      <c r="K26" s="1"/>
      <c r="L26" s="354"/>
      <c r="M26" s="356"/>
      <c r="P26" s="39"/>
    </row>
    <row r="27" spans="1:16">
      <c r="A27" s="29"/>
      <c r="B27" s="26"/>
      <c r="C27" s="28"/>
      <c r="D27" s="26"/>
      <c r="E27" s="26"/>
      <c r="F27" s="26"/>
      <c r="G27" s="30"/>
      <c r="H27" s="26"/>
      <c r="I27" s="26"/>
      <c r="K27" s="1"/>
      <c r="L27" s="354"/>
      <c r="M27" s="356"/>
      <c r="P27" s="69"/>
    </row>
    <row r="28" spans="1:16">
      <c r="A28" s="29">
        <v>10</v>
      </c>
      <c r="B28" s="26"/>
      <c r="C28" s="28" t="s">
        <v>352</v>
      </c>
      <c r="D28" s="26"/>
      <c r="E28" s="26" t="s">
        <v>353</v>
      </c>
      <c r="F28" s="26"/>
      <c r="G28" s="68">
        <f>ROUND('Sch 4'!E446/'Sch 4'!C446,3)</f>
        <v>0.99099999999999999</v>
      </c>
      <c r="H28" s="26"/>
      <c r="I28" s="31" t="s">
        <v>799</v>
      </c>
      <c r="K28" s="1"/>
      <c r="L28" s="354"/>
      <c r="M28" s="356"/>
    </row>
    <row r="29" spans="1:16">
      <c r="A29" s="29"/>
      <c r="B29" s="26"/>
      <c r="C29" s="28"/>
      <c r="D29" s="26"/>
      <c r="E29" s="26"/>
      <c r="F29" s="26"/>
      <c r="G29" s="68"/>
      <c r="H29" s="26"/>
      <c r="I29" s="26"/>
      <c r="K29" s="71"/>
      <c r="L29" s="355"/>
      <c r="M29" s="356"/>
    </row>
    <row r="30" spans="1:16">
      <c r="A30" s="29">
        <v>11</v>
      </c>
      <c r="B30" s="26"/>
      <c r="C30" s="28" t="s">
        <v>354</v>
      </c>
      <c r="D30" s="26"/>
      <c r="E30" s="26" t="s">
        <v>355</v>
      </c>
      <c r="F30" s="26"/>
      <c r="G30" s="68">
        <f>ROUND('Sch 4'!E448/'Sch 4'!C448,3)</f>
        <v>0.99099999999999999</v>
      </c>
      <c r="H30" s="26"/>
      <c r="I30" s="31" t="s">
        <v>798</v>
      </c>
      <c r="K30" s="71"/>
      <c r="L30" s="355"/>
      <c r="M30" s="356"/>
    </row>
    <row r="31" spans="1:16">
      <c r="A31" s="29"/>
      <c r="B31" s="26"/>
      <c r="C31" s="28"/>
      <c r="D31" s="26"/>
      <c r="E31" s="26"/>
      <c r="F31" s="26"/>
      <c r="G31" s="30"/>
      <c r="H31" s="26"/>
      <c r="I31" s="26"/>
      <c r="K31" s="72"/>
      <c r="L31" s="355"/>
      <c r="M31" s="356"/>
    </row>
    <row r="32" spans="1:16">
      <c r="A32" s="29">
        <v>12</v>
      </c>
      <c r="B32" s="26"/>
      <c r="C32" s="28" t="s">
        <v>356</v>
      </c>
      <c r="D32" s="26"/>
      <c r="E32" s="26" t="s">
        <v>357</v>
      </c>
      <c r="F32" s="26"/>
      <c r="G32" s="67">
        <f>ROUND('Sch 4'!E306/'Sch 4'!C306,3)</f>
        <v>0.99299999999999999</v>
      </c>
      <c r="H32" s="26"/>
      <c r="I32" s="31" t="s">
        <v>876</v>
      </c>
      <c r="K32" s="71"/>
      <c r="L32" s="355"/>
      <c r="M32" s="356"/>
    </row>
    <row r="33" spans="1:16">
      <c r="A33" s="29"/>
      <c r="B33" s="26"/>
      <c r="C33" s="28"/>
      <c r="D33" s="26"/>
      <c r="E33" s="26"/>
      <c r="F33" s="26"/>
      <c r="G33" s="46"/>
      <c r="H33" s="26"/>
      <c r="I33" s="26"/>
      <c r="K33" s="71"/>
      <c r="L33" s="355"/>
      <c r="M33" s="356"/>
    </row>
    <row r="34" spans="1:16" ht="12.75" customHeight="1">
      <c r="A34" s="29">
        <v>13</v>
      </c>
      <c r="B34" s="26"/>
      <c r="C34" s="28" t="s">
        <v>358</v>
      </c>
      <c r="D34" s="26"/>
      <c r="E34" s="28" t="s">
        <v>358</v>
      </c>
      <c r="F34" s="26"/>
      <c r="G34" s="46">
        <v>1</v>
      </c>
      <c r="H34" s="26"/>
      <c r="I34" s="31" t="s">
        <v>359</v>
      </c>
      <c r="K34" s="71"/>
      <c r="L34" s="355"/>
      <c r="M34" s="356"/>
    </row>
    <row r="35" spans="1:16">
      <c r="A35" s="29"/>
      <c r="B35" s="26"/>
      <c r="C35" s="28"/>
      <c r="D35" s="26"/>
      <c r="E35" s="26"/>
      <c r="F35" s="26"/>
      <c r="G35" s="30"/>
      <c r="H35" s="26"/>
      <c r="I35" s="31"/>
      <c r="K35" s="71"/>
      <c r="L35" s="355"/>
      <c r="M35" s="356"/>
      <c r="P35" s="69"/>
    </row>
    <row r="36" spans="1:16">
      <c r="A36" s="29">
        <f>A34+1</f>
        <v>14</v>
      </c>
      <c r="B36" s="26"/>
      <c r="C36" s="28" t="s">
        <v>660</v>
      </c>
      <c r="D36" s="26"/>
      <c r="E36" s="26" t="s">
        <v>661</v>
      </c>
      <c r="F36" s="26"/>
      <c r="G36" s="68">
        <f>163363/163365</f>
        <v>0.99998775747559143</v>
      </c>
      <c r="H36" s="26"/>
      <c r="I36" s="31" t="s">
        <v>359</v>
      </c>
      <c r="K36" s="71"/>
      <c r="L36" s="355"/>
      <c r="M36" s="356"/>
    </row>
    <row r="37" spans="1:16">
      <c r="A37" s="29"/>
      <c r="B37" s="26"/>
      <c r="C37" s="28"/>
      <c r="D37" s="26"/>
      <c r="E37" s="26"/>
      <c r="F37" s="26"/>
      <c r="G37" s="30"/>
      <c r="H37" s="26"/>
      <c r="I37" s="31"/>
      <c r="K37" s="71"/>
      <c r="L37" s="355"/>
      <c r="M37" s="356"/>
    </row>
    <row r="38" spans="1:16">
      <c r="A38" s="29">
        <v>15</v>
      </c>
      <c r="B38" s="26"/>
      <c r="C38" s="28" t="s">
        <v>841</v>
      </c>
      <c r="D38" s="26"/>
      <c r="E38" s="26" t="s">
        <v>841</v>
      </c>
      <c r="F38" s="26"/>
      <c r="G38" s="30">
        <f>ROUND(('Sch 6'!K55*'Allocation Factors'!G10)+('Sch 6'!M55*'Allocation Factors'!G14),3)</f>
        <v>0.98599999999999999</v>
      </c>
      <c r="H38" s="26"/>
      <c r="I38" s="31" t="s">
        <v>842</v>
      </c>
      <c r="K38" s="71"/>
      <c r="L38" s="355"/>
      <c r="M38" s="356"/>
    </row>
    <row r="39" spans="1:16">
      <c r="A39" s="29"/>
      <c r="B39" s="26"/>
      <c r="C39" s="28"/>
      <c r="D39" s="26"/>
      <c r="E39" s="26"/>
      <c r="F39" s="26"/>
      <c r="G39" s="30"/>
      <c r="H39" s="26"/>
      <c r="I39" s="31"/>
      <c r="K39" s="40"/>
      <c r="L39" s="71"/>
      <c r="M39" s="40"/>
    </row>
    <row r="40" spans="1:16">
      <c r="A40" s="29">
        <v>15</v>
      </c>
      <c r="B40" s="45"/>
      <c r="C40" s="28" t="s">
        <v>846</v>
      </c>
      <c r="D40" s="45"/>
      <c r="E40" s="31" t="str">
        <f>C40</f>
        <v>PDAF/EAF</v>
      </c>
      <c r="F40" s="45"/>
      <c r="G40" s="30">
        <f>(0.34*G10)+(0.66*G14)</f>
        <v>0.98565999999999998</v>
      </c>
      <c r="H40" s="45"/>
      <c r="I40" s="31" t="s">
        <v>993</v>
      </c>
      <c r="K40" s="40"/>
      <c r="L40" s="71"/>
      <c r="M40" s="40"/>
    </row>
    <row r="41" spans="1:16">
      <c r="A41" s="29"/>
      <c r="B41" s="26"/>
      <c r="C41" s="28"/>
      <c r="D41" s="26"/>
      <c r="E41" s="26"/>
      <c r="F41" s="26"/>
      <c r="G41" s="30"/>
      <c r="H41" s="45"/>
      <c r="I41" s="31"/>
      <c r="J41" s="70"/>
      <c r="K41" s="40"/>
      <c r="L41" s="71"/>
      <c r="M41" s="40"/>
    </row>
    <row r="42" spans="1:16">
      <c r="A42" s="29"/>
      <c r="B42" s="26"/>
      <c r="C42" s="28"/>
      <c r="D42" s="26"/>
      <c r="E42" s="26"/>
      <c r="F42" s="26"/>
      <c r="G42" s="30"/>
      <c r="H42" s="26"/>
      <c r="I42" s="31"/>
      <c r="K42" s="73"/>
      <c r="L42" s="40"/>
      <c r="M42" s="73"/>
    </row>
    <row r="43" spans="1:16">
      <c r="A43" s="29"/>
      <c r="B43" s="26"/>
      <c r="C43" s="28"/>
      <c r="D43" s="26"/>
      <c r="E43" s="75"/>
      <c r="F43" s="75"/>
      <c r="G43" s="74"/>
      <c r="H43" s="75"/>
      <c r="I43" s="76"/>
      <c r="J43" s="40"/>
      <c r="K43" s="40"/>
      <c r="L43" s="40"/>
      <c r="M43" s="40"/>
      <c r="N43" s="40"/>
      <c r="O43" s="40"/>
    </row>
    <row r="44" spans="1:16">
      <c r="A44" s="29"/>
      <c r="B44" s="26"/>
      <c r="C44" s="28"/>
      <c r="D44" s="26"/>
      <c r="E44" s="75"/>
      <c r="F44" s="75"/>
      <c r="G44" s="74"/>
      <c r="H44" s="75"/>
      <c r="I44" s="76"/>
      <c r="J44" s="40"/>
      <c r="K44" s="73"/>
      <c r="L44" s="40"/>
      <c r="M44" s="73"/>
      <c r="N44" s="40"/>
      <c r="O44" s="40"/>
    </row>
    <row r="45" spans="1:16">
      <c r="A45" s="29"/>
      <c r="B45" s="26"/>
      <c r="C45" s="28"/>
      <c r="D45" s="26"/>
      <c r="E45" s="75"/>
      <c r="F45" s="75"/>
      <c r="G45" s="74"/>
      <c r="H45" s="75"/>
      <c r="I45" s="76"/>
      <c r="J45" s="40"/>
      <c r="K45" s="40"/>
      <c r="L45" s="40"/>
      <c r="M45" s="73"/>
      <c r="N45" s="40"/>
      <c r="O45" s="40"/>
    </row>
    <row r="46" spans="1:16" s="70" customFormat="1">
      <c r="A46" s="29"/>
      <c r="B46" s="45"/>
      <c r="C46" s="28"/>
      <c r="D46" s="45"/>
      <c r="E46" s="75"/>
      <c r="F46" s="75"/>
      <c r="G46" s="74"/>
      <c r="H46" s="75"/>
      <c r="I46" s="76"/>
      <c r="J46" s="40"/>
      <c r="K46" s="40"/>
      <c r="L46" s="40"/>
      <c r="M46" s="73"/>
      <c r="N46" s="40"/>
      <c r="O46" s="40"/>
    </row>
    <row r="47" spans="1:16" s="70" customFormat="1">
      <c r="A47" s="29"/>
      <c r="B47" s="45"/>
      <c r="C47" s="28"/>
      <c r="D47" s="45"/>
      <c r="E47" s="75"/>
      <c r="F47" s="75"/>
      <c r="G47" s="74"/>
      <c r="H47" s="75"/>
      <c r="I47" s="76"/>
      <c r="J47" s="40"/>
      <c r="K47" s="1"/>
      <c r="L47" s="40"/>
      <c r="M47" s="73"/>
      <c r="N47" s="40"/>
      <c r="O47" s="40"/>
    </row>
    <row r="48" spans="1:16">
      <c r="A48" s="29"/>
      <c r="B48" s="26"/>
      <c r="C48" s="28"/>
      <c r="D48" s="26"/>
      <c r="E48" s="75"/>
      <c r="F48" s="75"/>
      <c r="G48" s="74"/>
      <c r="H48" s="75"/>
      <c r="I48" s="76"/>
      <c r="J48" s="40"/>
      <c r="K48" s="1"/>
      <c r="L48" s="40"/>
      <c r="M48" s="73"/>
      <c r="N48" s="40"/>
      <c r="O48" s="40"/>
    </row>
    <row r="49" spans="1:15">
      <c r="A49" s="29"/>
      <c r="B49" s="26"/>
      <c r="C49" s="28"/>
      <c r="D49" s="26"/>
      <c r="E49" s="75"/>
      <c r="F49" s="75"/>
      <c r="G49" s="74"/>
      <c r="H49" s="75"/>
      <c r="I49" s="76"/>
      <c r="J49" s="40"/>
      <c r="K49" s="1"/>
      <c r="L49" s="40"/>
      <c r="M49" s="73"/>
      <c r="N49" s="40"/>
      <c r="O49" s="40"/>
    </row>
    <row r="50" spans="1:15">
      <c r="A50" s="29"/>
      <c r="B50" s="26"/>
      <c r="C50" s="28"/>
      <c r="D50" s="26"/>
      <c r="E50" s="75"/>
      <c r="F50" s="75"/>
      <c r="G50" s="74"/>
      <c r="H50" s="75"/>
      <c r="I50" s="76"/>
      <c r="J50" s="40"/>
      <c r="K50" s="1"/>
      <c r="L50" s="40"/>
      <c r="M50" s="73"/>
      <c r="N50" s="40"/>
      <c r="O50" s="40"/>
    </row>
    <row r="51" spans="1:15">
      <c r="E51" s="40"/>
      <c r="F51" s="40"/>
      <c r="G51" s="74"/>
      <c r="H51" s="75"/>
      <c r="I51" s="76"/>
      <c r="J51" s="40"/>
      <c r="K51" s="1"/>
      <c r="L51" s="40"/>
      <c r="M51" s="73"/>
      <c r="N51" s="40"/>
      <c r="O51" s="40"/>
    </row>
    <row r="52" spans="1:15">
      <c r="E52" s="40"/>
      <c r="F52" s="40"/>
      <c r="G52" s="74"/>
      <c r="H52" s="75"/>
      <c r="I52" s="76"/>
      <c r="J52" s="40"/>
      <c r="K52" s="71"/>
      <c r="L52" s="40"/>
      <c r="M52" s="71"/>
      <c r="N52" s="40"/>
      <c r="O52" s="40"/>
    </row>
    <row r="53" spans="1:15">
      <c r="E53" s="40"/>
      <c r="F53" s="40"/>
      <c r="G53" s="74"/>
      <c r="H53" s="75"/>
      <c r="I53" s="76"/>
      <c r="J53" s="40"/>
      <c r="K53" s="71"/>
      <c r="L53" s="40"/>
      <c r="M53" s="71"/>
      <c r="N53" s="40"/>
      <c r="O53" s="40"/>
    </row>
    <row r="54" spans="1:15">
      <c r="E54" s="40"/>
      <c r="F54" s="40"/>
      <c r="G54" s="74"/>
      <c r="H54" s="75"/>
      <c r="I54" s="76"/>
      <c r="J54" s="40"/>
      <c r="K54" s="71"/>
      <c r="L54" s="40"/>
      <c r="M54" s="71"/>
      <c r="N54" s="40"/>
      <c r="O54" s="40"/>
    </row>
    <row r="55" spans="1:15">
      <c r="E55" s="40"/>
      <c r="F55" s="40"/>
      <c r="G55" s="40"/>
      <c r="H55" s="40"/>
      <c r="I55" s="40"/>
      <c r="J55" s="40"/>
      <c r="K55" s="73"/>
      <c r="L55" s="40"/>
      <c r="M55" s="73"/>
      <c r="N55" s="40"/>
      <c r="O55" s="40"/>
    </row>
    <row r="56" spans="1:15"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</row>
    <row r="57" spans="1:15">
      <c r="E57" s="40"/>
      <c r="F57" s="40"/>
      <c r="G57" s="74"/>
      <c r="H57" s="40"/>
      <c r="I57" s="40"/>
      <c r="J57" s="40"/>
      <c r="K57" s="1"/>
      <c r="L57" s="40"/>
      <c r="M57" s="1"/>
      <c r="N57" s="40"/>
      <c r="O57" s="40"/>
    </row>
    <row r="58" spans="1:15"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</row>
    <row r="59" spans="1:15">
      <c r="E59" s="40"/>
      <c r="F59" s="40"/>
      <c r="G59" s="40"/>
      <c r="H59" s="40"/>
      <c r="I59" s="40"/>
      <c r="J59" s="40"/>
      <c r="K59" s="40"/>
      <c r="L59" s="40"/>
      <c r="M59" s="1"/>
      <c r="N59" s="40"/>
      <c r="O59" s="40"/>
    </row>
    <row r="60" spans="1:15">
      <c r="E60" s="40"/>
      <c r="F60" s="40"/>
      <c r="G60" s="40"/>
      <c r="H60" s="40"/>
      <c r="I60" s="40"/>
      <c r="J60" s="40"/>
      <c r="K60" s="40"/>
      <c r="L60" s="40"/>
      <c r="M60" s="1"/>
      <c r="N60" s="40"/>
      <c r="O60" s="40"/>
    </row>
    <row r="61" spans="1:15"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</row>
    <row r="62" spans="1:15">
      <c r="E62" s="40"/>
      <c r="F62" s="40"/>
      <c r="G62" s="40"/>
      <c r="H62" s="40"/>
      <c r="I62" s="40"/>
      <c r="J62" s="40"/>
      <c r="K62" s="73"/>
      <c r="L62" s="40"/>
      <c r="M62" s="73"/>
      <c r="N62" s="40"/>
      <c r="O62" s="40"/>
    </row>
    <row r="63" spans="1:15"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</row>
    <row r="64" spans="1:15"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</row>
  </sheetData>
  <mergeCells count="3">
    <mergeCell ref="A2:I2"/>
    <mergeCell ref="A3:I3"/>
    <mergeCell ref="A5:I5"/>
  </mergeCells>
  <pageMargins left="0.7" right="0.7" top="0.75" bottom="0.75" header="0.3" footer="0.3"/>
  <pageSetup scale="93" orientation="portrait" r:id="rId1"/>
  <headerFooter>
    <oddHeader>&amp;RKPSC Case No. 2025-00257
SECTION V-Application
Exhibit 1
&amp;Pof&amp;N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39"/>
  <sheetViews>
    <sheetView view="pageBreakPreview" zoomScale="60" zoomScaleNormal="80" workbookViewId="0">
      <pane xSplit="4" ySplit="8" topLeftCell="E9" activePane="bottomRight" state="frozen"/>
      <selection activeCell="C26" sqref="C26"/>
      <selection pane="topRight" activeCell="C26" sqref="C26"/>
      <selection pane="bottomLeft" activeCell="C26" sqref="C26"/>
      <selection pane="bottomRight" activeCell="K24" sqref="A1:XFD1048576"/>
    </sheetView>
  </sheetViews>
  <sheetFormatPr defaultColWidth="9.1796875" defaultRowHeight="12.5"/>
  <cols>
    <col min="1" max="1" width="5.453125" style="83" customWidth="1"/>
    <col min="2" max="2" width="11.26953125" style="83" bestFit="1" customWidth="1"/>
    <col min="3" max="3" width="5.7265625" style="83" bestFit="1" customWidth="1"/>
    <col min="4" max="4" width="2.26953125" style="83" customWidth="1"/>
    <col min="5" max="5" width="15.1796875" style="83" customWidth="1"/>
    <col min="6" max="6" width="15.54296875" style="83" customWidth="1"/>
    <col min="7" max="7" width="2.26953125" style="83" customWidth="1"/>
    <col min="8" max="8" width="15" style="83" customWidth="1"/>
    <col min="9" max="9" width="16.7265625" style="83" customWidth="1"/>
    <col min="10" max="10" width="3.7265625" style="83" customWidth="1"/>
    <col min="11" max="11" width="40.7265625" style="83" customWidth="1"/>
    <col min="12" max="13" width="3.7265625" style="83" customWidth="1"/>
    <col min="14" max="14" width="12.7265625" style="83" customWidth="1"/>
    <col min="15" max="15" width="2.26953125" style="83" customWidth="1"/>
    <col min="16" max="16" width="12.7265625" style="83" customWidth="1"/>
    <col min="17" max="17" width="2.26953125" style="83" customWidth="1"/>
    <col min="18" max="18" width="15.7265625" style="83" customWidth="1"/>
    <col min="19" max="19" width="2.26953125" style="83" customWidth="1"/>
    <col min="20" max="20" width="12.1796875" style="83" bestFit="1" customWidth="1"/>
    <col min="21" max="16384" width="9.1796875" style="83"/>
  </cols>
  <sheetData>
    <row r="1" spans="1:19" ht="13">
      <c r="A1" s="521" t="s">
        <v>388</v>
      </c>
      <c r="B1" s="519"/>
      <c r="C1" s="519"/>
      <c r="D1" s="519"/>
      <c r="E1" s="519"/>
      <c r="F1" s="519"/>
      <c r="G1" s="519"/>
      <c r="H1" s="519"/>
      <c r="I1" s="519"/>
      <c r="K1" s="228"/>
    </row>
    <row r="2" spans="1:19" ht="13">
      <c r="A2" s="521"/>
      <c r="B2" s="519"/>
      <c r="C2" s="519"/>
      <c r="D2" s="519"/>
      <c r="E2" s="519"/>
      <c r="F2" s="519"/>
      <c r="G2" s="519"/>
      <c r="H2" s="519"/>
      <c r="I2" s="519"/>
      <c r="K2" s="228"/>
    </row>
    <row r="3" spans="1:19" ht="13">
      <c r="A3" s="521" t="s">
        <v>1020</v>
      </c>
      <c r="B3" s="519"/>
      <c r="C3" s="519"/>
      <c r="D3" s="519"/>
      <c r="E3" s="519"/>
      <c r="F3" s="519"/>
      <c r="G3" s="519"/>
      <c r="H3" s="519"/>
      <c r="I3" s="519"/>
      <c r="K3" s="228"/>
    </row>
    <row r="4" spans="1:19">
      <c r="K4" s="228"/>
      <c r="R4" s="83" t="s">
        <v>1117</v>
      </c>
    </row>
    <row r="5" spans="1:19">
      <c r="K5" s="228"/>
      <c r="R5" s="83" t="s">
        <v>1121</v>
      </c>
    </row>
    <row r="6" spans="1:19" ht="13">
      <c r="K6" s="295" t="s">
        <v>1038</v>
      </c>
    </row>
    <row r="7" spans="1:19" ht="13">
      <c r="E7" s="521" t="s">
        <v>726</v>
      </c>
      <c r="F7" s="521"/>
      <c r="G7" s="228"/>
      <c r="H7" s="521" t="s">
        <v>727</v>
      </c>
      <c r="I7" s="521"/>
      <c r="K7" s="228"/>
    </row>
    <row r="8" spans="1:19" ht="26">
      <c r="A8" s="101" t="s">
        <v>544</v>
      </c>
      <c r="B8" s="101" t="s">
        <v>648</v>
      </c>
      <c r="C8" s="101" t="s">
        <v>728</v>
      </c>
      <c r="D8" s="99"/>
      <c r="E8" s="401" t="s">
        <v>774</v>
      </c>
      <c r="F8" s="401" t="s">
        <v>152</v>
      </c>
      <c r="H8" s="401" t="s">
        <v>775</v>
      </c>
      <c r="I8" s="401" t="s">
        <v>152</v>
      </c>
      <c r="K8" s="101" t="s">
        <v>729</v>
      </c>
      <c r="N8" s="401" t="s">
        <v>730</v>
      </c>
      <c r="O8" s="401"/>
      <c r="R8" s="401" t="s">
        <v>731</v>
      </c>
      <c r="S8" s="401"/>
    </row>
    <row r="9" spans="1:19">
      <c r="K9" s="228"/>
    </row>
    <row r="10" spans="1:19" ht="13">
      <c r="A10" s="102">
        <v>1</v>
      </c>
      <c r="B10" s="105" t="s">
        <v>443</v>
      </c>
      <c r="C10" s="400" t="s">
        <v>1036</v>
      </c>
      <c r="E10" s="38">
        <v>4390.5600000000004</v>
      </c>
      <c r="F10" s="38">
        <v>1836308.1599999988</v>
      </c>
      <c r="G10" s="230"/>
      <c r="H10" s="38">
        <v>10452</v>
      </c>
      <c r="I10" s="38">
        <v>4553335</v>
      </c>
      <c r="K10" s="401"/>
      <c r="N10" s="401"/>
      <c r="O10" s="401"/>
      <c r="R10" s="401"/>
      <c r="S10" s="401"/>
    </row>
    <row r="11" spans="1:19">
      <c r="A11" s="102">
        <f>+A10+1</f>
        <v>2</v>
      </c>
      <c r="B11" s="105" t="s">
        <v>444</v>
      </c>
      <c r="C11" s="400" t="s">
        <v>1036</v>
      </c>
      <c r="E11" s="38">
        <v>4586.3999999999996</v>
      </c>
      <c r="F11" s="38">
        <v>2041007.0399999996</v>
      </c>
      <c r="G11" s="230"/>
      <c r="H11" s="38">
        <v>10504</v>
      </c>
      <c r="I11" s="38">
        <v>5035007</v>
      </c>
      <c r="K11" s="228"/>
    </row>
    <row r="12" spans="1:19">
      <c r="A12" s="102">
        <f t="shared" ref="A12:A21" si="0">+A11+1</f>
        <v>3</v>
      </c>
      <c r="B12" s="105" t="s">
        <v>445</v>
      </c>
      <c r="C12" s="400" t="s">
        <v>1036</v>
      </c>
      <c r="E12" s="38">
        <v>4531.68</v>
      </c>
      <c r="F12" s="38">
        <v>1904823.3599999982</v>
      </c>
      <c r="G12" s="230"/>
      <c r="H12" s="38">
        <v>10558</v>
      </c>
      <c r="I12" s="38">
        <v>4842991</v>
      </c>
      <c r="K12" s="228"/>
      <c r="N12" s="107"/>
      <c r="O12" s="107"/>
      <c r="R12" s="107"/>
      <c r="S12" s="107"/>
    </row>
    <row r="13" spans="1:19">
      <c r="A13" s="102">
        <f t="shared" si="0"/>
        <v>4</v>
      </c>
      <c r="B13" s="105" t="s">
        <v>446</v>
      </c>
      <c r="C13" s="400" t="s">
        <v>1036</v>
      </c>
      <c r="E13" s="38">
        <v>3502.08</v>
      </c>
      <c r="F13" s="38">
        <v>1445847.8399999999</v>
      </c>
      <c r="G13" s="230"/>
      <c r="H13" s="38">
        <v>8780</v>
      </c>
      <c r="I13" s="38">
        <v>3968906</v>
      </c>
      <c r="K13" s="228"/>
      <c r="N13" s="107"/>
      <c r="O13" s="107"/>
      <c r="R13" s="107"/>
      <c r="S13" s="107"/>
    </row>
    <row r="14" spans="1:19">
      <c r="A14" s="102">
        <f t="shared" si="0"/>
        <v>5</v>
      </c>
      <c r="B14" s="105" t="s">
        <v>447</v>
      </c>
      <c r="C14" s="400" t="s">
        <v>1036</v>
      </c>
      <c r="E14" s="38">
        <v>2900.16</v>
      </c>
      <c r="F14" s="38">
        <v>1386555.8400000003</v>
      </c>
      <c r="G14" s="230"/>
      <c r="H14" s="38">
        <v>7401</v>
      </c>
      <c r="I14" s="38">
        <v>3742983</v>
      </c>
      <c r="K14" s="228"/>
      <c r="N14" s="107"/>
      <c r="O14" s="107"/>
      <c r="R14" s="107"/>
      <c r="S14" s="107"/>
    </row>
    <row r="15" spans="1:19">
      <c r="A15" s="102">
        <f t="shared" si="0"/>
        <v>6</v>
      </c>
      <c r="B15" s="105" t="s">
        <v>448</v>
      </c>
      <c r="C15" s="400" t="s">
        <v>1036</v>
      </c>
      <c r="E15" s="38">
        <v>3647.52</v>
      </c>
      <c r="F15" s="38">
        <v>1541315.5199999998</v>
      </c>
      <c r="G15" s="230"/>
      <c r="H15" s="38">
        <v>7944</v>
      </c>
      <c r="I15" s="38">
        <v>3893483</v>
      </c>
      <c r="K15" s="228"/>
      <c r="N15" s="107"/>
      <c r="O15" s="107"/>
      <c r="R15" s="107"/>
      <c r="S15" s="107"/>
    </row>
    <row r="16" spans="1:19">
      <c r="A16" s="102">
        <f t="shared" si="0"/>
        <v>7</v>
      </c>
      <c r="B16" s="105" t="s">
        <v>449</v>
      </c>
      <c r="C16" s="400" t="s">
        <v>1036</v>
      </c>
      <c r="E16" s="38">
        <v>4645.4399999999996</v>
      </c>
      <c r="F16" s="38">
        <v>2103176.16</v>
      </c>
      <c r="G16" s="230"/>
      <c r="H16" s="38">
        <v>11349</v>
      </c>
      <c r="I16" s="38">
        <v>5018833</v>
      </c>
      <c r="K16" s="228"/>
    </row>
    <row r="17" spans="1:20">
      <c r="A17" s="102">
        <f t="shared" si="0"/>
        <v>8</v>
      </c>
      <c r="B17" s="105" t="s">
        <v>450</v>
      </c>
      <c r="C17" s="400" t="s">
        <v>1037</v>
      </c>
      <c r="E17" s="38">
        <v>6043.68</v>
      </c>
      <c r="F17" s="38">
        <v>2677121.2800000021</v>
      </c>
      <c r="G17" s="230"/>
      <c r="H17" s="38">
        <v>14795</v>
      </c>
      <c r="I17" s="38">
        <v>6399105</v>
      </c>
      <c r="K17" s="228"/>
    </row>
    <row r="18" spans="1:20" ht="13">
      <c r="A18" s="102">
        <f t="shared" si="0"/>
        <v>9</v>
      </c>
      <c r="B18" s="105" t="s">
        <v>451</v>
      </c>
      <c r="C18" s="400" t="s">
        <v>1037</v>
      </c>
      <c r="E18" s="38">
        <v>4713.12</v>
      </c>
      <c r="F18" s="38">
        <v>1967608.7999999991</v>
      </c>
      <c r="G18" s="230"/>
      <c r="H18" s="38">
        <v>11383</v>
      </c>
      <c r="I18" s="38">
        <v>4932090</v>
      </c>
      <c r="K18" s="296" t="s">
        <v>732</v>
      </c>
    </row>
    <row r="19" spans="1:20">
      <c r="A19" s="102">
        <f t="shared" si="0"/>
        <v>10</v>
      </c>
      <c r="B19" s="105" t="s">
        <v>452</v>
      </c>
      <c r="C19" s="400" t="s">
        <v>1037</v>
      </c>
      <c r="E19" s="38">
        <v>3876.48</v>
      </c>
      <c r="F19" s="38">
        <v>1671991.2000000009</v>
      </c>
      <c r="G19" s="230"/>
      <c r="H19" s="38">
        <v>9704</v>
      </c>
      <c r="I19" s="38">
        <v>4260010</v>
      </c>
      <c r="K19" s="228"/>
    </row>
    <row r="20" spans="1:20" ht="13">
      <c r="A20" s="102">
        <f t="shared" si="0"/>
        <v>11</v>
      </c>
      <c r="B20" s="105" t="s">
        <v>440</v>
      </c>
      <c r="C20" s="400" t="s">
        <v>1037</v>
      </c>
      <c r="E20" s="38">
        <v>3218.4</v>
      </c>
      <c r="F20" s="38">
        <v>1391580</v>
      </c>
      <c r="G20" s="230"/>
      <c r="H20" s="38">
        <v>8685</v>
      </c>
      <c r="I20" s="38">
        <v>3772125</v>
      </c>
      <c r="K20" s="401" t="s">
        <v>733</v>
      </c>
      <c r="N20" s="401" t="s">
        <v>734</v>
      </c>
      <c r="O20" s="401"/>
      <c r="R20" s="401" t="s">
        <v>734</v>
      </c>
      <c r="S20" s="401"/>
    </row>
    <row r="21" spans="1:20">
      <c r="A21" s="102">
        <f t="shared" si="0"/>
        <v>12</v>
      </c>
      <c r="B21" s="105" t="s">
        <v>442</v>
      </c>
      <c r="C21" s="400" t="s">
        <v>1037</v>
      </c>
      <c r="E21" s="38">
        <v>2904.48</v>
      </c>
      <c r="F21" s="38">
        <v>1334777.7599999995</v>
      </c>
      <c r="G21" s="230"/>
      <c r="H21" s="38">
        <v>7706</v>
      </c>
      <c r="I21" s="38">
        <v>3734833</v>
      </c>
      <c r="K21" s="228"/>
      <c r="N21" s="107"/>
      <c r="O21" s="107"/>
      <c r="R21" s="107"/>
      <c r="S21" s="107"/>
    </row>
    <row r="22" spans="1:20" ht="26">
      <c r="A22" s="102"/>
      <c r="B22" s="400"/>
      <c r="C22" s="400"/>
      <c r="E22" s="10" t="s">
        <v>651</v>
      </c>
      <c r="F22" s="105" t="s">
        <v>525</v>
      </c>
      <c r="G22" s="230"/>
      <c r="H22" s="10" t="s">
        <v>651</v>
      </c>
      <c r="I22" s="10" t="s">
        <v>525</v>
      </c>
      <c r="K22" s="295" t="s">
        <v>21</v>
      </c>
      <c r="N22" s="297">
        <v>3.4099999999999998E-2</v>
      </c>
      <c r="O22" s="298"/>
      <c r="P22" s="299" t="s">
        <v>792</v>
      </c>
      <c r="Q22" s="298"/>
      <c r="R22" s="297">
        <v>3.4099999999999998E-2</v>
      </c>
      <c r="S22" s="109"/>
      <c r="T22" s="101" t="s">
        <v>795</v>
      </c>
    </row>
    <row r="23" spans="1:20">
      <c r="A23" s="102"/>
      <c r="B23" s="400"/>
      <c r="C23" s="400"/>
      <c r="E23" s="10"/>
      <c r="F23" s="105"/>
      <c r="G23" s="230"/>
      <c r="H23" s="10"/>
      <c r="I23" s="10"/>
      <c r="K23" s="228" t="s">
        <v>735</v>
      </c>
      <c r="N23" s="298">
        <v>5.552E-2</v>
      </c>
      <c r="O23" s="298"/>
      <c r="P23" s="298"/>
      <c r="Q23" s="298"/>
      <c r="R23" s="298">
        <v>5.552E-2</v>
      </c>
      <c r="S23" s="107"/>
      <c r="T23" s="228"/>
    </row>
    <row r="24" spans="1:20" ht="26">
      <c r="A24" s="102">
        <f>+A21+1</f>
        <v>13</v>
      </c>
      <c r="B24" s="400" t="s">
        <v>432</v>
      </c>
      <c r="C24" s="400"/>
      <c r="E24" s="38">
        <f>SUM(E10:E23)</f>
        <v>48960.000000000015</v>
      </c>
      <c r="F24" s="38">
        <f>SUM(F10:F23)</f>
        <v>21302112.959999997</v>
      </c>
      <c r="G24" s="230"/>
      <c r="H24" s="38">
        <f>SUM(H10:H23)</f>
        <v>119261</v>
      </c>
      <c r="I24" s="38">
        <f>SUM(I10:I23)</f>
        <v>54153701</v>
      </c>
      <c r="K24" s="228" t="s">
        <v>736</v>
      </c>
      <c r="N24" s="297">
        <v>5.552E-2</v>
      </c>
      <c r="O24" s="297"/>
      <c r="P24" s="299" t="s">
        <v>793</v>
      </c>
      <c r="Q24" s="298"/>
      <c r="R24" s="297">
        <v>5.552E-2</v>
      </c>
      <c r="S24" s="109"/>
      <c r="T24" s="101" t="s">
        <v>794</v>
      </c>
    </row>
    <row r="25" spans="1:20" ht="13">
      <c r="A25" s="102"/>
      <c r="B25" s="400"/>
      <c r="C25" s="400"/>
      <c r="K25" s="295"/>
      <c r="N25" s="109"/>
      <c r="O25" s="109"/>
      <c r="R25" s="109"/>
      <c r="S25" s="109"/>
    </row>
    <row r="26" spans="1:20" ht="13">
      <c r="A26" s="102"/>
      <c r="B26" s="400"/>
      <c r="C26" s="400"/>
      <c r="E26" s="404"/>
      <c r="F26" s="404"/>
      <c r="H26" s="404"/>
      <c r="I26" s="404"/>
      <c r="P26" s="299"/>
    </row>
    <row r="27" spans="1:20" ht="25.5">
      <c r="A27" s="102">
        <f>+A24+1</f>
        <v>14</v>
      </c>
      <c r="B27" s="406" t="s">
        <v>737</v>
      </c>
      <c r="C27" s="400"/>
      <c r="E27" s="245">
        <f>N24</f>
        <v>5.552E-2</v>
      </c>
      <c r="F27" s="245">
        <f>R24</f>
        <v>5.552E-2</v>
      </c>
      <c r="H27" s="245">
        <f>N22</f>
        <v>3.4099999999999998E-2</v>
      </c>
      <c r="I27" s="245">
        <f>R22</f>
        <v>3.4099999999999998E-2</v>
      </c>
      <c r="J27" s="245" t="s">
        <v>441</v>
      </c>
      <c r="K27" s="295" t="s">
        <v>738</v>
      </c>
    </row>
    <row r="28" spans="1:20">
      <c r="A28" s="102"/>
      <c r="B28" s="400"/>
      <c r="C28" s="400"/>
      <c r="E28" s="404"/>
      <c r="F28" s="404"/>
      <c r="H28" s="404"/>
      <c r="I28" s="404"/>
      <c r="K28" s="535" t="s">
        <v>739</v>
      </c>
      <c r="L28" s="535"/>
      <c r="M28" s="535"/>
      <c r="N28" s="535"/>
      <c r="O28" s="535"/>
      <c r="P28" s="535"/>
    </row>
    <row r="29" spans="1:20">
      <c r="A29" s="102"/>
      <c r="B29" s="406"/>
      <c r="C29" s="400"/>
      <c r="E29" s="400" t="s">
        <v>455</v>
      </c>
      <c r="F29" s="400" t="s">
        <v>456</v>
      </c>
      <c r="H29" s="400" t="s">
        <v>455</v>
      </c>
      <c r="I29" s="400" t="s">
        <v>456</v>
      </c>
      <c r="K29" s="535"/>
      <c r="L29" s="535"/>
      <c r="M29" s="535"/>
      <c r="N29" s="535"/>
      <c r="O29" s="535"/>
      <c r="P29" s="535"/>
    </row>
    <row r="30" spans="1:20" ht="13">
      <c r="A30" s="102"/>
      <c r="B30" s="406"/>
      <c r="C30" s="400"/>
      <c r="E30" s="401" t="s">
        <v>790</v>
      </c>
      <c r="F30" s="401" t="s">
        <v>791</v>
      </c>
      <c r="H30" s="401" t="s">
        <v>790</v>
      </c>
      <c r="I30" s="401" t="s">
        <v>791</v>
      </c>
      <c r="K30" s="228"/>
    </row>
    <row r="31" spans="1:20">
      <c r="A31" s="102"/>
      <c r="B31" s="406"/>
      <c r="C31" s="400"/>
      <c r="K31" s="228"/>
    </row>
    <row r="32" spans="1:20">
      <c r="B32" s="282"/>
      <c r="C32" s="400"/>
      <c r="K32" s="228"/>
    </row>
    <row r="33" spans="1:11">
      <c r="A33" s="102"/>
      <c r="B33" s="406"/>
      <c r="C33" s="400"/>
      <c r="E33" s="400"/>
      <c r="K33" s="228"/>
    </row>
    <row r="34" spans="1:11">
      <c r="B34" s="400"/>
      <c r="C34" s="400"/>
      <c r="K34" s="228"/>
    </row>
    <row r="35" spans="1:11">
      <c r="B35" s="400"/>
      <c r="C35" s="400"/>
    </row>
    <row r="36" spans="1:11">
      <c r="B36" s="400"/>
      <c r="C36" s="400"/>
    </row>
    <row r="37" spans="1:11">
      <c r="A37" s="526" t="s">
        <v>740</v>
      </c>
      <c r="B37" s="526"/>
      <c r="C37" s="526"/>
      <c r="D37" s="526"/>
      <c r="E37" s="526"/>
      <c r="F37" s="526"/>
      <c r="G37" s="526"/>
      <c r="H37" s="526"/>
      <c r="I37" s="526"/>
      <c r="J37" s="526"/>
    </row>
    <row r="38" spans="1:11">
      <c r="B38" s="400"/>
      <c r="C38" s="400"/>
    </row>
    <row r="39" spans="1:11">
      <c r="B39" s="400"/>
      <c r="C39" s="400"/>
    </row>
  </sheetData>
  <mergeCells count="7">
    <mergeCell ref="K28:P29"/>
    <mergeCell ref="A37:J37"/>
    <mergeCell ref="A1:I1"/>
    <mergeCell ref="A2:I2"/>
    <mergeCell ref="A3:I3"/>
    <mergeCell ref="E7:F7"/>
    <mergeCell ref="H7:I7"/>
  </mergeCells>
  <pageMargins left="0.7" right="0.7" top="0.75" bottom="0.75" header="0.3" footer="0.3"/>
  <pageSetup scale="45" orientation="portrait" r:id="rId1"/>
  <headerFooter>
    <oddHeader>&amp;RKPSC Case No. 2025-00257
SECTION V-Application
Exhibit 1
&amp;Pof&amp;N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37C9A-81C5-4B95-8300-9D7C7C099029}">
  <sheetPr>
    <pageSetUpPr fitToPage="1"/>
  </sheetPr>
  <dimension ref="A1:P82"/>
  <sheetViews>
    <sheetView showRuler="0" view="pageBreakPreview" zoomScale="60" zoomScaleNormal="100" workbookViewId="0">
      <pane ySplit="7" topLeftCell="A16" activePane="bottomLeft" state="frozen"/>
      <selection activeCell="C26" sqref="C26"/>
      <selection pane="bottomLeft" activeCell="A53" sqref="A53"/>
    </sheetView>
  </sheetViews>
  <sheetFormatPr defaultColWidth="13.7265625" defaultRowHeight="12.5"/>
  <cols>
    <col min="1" max="1" width="8.453125" style="421" customWidth="1"/>
    <col min="2" max="2" width="44.54296875" style="421" customWidth="1"/>
    <col min="3" max="3" width="20.453125" style="421" customWidth="1"/>
    <col min="4" max="4" width="13.81640625" style="421" customWidth="1"/>
    <col min="5" max="5" width="16.26953125" style="421" customWidth="1"/>
    <col min="6" max="9" width="13.81640625" style="421" customWidth="1"/>
    <col min="10" max="10" width="22" style="421" customWidth="1"/>
    <col min="11" max="11" width="16.26953125" style="421" bestFit="1" customWidth="1"/>
    <col min="12" max="12" width="57" style="421" customWidth="1"/>
    <col min="13" max="13" width="60.54296875" style="421" bestFit="1" customWidth="1"/>
    <col min="14" max="15" width="13.7265625" style="421"/>
    <col min="16" max="16" width="14" style="421" bestFit="1" customWidth="1"/>
    <col min="17" max="16384" width="13.7265625" style="421"/>
  </cols>
  <sheetData>
    <row r="1" spans="1:13" ht="16.75" customHeight="1">
      <c r="A1" s="536" t="s">
        <v>388</v>
      </c>
      <c r="B1" s="537"/>
      <c r="C1" s="537"/>
      <c r="D1" s="537"/>
      <c r="E1" s="537"/>
      <c r="F1" s="537"/>
    </row>
    <row r="2" spans="1:13" ht="16.75" customHeight="1">
      <c r="A2" s="536" t="s">
        <v>963</v>
      </c>
      <c r="B2" s="537"/>
      <c r="C2" s="537"/>
      <c r="D2" s="537"/>
      <c r="E2" s="537"/>
      <c r="F2" s="537"/>
      <c r="H2" s="422"/>
    </row>
    <row r="3" spans="1:13" ht="16.75" customHeight="1">
      <c r="A3" s="536" t="s">
        <v>1018</v>
      </c>
      <c r="B3" s="537"/>
      <c r="C3" s="537"/>
      <c r="D3" s="537"/>
      <c r="E3" s="537"/>
      <c r="F3" s="537"/>
      <c r="H3" s="423"/>
      <c r="I3" s="421" t="s">
        <v>1117</v>
      </c>
    </row>
    <row r="4" spans="1:13" ht="16.75" customHeight="1">
      <c r="A4" s="536" t="s">
        <v>1123</v>
      </c>
      <c r="B4" s="537"/>
      <c r="C4" s="537"/>
      <c r="D4" s="537"/>
      <c r="E4" s="537"/>
      <c r="F4" s="537"/>
      <c r="I4" s="421" t="s">
        <v>1122</v>
      </c>
    </row>
    <row r="5" spans="1:13" ht="16.75" customHeight="1">
      <c r="I5" s="421" t="s">
        <v>371</v>
      </c>
    </row>
    <row r="6" spans="1:13" ht="16.75" customHeight="1"/>
    <row r="7" spans="1:13" ht="39.25" customHeight="1">
      <c r="A7" s="424" t="s">
        <v>656</v>
      </c>
      <c r="B7" s="425" t="s">
        <v>964</v>
      </c>
      <c r="C7" s="425" t="s">
        <v>965</v>
      </c>
      <c r="D7" s="425" t="s">
        <v>966</v>
      </c>
      <c r="E7" s="425" t="s">
        <v>967</v>
      </c>
      <c r="F7" s="425" t="s">
        <v>968</v>
      </c>
      <c r="G7" s="425" t="s">
        <v>969</v>
      </c>
      <c r="H7" s="425" t="s">
        <v>970</v>
      </c>
      <c r="I7" s="425" t="s">
        <v>971</v>
      </c>
      <c r="J7" s="425" t="s">
        <v>972</v>
      </c>
      <c r="L7" s="426" t="s">
        <v>973</v>
      </c>
      <c r="M7" s="426"/>
    </row>
    <row r="8" spans="1:13" ht="16.75" customHeight="1">
      <c r="L8" s="427"/>
    </row>
    <row r="9" spans="1:13" ht="15" customHeight="1">
      <c r="A9" s="428"/>
      <c r="B9" s="429"/>
      <c r="F9" s="430"/>
      <c r="J9" s="422"/>
      <c r="K9" s="422"/>
    </row>
    <row r="10" spans="1:13" ht="26">
      <c r="A10" s="484">
        <v>1</v>
      </c>
      <c r="B10" s="432" t="s">
        <v>974</v>
      </c>
      <c r="C10" s="359">
        <f>'Sch 4'!E312+'Sch 4'!E313+'Sch 4'!E311</f>
        <v>130188592</v>
      </c>
      <c r="D10" s="359">
        <v>0</v>
      </c>
      <c r="E10" s="359">
        <f>C10-D10</f>
        <v>130188592</v>
      </c>
      <c r="F10" s="433">
        <f>E10/365</f>
        <v>356681.07397260272</v>
      </c>
      <c r="G10" s="376">
        <v>1.44</v>
      </c>
      <c r="H10" s="434">
        <f>-(12.82+40.8)/2</f>
        <v>-26.81</v>
      </c>
      <c r="I10" s="434">
        <f>G10+H10</f>
        <v>-25.369999999999997</v>
      </c>
      <c r="J10" s="433">
        <f>I10*F10</f>
        <v>-9048998.8466849308</v>
      </c>
      <c r="K10" s="435"/>
      <c r="L10" s="436" t="s">
        <v>997</v>
      </c>
    </row>
    <row r="11" spans="1:13" ht="15" customHeight="1">
      <c r="A11" s="484"/>
      <c r="B11" s="432"/>
      <c r="C11" s="360"/>
      <c r="D11" s="359"/>
      <c r="E11" s="437"/>
      <c r="F11" s="430"/>
      <c r="G11" s="365"/>
      <c r="H11" s="430"/>
      <c r="I11" s="430"/>
      <c r="J11" s="430"/>
      <c r="K11" s="435"/>
    </row>
    <row r="12" spans="1:13" ht="26">
      <c r="A12" s="484">
        <f>+A10+1</f>
        <v>2</v>
      </c>
      <c r="B12" s="432" t="s">
        <v>975</v>
      </c>
      <c r="C12" s="359">
        <f>'Sch 4'!E336+'Sch 4'!E337+'Sch 5'!C323+'Sch 5'!C324</f>
        <v>131070701.51035064</v>
      </c>
      <c r="D12" s="359">
        <v>0</v>
      </c>
      <c r="E12" s="359">
        <f>C12-D12</f>
        <v>131070701.51035064</v>
      </c>
      <c r="F12" s="359">
        <f>E12/365</f>
        <v>359097.81235712505</v>
      </c>
      <c r="G12" s="376">
        <f>$G$10</f>
        <v>1.44</v>
      </c>
      <c r="H12" s="434">
        <v>-29.66</v>
      </c>
      <c r="I12" s="434">
        <f>G12+H12</f>
        <v>-28.22</v>
      </c>
      <c r="J12" s="438">
        <f>I12*F12</f>
        <v>-10133740.264718069</v>
      </c>
      <c r="K12" s="435"/>
      <c r="L12" s="439" t="s">
        <v>1158</v>
      </c>
    </row>
    <row r="13" spans="1:13" ht="15" customHeight="1">
      <c r="A13" s="484"/>
      <c r="B13" s="432"/>
      <c r="C13" s="360"/>
      <c r="D13" s="437"/>
      <c r="E13" s="437"/>
      <c r="F13" s="359"/>
      <c r="G13" s="365"/>
      <c r="H13" s="430"/>
      <c r="I13" s="430"/>
      <c r="J13" s="440"/>
      <c r="K13" s="435"/>
    </row>
    <row r="14" spans="1:13" ht="39.5">
      <c r="A14" s="484">
        <f>+A12+1</f>
        <v>3</v>
      </c>
      <c r="B14" s="432" t="s">
        <v>976</v>
      </c>
      <c r="C14" s="359">
        <f>'Sch 4'!G23-SUM('Sch 4'!G311+'Sch 4'!G312+'Sch 4'!G313+'Sch 4'!G336+'Sch 4'!G337+CWC!C16)+'Sch 4'!G493+'Sch 4'!G506+'Sch 4'!G483+'Sch 4'!G497+'Sch 4'!G516-C24</f>
        <v>146131804.09014329</v>
      </c>
      <c r="D14" s="441">
        <v>2595800.06</v>
      </c>
      <c r="E14" s="359">
        <f>C14-D14</f>
        <v>143536004.03014329</v>
      </c>
      <c r="F14" s="359">
        <f>E14/365</f>
        <v>393249.32610998163</v>
      </c>
      <c r="G14" s="376">
        <f>$G$10</f>
        <v>1.44</v>
      </c>
      <c r="H14" s="434">
        <v>-19.82</v>
      </c>
      <c r="I14" s="434">
        <f>G14+H14</f>
        <v>-18.38</v>
      </c>
      <c r="J14" s="438">
        <f>I14*F14</f>
        <v>-7227922.6139014624</v>
      </c>
      <c r="K14" s="435"/>
      <c r="L14" s="436" t="s">
        <v>998</v>
      </c>
    </row>
    <row r="15" spans="1:13" ht="16.75" customHeight="1">
      <c r="A15" s="484"/>
      <c r="B15" s="365"/>
      <c r="C15" s="359"/>
      <c r="D15" s="359"/>
      <c r="E15" s="359"/>
      <c r="F15" s="359"/>
      <c r="G15" s="430"/>
      <c r="H15" s="430"/>
      <c r="I15" s="430"/>
      <c r="J15" s="440"/>
      <c r="K15" s="435"/>
    </row>
    <row r="16" spans="1:13" ht="78.75" customHeight="1">
      <c r="A16" s="484">
        <f>+A14+1</f>
        <v>4</v>
      </c>
      <c r="B16" s="365" t="s">
        <v>999</v>
      </c>
      <c r="C16" s="359">
        <f>1969413+20781838+7140754</f>
        <v>29892005</v>
      </c>
      <c r="D16" s="359">
        <v>0</v>
      </c>
      <c r="E16" s="359">
        <f>C16-D16</f>
        <v>29892005</v>
      </c>
      <c r="F16" s="359">
        <f>E16/365</f>
        <v>81895.904109589042</v>
      </c>
      <c r="G16" s="376">
        <f>$G$10</f>
        <v>1.44</v>
      </c>
      <c r="H16" s="434">
        <v>-24.46</v>
      </c>
      <c r="I16" s="434">
        <f>G16+H16</f>
        <v>-23.02</v>
      </c>
      <c r="J16" s="438">
        <f>I16*F16</f>
        <v>-1885243.7126027397</v>
      </c>
      <c r="K16" s="435"/>
      <c r="L16" s="442" t="s">
        <v>977</v>
      </c>
    </row>
    <row r="17" spans="1:16" ht="15" customHeight="1">
      <c r="A17" s="484"/>
      <c r="B17" s="365"/>
      <c r="C17" s="361"/>
      <c r="D17" s="361"/>
      <c r="E17" s="361"/>
      <c r="F17" s="361"/>
      <c r="J17" s="443"/>
      <c r="K17" s="435"/>
    </row>
    <row r="18" spans="1:16" ht="13">
      <c r="A18" s="484">
        <f>+A16+1</f>
        <v>5</v>
      </c>
      <c r="B18" s="432" t="s">
        <v>529</v>
      </c>
      <c r="C18" s="359">
        <f>'Sch 4'!G25</f>
        <v>116250669.43396699</v>
      </c>
      <c r="D18" s="359">
        <v>0</v>
      </c>
      <c r="E18" s="359">
        <f>C18-D18</f>
        <v>116250669.43396699</v>
      </c>
      <c r="F18" s="359">
        <f>E18/365</f>
        <v>318494.98475059448</v>
      </c>
      <c r="G18" s="376">
        <v>0</v>
      </c>
      <c r="H18" s="434">
        <v>0</v>
      </c>
      <c r="I18" s="434">
        <f>G18+H18</f>
        <v>0</v>
      </c>
      <c r="J18" s="438">
        <f>I18*F18</f>
        <v>0</v>
      </c>
      <c r="K18" s="435"/>
      <c r="L18" s="436" t="s">
        <v>1000</v>
      </c>
      <c r="P18" s="422"/>
    </row>
    <row r="19" spans="1:16" ht="15" customHeight="1">
      <c r="A19" s="484"/>
      <c r="C19" s="359"/>
      <c r="D19" s="361"/>
      <c r="E19" s="361"/>
      <c r="F19" s="361"/>
      <c r="J19" s="443"/>
      <c r="K19" s="435"/>
    </row>
    <row r="20" spans="1:16" ht="15" customHeight="1">
      <c r="A20" s="484">
        <f>+A18+1</f>
        <v>6</v>
      </c>
      <c r="B20" s="365" t="s">
        <v>979</v>
      </c>
      <c r="C20" s="359">
        <f>'Sch 4'!G496</f>
        <v>14713.97</v>
      </c>
      <c r="D20" s="359">
        <v>0</v>
      </c>
      <c r="E20" s="359">
        <f>C20-D20</f>
        <v>14713.97</v>
      </c>
      <c r="F20" s="359">
        <f>E20/365</f>
        <v>40.312246575342463</v>
      </c>
      <c r="G20" s="376">
        <f>$G$10</f>
        <v>1.44</v>
      </c>
      <c r="H20" s="434">
        <v>-76.235024419415936</v>
      </c>
      <c r="I20" s="434">
        <f>G20+H20</f>
        <v>-74.795024419415938</v>
      </c>
      <c r="J20" s="438">
        <f>I20*F20</f>
        <v>-3015.155467004256</v>
      </c>
      <c r="K20" s="435"/>
      <c r="L20" s="436" t="s">
        <v>1001</v>
      </c>
      <c r="M20" s="444"/>
    </row>
    <row r="21" spans="1:16" ht="15" customHeight="1">
      <c r="A21" s="484"/>
      <c r="C21" s="359"/>
      <c r="D21" s="361"/>
      <c r="E21" s="361"/>
      <c r="F21" s="361"/>
      <c r="J21" s="443"/>
      <c r="K21" s="435"/>
      <c r="M21" s="444"/>
    </row>
    <row r="22" spans="1:16" ht="27.65" customHeight="1">
      <c r="A22" s="484">
        <f>+A20+1</f>
        <v>7</v>
      </c>
      <c r="B22" s="365" t="s">
        <v>980</v>
      </c>
      <c r="C22" s="359">
        <v>38503</v>
      </c>
      <c r="D22" s="359">
        <v>0</v>
      </c>
      <c r="E22" s="359">
        <f>C22-D22</f>
        <v>38503</v>
      </c>
      <c r="F22" s="359">
        <f>E22/365</f>
        <v>105.48767123287671</v>
      </c>
      <c r="G22" s="376">
        <f>$G$10</f>
        <v>1.44</v>
      </c>
      <c r="H22" s="434">
        <v>-34.884002194351091</v>
      </c>
      <c r="I22" s="434">
        <f>G22+H22</f>
        <v>-33.444002194351093</v>
      </c>
      <c r="J22" s="438">
        <f>I22*F22</f>
        <v>-3527.929908189315</v>
      </c>
      <c r="K22" s="435"/>
      <c r="L22" s="436" t="s">
        <v>1002</v>
      </c>
      <c r="M22" s="444"/>
    </row>
    <row r="23" spans="1:16" ht="15" customHeight="1">
      <c r="A23" s="484"/>
      <c r="C23" s="359"/>
      <c r="D23" s="361"/>
      <c r="E23" s="361"/>
      <c r="F23" s="361"/>
      <c r="J23" s="443"/>
      <c r="K23" s="435"/>
      <c r="M23" s="444"/>
    </row>
    <row r="24" spans="1:16" ht="13">
      <c r="A24" s="484">
        <f>+A22+1</f>
        <v>8</v>
      </c>
      <c r="B24" s="365" t="s">
        <v>981</v>
      </c>
      <c r="C24" s="359">
        <f>'Sch 4'!G434</f>
        <v>162570.53</v>
      </c>
      <c r="D24" s="359">
        <v>0</v>
      </c>
      <c r="E24" s="359">
        <f>C24-D24</f>
        <v>162570.53</v>
      </c>
      <c r="F24" s="359">
        <f>E24/365</f>
        <v>445.39871232876715</v>
      </c>
      <c r="G24" s="376">
        <f>$G$10</f>
        <v>1.44</v>
      </c>
      <c r="H24" s="434">
        <v>-207.7221596956407</v>
      </c>
      <c r="I24" s="434">
        <f>G24+H24</f>
        <v>-206.2821596956407</v>
      </c>
      <c r="J24" s="438">
        <f>I24*F24</f>
        <v>-91877.808304835475</v>
      </c>
      <c r="K24" s="435"/>
      <c r="L24" s="436" t="s">
        <v>1003</v>
      </c>
    </row>
    <row r="25" spans="1:16" ht="15" customHeight="1">
      <c r="A25" s="484"/>
      <c r="C25" s="359"/>
      <c r="D25" s="361"/>
      <c r="E25" s="361"/>
      <c r="F25" s="361"/>
      <c r="J25" s="443"/>
      <c r="K25" s="435"/>
    </row>
    <row r="26" spans="1:16" ht="15" customHeight="1">
      <c r="A26" s="484">
        <f>+A24+1</f>
        <v>9</v>
      </c>
      <c r="B26" s="432" t="s">
        <v>1004</v>
      </c>
      <c r="C26" s="359">
        <f>'Sch 4'!G488</f>
        <v>17635898.986666664</v>
      </c>
      <c r="D26" s="359">
        <v>0</v>
      </c>
      <c r="E26" s="359">
        <f>C26-D26</f>
        <v>17635898.986666664</v>
      </c>
      <c r="F26" s="359">
        <f>E26/365</f>
        <v>48317.531470319627</v>
      </c>
      <c r="G26" s="376">
        <f>$G$10</f>
        <v>1.44</v>
      </c>
      <c r="H26" s="434">
        <v>-365.9</v>
      </c>
      <c r="I26" s="434">
        <f>G26+H26</f>
        <v>-364.46</v>
      </c>
      <c r="J26" s="438">
        <f>I26*F26</f>
        <v>-17609807.519672692</v>
      </c>
      <c r="K26" s="435"/>
      <c r="L26" s="436" t="s">
        <v>1005</v>
      </c>
    </row>
    <row r="27" spans="1:16" ht="15" customHeight="1">
      <c r="A27" s="484"/>
      <c r="C27" s="359"/>
      <c r="D27" s="361"/>
      <c r="E27" s="359"/>
      <c r="F27" s="359"/>
      <c r="J27" s="438"/>
      <c r="K27" s="435"/>
    </row>
    <row r="28" spans="1:16" ht="15" customHeight="1">
      <c r="A28" s="484">
        <f>+A26+1</f>
        <v>10</v>
      </c>
      <c r="B28" s="432" t="s">
        <v>1014</v>
      </c>
      <c r="C28" s="359">
        <f>'Sch 4'!G484</f>
        <v>9842.0199999999986</v>
      </c>
      <c r="D28" s="361"/>
      <c r="E28" s="359">
        <f t="shared" ref="E28:E32" si="0">C28-D28</f>
        <v>9842.0199999999986</v>
      </c>
      <c r="F28" s="359">
        <f t="shared" ref="F28:F32" si="1">E28/365</f>
        <v>26.964438356164379</v>
      </c>
      <c r="G28" s="445">
        <f>G26</f>
        <v>1.44</v>
      </c>
      <c r="H28" s="421">
        <v>-30.09</v>
      </c>
      <c r="I28" s="434">
        <f>G28+H28</f>
        <v>-28.65</v>
      </c>
      <c r="J28" s="438">
        <f t="shared" ref="J28:J32" si="2">I28*F28</f>
        <v>-772.53115890410947</v>
      </c>
      <c r="K28" s="435"/>
    </row>
    <row r="29" spans="1:16" ht="15" customHeight="1">
      <c r="A29" s="484"/>
      <c r="B29" s="432"/>
      <c r="C29" s="359"/>
      <c r="D29" s="361"/>
      <c r="E29" s="359"/>
      <c r="F29" s="359"/>
      <c r="J29" s="438"/>
      <c r="K29" s="435"/>
    </row>
    <row r="30" spans="1:16" ht="15" customHeight="1">
      <c r="A30" s="484">
        <f>+A28+1</f>
        <v>11</v>
      </c>
      <c r="B30" s="432" t="s">
        <v>1015</v>
      </c>
      <c r="C30" s="359">
        <v>6921</v>
      </c>
      <c r="D30" s="361"/>
      <c r="E30" s="359">
        <f t="shared" si="0"/>
        <v>6921</v>
      </c>
      <c r="F30" s="359">
        <f t="shared" si="1"/>
        <v>18.961643835616439</v>
      </c>
      <c r="G30" s="445">
        <f>G28</f>
        <v>1.44</v>
      </c>
      <c r="H30" s="421">
        <v>-30.07</v>
      </c>
      <c r="I30" s="434">
        <f>G30+H30</f>
        <v>-28.63</v>
      </c>
      <c r="J30" s="438">
        <f t="shared" si="2"/>
        <v>-542.87186301369866</v>
      </c>
      <c r="K30" s="435"/>
    </row>
    <row r="31" spans="1:16" ht="15" customHeight="1">
      <c r="A31" s="484"/>
      <c r="B31" s="432"/>
      <c r="C31" s="359"/>
      <c r="D31" s="361"/>
      <c r="E31" s="359"/>
      <c r="F31" s="359"/>
      <c r="J31" s="438"/>
      <c r="K31" s="435"/>
    </row>
    <row r="32" spans="1:16" ht="15" customHeight="1">
      <c r="A32" s="484">
        <f>+A30+1</f>
        <v>12</v>
      </c>
      <c r="B32" s="432" t="s">
        <v>1016</v>
      </c>
      <c r="C32" s="359">
        <v>9874</v>
      </c>
      <c r="D32" s="361"/>
      <c r="E32" s="359">
        <f t="shared" si="0"/>
        <v>9874</v>
      </c>
      <c r="F32" s="359">
        <f t="shared" si="1"/>
        <v>27.052054794520547</v>
      </c>
      <c r="G32" s="445">
        <f>G30</f>
        <v>1.44</v>
      </c>
      <c r="H32" s="421">
        <v>-30.45</v>
      </c>
      <c r="I32" s="434">
        <f>G32+H32</f>
        <v>-29.009999999999998</v>
      </c>
      <c r="J32" s="438">
        <f t="shared" si="2"/>
        <v>-784.78010958904099</v>
      </c>
      <c r="K32" s="435"/>
    </row>
    <row r="33" spans="1:13" ht="15" customHeight="1">
      <c r="A33" s="484"/>
      <c r="C33" s="359"/>
      <c r="D33" s="361"/>
      <c r="E33" s="361"/>
      <c r="F33" s="361"/>
      <c r="J33" s="443"/>
      <c r="K33" s="435"/>
    </row>
    <row r="34" spans="1:13" ht="15" customHeight="1">
      <c r="A34" s="484">
        <f>+A32+1</f>
        <v>13</v>
      </c>
      <c r="B34" s="365" t="s">
        <v>982</v>
      </c>
      <c r="C34" s="359"/>
      <c r="D34" s="359"/>
      <c r="E34" s="359"/>
      <c r="F34" s="359"/>
      <c r="G34" s="365"/>
      <c r="H34" s="430"/>
      <c r="I34" s="430"/>
      <c r="J34" s="440"/>
      <c r="K34" s="435"/>
    </row>
    <row r="35" spans="1:13" ht="16.75" customHeight="1">
      <c r="A35" s="484">
        <v>14</v>
      </c>
      <c r="B35" s="432" t="s">
        <v>983</v>
      </c>
      <c r="C35" s="359">
        <f>+'Sch 4'!G522</f>
        <v>-2735511.665697047</v>
      </c>
      <c r="D35" s="359">
        <v>0</v>
      </c>
      <c r="E35" s="359">
        <f>C35-D35</f>
        <v>-2735511.665697047</v>
      </c>
      <c r="F35" s="359">
        <f>E35/365</f>
        <v>-7494.5525087590331</v>
      </c>
      <c r="G35" s="376">
        <f>$G$10</f>
        <v>1.44</v>
      </c>
      <c r="H35" s="434">
        <v>-37.5</v>
      </c>
      <c r="I35" s="434">
        <f>G35+H35</f>
        <v>-36.06</v>
      </c>
      <c r="J35" s="438">
        <f>I35*F35</f>
        <v>270253.56346585078</v>
      </c>
      <c r="K35" s="435"/>
      <c r="L35" s="436" t="s">
        <v>984</v>
      </c>
      <c r="M35" s="444"/>
    </row>
    <row r="36" spans="1:13" ht="15" customHeight="1">
      <c r="A36" s="484">
        <v>15</v>
      </c>
      <c r="B36" s="432" t="s">
        <v>985</v>
      </c>
      <c r="C36" s="359">
        <f>'Sch 4'!G523</f>
        <v>12584641</v>
      </c>
      <c r="D36" s="446">
        <v>0</v>
      </c>
      <c r="E36" s="446">
        <f>C36-D36</f>
        <v>12584641</v>
      </c>
      <c r="F36" s="359">
        <f>E36/365</f>
        <v>34478.468493150685</v>
      </c>
      <c r="G36" s="434">
        <v>0</v>
      </c>
      <c r="H36" s="434">
        <v>0</v>
      </c>
      <c r="I36" s="434">
        <f>G36+H36</f>
        <v>0</v>
      </c>
      <c r="J36" s="447">
        <f>I36*F36</f>
        <v>0</v>
      </c>
      <c r="K36" s="435"/>
      <c r="L36" s="436" t="s">
        <v>984</v>
      </c>
      <c r="M36" s="444"/>
    </row>
    <row r="37" spans="1:13" ht="16.75" customHeight="1">
      <c r="A37" s="484">
        <v>16</v>
      </c>
      <c r="B37" s="365" t="s">
        <v>986</v>
      </c>
      <c r="C37" s="362">
        <f>SUM(C35:C36)</f>
        <v>9849129.3343029525</v>
      </c>
      <c r="D37" s="364">
        <f>SUM(D35:D36)</f>
        <v>0</v>
      </c>
      <c r="E37" s="362">
        <f>SUM(E35:E36)</f>
        <v>9849129.3343029525</v>
      </c>
      <c r="F37" s="359"/>
      <c r="G37" s="365"/>
      <c r="H37" s="430"/>
      <c r="I37" s="430"/>
      <c r="J37" s="448">
        <f>SUM(J35:J36)</f>
        <v>270253.56346585078</v>
      </c>
      <c r="K37" s="435"/>
      <c r="M37" s="444"/>
    </row>
    <row r="38" spans="1:13" ht="15" customHeight="1">
      <c r="A38" s="484"/>
      <c r="B38" s="365"/>
      <c r="C38" s="359"/>
      <c r="D38" s="364"/>
      <c r="E38" s="359"/>
      <c r="F38" s="449"/>
      <c r="G38" s="365"/>
      <c r="H38" s="430"/>
      <c r="I38" s="430"/>
      <c r="J38" s="430"/>
      <c r="K38" s="435"/>
      <c r="M38" s="444"/>
    </row>
    <row r="39" spans="1:13" ht="15" customHeight="1">
      <c r="A39" s="484">
        <v>17</v>
      </c>
      <c r="B39" s="365" t="s">
        <v>987</v>
      </c>
      <c r="C39" s="363"/>
      <c r="D39" s="450"/>
      <c r="E39" s="363"/>
      <c r="F39" s="363"/>
      <c r="G39" s="365"/>
      <c r="H39" s="430"/>
      <c r="I39" s="430"/>
      <c r="J39" s="430"/>
      <c r="K39" s="435"/>
      <c r="M39" s="444"/>
    </row>
    <row r="40" spans="1:13" ht="16.75" customHeight="1">
      <c r="A40" s="484">
        <v>18</v>
      </c>
      <c r="B40" s="432" t="s">
        <v>983</v>
      </c>
      <c r="C40" s="359">
        <f>+'Sch 4'!G521-C41</f>
        <v>-1398015.2200362212</v>
      </c>
      <c r="D40" s="359">
        <v>0</v>
      </c>
      <c r="E40" s="359">
        <f>C40-D40</f>
        <v>-1398015.2200362212</v>
      </c>
      <c r="F40" s="359">
        <f>E40/365</f>
        <v>-3830.1786850307431</v>
      </c>
      <c r="G40" s="376">
        <f>G35</f>
        <v>1.44</v>
      </c>
      <c r="H40" s="434">
        <f>H35</f>
        <v>-37.5</v>
      </c>
      <c r="I40" s="434">
        <f t="shared" ref="I40:I41" si="3">G40+H40</f>
        <v>-36.06</v>
      </c>
      <c r="J40" s="434">
        <f>I40*F40</f>
        <v>138116.2433822086</v>
      </c>
      <c r="K40" s="435"/>
      <c r="L40" s="436" t="s">
        <v>984</v>
      </c>
      <c r="M40" s="444"/>
    </row>
    <row r="41" spans="1:13" ht="16.75" customHeight="1">
      <c r="A41" s="484">
        <v>19</v>
      </c>
      <c r="B41" s="432" t="s">
        <v>985</v>
      </c>
      <c r="C41" s="359">
        <v>0</v>
      </c>
      <c r="D41" s="446">
        <v>0</v>
      </c>
      <c r="E41" s="359">
        <f>C41-D41</f>
        <v>0</v>
      </c>
      <c r="F41" s="359">
        <f>E41/365</f>
        <v>0</v>
      </c>
      <c r="G41" s="376">
        <v>0</v>
      </c>
      <c r="H41" s="434">
        <v>0</v>
      </c>
      <c r="I41" s="434">
        <f t="shared" si="3"/>
        <v>0</v>
      </c>
      <c r="J41" s="451">
        <f>I41*F41</f>
        <v>0</v>
      </c>
      <c r="K41" s="435"/>
      <c r="L41" s="436"/>
      <c r="M41" s="444"/>
    </row>
    <row r="42" spans="1:13" ht="16.5" customHeight="1">
      <c r="A42" s="484">
        <v>20</v>
      </c>
      <c r="B42" s="432"/>
      <c r="C42" s="362">
        <f>SUM(C40:C41)</f>
        <v>-1398015.2200362212</v>
      </c>
      <c r="D42" s="364">
        <f>SUM(D40:D41)</f>
        <v>0</v>
      </c>
      <c r="E42" s="362">
        <f>SUM(E40:E41)</f>
        <v>-1398015.2200362212</v>
      </c>
      <c r="F42" s="359"/>
      <c r="G42" s="365"/>
      <c r="H42" s="430"/>
      <c r="I42" s="430"/>
      <c r="J42" s="434">
        <f>SUM(J40:J41)</f>
        <v>138116.2433822086</v>
      </c>
      <c r="K42" s="435"/>
      <c r="L42" s="436"/>
      <c r="M42" s="444"/>
    </row>
    <row r="43" spans="1:13" ht="16.5" customHeight="1">
      <c r="A43" s="484"/>
      <c r="B43" s="432"/>
      <c r="C43" s="364"/>
      <c r="D43" s="364"/>
      <c r="E43" s="364"/>
      <c r="F43" s="359"/>
      <c r="G43" s="365"/>
      <c r="H43" s="430"/>
      <c r="I43" s="430"/>
      <c r="J43" s="434"/>
      <c r="K43" s="435"/>
      <c r="L43" s="436"/>
      <c r="M43" s="444"/>
    </row>
    <row r="44" spans="1:13" ht="16.5" customHeight="1">
      <c r="A44" s="484">
        <v>21</v>
      </c>
      <c r="B44" s="432" t="s">
        <v>978</v>
      </c>
      <c r="C44" s="359">
        <f ca="1">+'Sch 2'!E8*('2 P1'!K11+'2 P1'!K13)</f>
        <v>55493765.945935488</v>
      </c>
      <c r="D44" s="359">
        <v>0</v>
      </c>
      <c r="E44" s="359">
        <f ca="1">C44-D44</f>
        <v>55493765.945935488</v>
      </c>
      <c r="F44" s="359">
        <f ca="1">E44/365</f>
        <v>152037.71492037119</v>
      </c>
      <c r="G44" s="376">
        <f>$G$10</f>
        <v>1.44</v>
      </c>
      <c r="H44" s="434">
        <v>-82.99</v>
      </c>
      <c r="I44" s="434">
        <f>G44+H44</f>
        <v>-81.55</v>
      </c>
      <c r="J44" s="438">
        <f ca="1">I44*F44</f>
        <v>-12398675.65175627</v>
      </c>
      <c r="K44" s="435"/>
      <c r="L44" s="436" t="s">
        <v>994</v>
      </c>
      <c r="M44" s="444"/>
    </row>
    <row r="45" spans="1:13" ht="16.5" customHeight="1">
      <c r="A45" s="484"/>
      <c r="B45" s="432"/>
      <c r="C45" s="359"/>
      <c r="D45" s="359"/>
      <c r="E45" s="359"/>
      <c r="F45" s="359"/>
      <c r="G45" s="376"/>
      <c r="H45" s="434"/>
      <c r="I45" s="434"/>
      <c r="J45" s="438"/>
      <c r="K45" s="435"/>
      <c r="L45" s="436"/>
      <c r="M45" s="444"/>
    </row>
    <row r="46" spans="1:13" ht="16.5" customHeight="1">
      <c r="A46" s="484">
        <v>22</v>
      </c>
      <c r="B46" s="432" t="s">
        <v>1006</v>
      </c>
      <c r="C46" s="359">
        <f ca="1">+'Sch 2'!E8*('2 P1'!K15)</f>
        <v>86311154.18716687</v>
      </c>
      <c r="D46" s="359">
        <v>0</v>
      </c>
      <c r="E46" s="359">
        <f t="shared" ref="E46" ca="1" si="4">C46-D46</f>
        <v>86311154.18716687</v>
      </c>
      <c r="F46" s="359">
        <f t="shared" ref="F46" ca="1" si="5">E46/365</f>
        <v>236468.91558127909</v>
      </c>
      <c r="G46" s="376">
        <v>0</v>
      </c>
      <c r="H46" s="434">
        <v>0</v>
      </c>
      <c r="I46" s="434">
        <f t="shared" ref="I46" si="6">G46+H46</f>
        <v>0</v>
      </c>
      <c r="J46" s="438">
        <f t="shared" ref="J46" ca="1" si="7">I46*F46</f>
        <v>0</v>
      </c>
      <c r="K46" s="435"/>
      <c r="L46" s="436" t="s">
        <v>994</v>
      </c>
      <c r="M46" s="444"/>
    </row>
    <row r="47" spans="1:13" ht="16.75" customHeight="1">
      <c r="A47" s="484"/>
      <c r="B47" s="432"/>
      <c r="C47" s="365"/>
      <c r="D47" s="365"/>
      <c r="E47" s="365"/>
      <c r="F47" s="449"/>
      <c r="G47" s="365"/>
      <c r="H47" s="430"/>
      <c r="I47" s="430"/>
      <c r="J47" s="430"/>
      <c r="K47" s="435"/>
    </row>
    <row r="48" spans="1:13" ht="16.75" customHeight="1" thickBot="1">
      <c r="A48" s="484">
        <v>23</v>
      </c>
      <c r="B48" s="432" t="s">
        <v>642</v>
      </c>
      <c r="C48" s="452">
        <f ca="1">C10+C12+C14+C16+C18+C20+C22+C24+C26+C37+C42+C44+C46+C28+C30+C32</f>
        <v>721668129.78849649</v>
      </c>
      <c r="D48" s="452">
        <f>D10+D12+D14+D16+D18+D20+D22+D24+D26+D37+D42+D44+D46+D28+D30+D32</f>
        <v>2595800.06</v>
      </c>
      <c r="E48" s="452">
        <f ca="1">E10+E12+E14+E16+E18+E20+E22+E24+E26+E37+E42+E44+E46+E28+E30+E32</f>
        <v>719072329.72849655</v>
      </c>
      <c r="F48" s="453"/>
      <c r="G48" s="365"/>
      <c r="H48" s="430"/>
      <c r="I48" s="430"/>
      <c r="J48" s="452">
        <f ca="1">J10+J12+J14+J16+J18+J20+J22+J24+J26+J37+J42+J44+J46+J28+J30+J32</f>
        <v>-57996539.879299641</v>
      </c>
      <c r="K48" s="435"/>
    </row>
    <row r="49" spans="1:12" ht="16.75" customHeight="1" thickTop="1">
      <c r="A49" s="484"/>
      <c r="C49" s="454"/>
      <c r="D49" s="455"/>
      <c r="E49" s="455"/>
      <c r="J49" s="427"/>
    </row>
    <row r="50" spans="1:12" ht="16.75" customHeight="1">
      <c r="A50" s="484">
        <v>24</v>
      </c>
      <c r="B50" s="14" t="s">
        <v>991</v>
      </c>
      <c r="C50" s="456"/>
      <c r="J50" s="457">
        <v>-2775625</v>
      </c>
      <c r="L50" s="436" t="s">
        <v>1007</v>
      </c>
    </row>
    <row r="51" spans="1:12" ht="16.75" customHeight="1">
      <c r="A51" s="431"/>
      <c r="C51" s="458"/>
    </row>
    <row r="52" spans="1:12" ht="16.75" customHeight="1" thickBot="1">
      <c r="A52" s="431">
        <v>25</v>
      </c>
      <c r="J52" s="357">
        <f ca="1">J48+J50</f>
        <v>-60772164.879299641</v>
      </c>
      <c r="K52" s="435"/>
    </row>
    <row r="53" spans="1:12" ht="16.75" customHeight="1" thickTop="1">
      <c r="A53" s="431"/>
    </row>
    <row r="54" spans="1:12" ht="16.5" customHeight="1">
      <c r="A54" s="431"/>
    </row>
    <row r="55" spans="1:12" ht="16.75" customHeight="1"/>
    <row r="56" spans="1:12" ht="16.75" customHeight="1"/>
    <row r="57" spans="1:12" ht="16.75" customHeight="1"/>
    <row r="58" spans="1:12" ht="16.75" customHeight="1"/>
    <row r="59" spans="1:12" ht="16.75" customHeight="1"/>
    <row r="60" spans="1:12" ht="16.75" customHeight="1"/>
    <row r="61" spans="1:12" ht="16.75" customHeight="1"/>
    <row r="62" spans="1:12" ht="16.75" customHeight="1"/>
    <row r="63" spans="1:12" ht="16.75" customHeight="1"/>
    <row r="64" spans="1:12" ht="16.75" customHeight="1"/>
    <row r="65" spans="1:2" ht="16.75" customHeight="1"/>
    <row r="66" spans="1:2" ht="16.75" customHeight="1"/>
    <row r="67" spans="1:2" ht="16.75" customHeight="1"/>
    <row r="68" spans="1:2" ht="16.75" customHeight="1"/>
    <row r="69" spans="1:2" ht="16.75" customHeight="1"/>
    <row r="70" spans="1:2" ht="16.75" customHeight="1"/>
    <row r="71" spans="1:2" ht="16.75" customHeight="1"/>
    <row r="72" spans="1:2" ht="16.75" customHeight="1"/>
    <row r="73" spans="1:2" ht="16.75" customHeight="1"/>
    <row r="74" spans="1:2" ht="16.75" customHeight="1"/>
    <row r="75" spans="1:2" ht="16.75" customHeight="1"/>
    <row r="76" spans="1:2" ht="16.75" customHeight="1"/>
    <row r="77" spans="1:2" ht="16.75" customHeight="1"/>
    <row r="78" spans="1:2" ht="16.75" customHeight="1"/>
    <row r="79" spans="1:2" ht="16.75" customHeight="1"/>
    <row r="80" spans="1:2" ht="16.75" customHeight="1">
      <c r="A80" s="365"/>
      <c r="B80" s="432"/>
    </row>
    <row r="81" ht="14.15" customHeight="1"/>
    <row r="82" ht="16.75" customHeight="1"/>
  </sheetData>
  <mergeCells count="4">
    <mergeCell ref="A1:F1"/>
    <mergeCell ref="A2:F2"/>
    <mergeCell ref="A3:F3"/>
    <mergeCell ref="A4:F4"/>
  </mergeCells>
  <pageMargins left="0.7" right="0.7" top="0.75" bottom="0.75" header="0.3" footer="0.3"/>
  <pageSetup scale="51" orientation="portrait" r:id="rId1"/>
  <headerFooter>
    <oddHeader>&amp;RKPSC Case No. 2025-00257
SECTION V-Application
Exhibit 1
&amp;Pof&amp;N</oddHeader>
  </headerFooter>
  <rowBreaks count="1" manualBreakCount="1">
    <brk id="55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64"/>
  <sheetViews>
    <sheetView view="pageBreakPreview" zoomScale="60" zoomScaleNormal="90" workbookViewId="0">
      <pane ySplit="8" topLeftCell="A9" activePane="bottomLeft" state="frozen"/>
      <selection activeCell="C26" sqref="C26"/>
      <selection pane="bottomLeft" activeCell="E47" sqref="E47"/>
    </sheetView>
  </sheetViews>
  <sheetFormatPr defaultColWidth="9.1796875" defaultRowHeight="12.5"/>
  <cols>
    <col min="1" max="1" width="7.26953125" style="83" bestFit="1" customWidth="1"/>
    <col min="2" max="2" width="3.7265625" style="83" customWidth="1"/>
    <col min="3" max="3" width="40.7265625" style="83" customWidth="1"/>
    <col min="4" max="4" width="2.26953125" style="83" customWidth="1"/>
    <col min="5" max="5" width="18.7265625" style="83" customWidth="1"/>
    <col min="6" max="6" width="2.26953125" style="83" customWidth="1"/>
    <col min="7" max="7" width="18.7265625" style="83" customWidth="1"/>
    <col min="8" max="8" width="2.26953125" style="83" customWidth="1"/>
    <col min="9" max="9" width="18.7265625" style="83" customWidth="1"/>
    <col min="10" max="10" width="2.26953125" style="83" customWidth="1"/>
    <col min="11" max="11" width="16.453125" style="83" bestFit="1" customWidth="1"/>
    <col min="12" max="12" width="13.26953125" style="83" bestFit="1" customWidth="1"/>
    <col min="13" max="13" width="2.26953125" style="83" customWidth="1"/>
    <col min="14" max="16" width="9.1796875" style="83"/>
    <col min="17" max="17" width="17.453125" style="84" customWidth="1"/>
    <col min="18" max="16384" width="9.1796875" style="83"/>
  </cols>
  <sheetData>
    <row r="1" spans="1:11">
      <c r="D1" s="302" t="s">
        <v>330</v>
      </c>
      <c r="I1" s="95" t="s">
        <v>516</v>
      </c>
    </row>
    <row r="2" spans="1:11">
      <c r="D2" s="302" t="s">
        <v>517</v>
      </c>
      <c r="I2" s="95" t="s">
        <v>518</v>
      </c>
    </row>
    <row r="3" spans="1:11">
      <c r="D3" s="301" t="s">
        <v>1019</v>
      </c>
    </row>
    <row r="5" spans="1:11" ht="13">
      <c r="K5" s="97"/>
    </row>
    <row r="7" spans="1:11" ht="25.5">
      <c r="A7" s="98" t="s">
        <v>519</v>
      </c>
      <c r="B7" s="99"/>
      <c r="C7" s="100" t="s">
        <v>332</v>
      </c>
      <c r="D7" s="99"/>
      <c r="E7" s="98" t="s">
        <v>520</v>
      </c>
      <c r="F7" s="99"/>
      <c r="G7" s="98" t="s">
        <v>521</v>
      </c>
      <c r="H7" s="99"/>
      <c r="I7" s="98" t="s">
        <v>522</v>
      </c>
      <c r="K7" s="101"/>
    </row>
    <row r="8" spans="1:11">
      <c r="A8" s="102">
        <v>-1</v>
      </c>
      <c r="C8" s="102">
        <f>+A8-1</f>
        <v>-2</v>
      </c>
      <c r="E8" s="102">
        <f>+C8-1</f>
        <v>-3</v>
      </c>
      <c r="G8" s="102">
        <f>+E8-1</f>
        <v>-4</v>
      </c>
      <c r="I8" s="102">
        <f>+G8-1</f>
        <v>-5</v>
      </c>
    </row>
    <row r="9" spans="1:11">
      <c r="A9" s="102"/>
      <c r="C9" s="102"/>
      <c r="E9" s="102"/>
      <c r="G9" s="102"/>
      <c r="I9" s="102"/>
    </row>
    <row r="10" spans="1:11" ht="13">
      <c r="B10" s="103" t="s">
        <v>523</v>
      </c>
      <c r="K10" s="3"/>
    </row>
    <row r="11" spans="1:11">
      <c r="A11" s="102">
        <v>1</v>
      </c>
      <c r="C11" s="83" t="s">
        <v>524</v>
      </c>
      <c r="E11" s="104">
        <f>'Sch 4'!G7+'Sch 4'!G8+'Sch 4'!G9</f>
        <v>596769104.71922231</v>
      </c>
      <c r="F11" s="104"/>
      <c r="G11" s="104">
        <f ca="1">+'Sch 2'!E20</f>
        <v>75269689</v>
      </c>
      <c r="H11" s="104"/>
      <c r="I11" s="104">
        <f ca="1">+E11+G11</f>
        <v>672038793.71922231</v>
      </c>
      <c r="K11" s="104"/>
    </row>
    <row r="12" spans="1:11">
      <c r="A12" s="102">
        <f>+A11+1</f>
        <v>2</v>
      </c>
      <c r="C12" s="83" t="s">
        <v>170</v>
      </c>
      <c r="E12" s="38">
        <f>'Sch 4'!G10</f>
        <v>46092878.219999976</v>
      </c>
      <c r="F12" s="38"/>
      <c r="G12" s="38">
        <v>0</v>
      </c>
      <c r="H12" s="38"/>
      <c r="I12" s="38">
        <f>+E12+G12</f>
        <v>46092878.219999976</v>
      </c>
    </row>
    <row r="13" spans="1:11">
      <c r="A13" s="102">
        <f>+A12+1</f>
        <v>3</v>
      </c>
      <c r="C13" s="83" t="s">
        <v>845</v>
      </c>
      <c r="E13" s="38">
        <f>'Sch 4'!G11</f>
        <v>22603522.400000002</v>
      </c>
      <c r="F13" s="38"/>
      <c r="G13" s="38">
        <v>0</v>
      </c>
      <c r="H13" s="38"/>
      <c r="I13" s="38">
        <f>+E13+G13</f>
        <v>22603522.400000002</v>
      </c>
    </row>
    <row r="14" spans="1:11">
      <c r="A14" s="102"/>
      <c r="E14" s="105" t="s">
        <v>525</v>
      </c>
      <c r="G14" s="105" t="s">
        <v>525</v>
      </c>
      <c r="I14" s="105" t="s">
        <v>525</v>
      </c>
    </row>
    <row r="15" spans="1:11">
      <c r="A15" s="102">
        <f>+A13+1</f>
        <v>4</v>
      </c>
      <c r="B15" s="83" t="s">
        <v>526</v>
      </c>
      <c r="E15" s="104">
        <f>+E11+E12+E13</f>
        <v>665465505.33922231</v>
      </c>
      <c r="G15" s="104">
        <f ca="1">+G11+G12</f>
        <v>75269689</v>
      </c>
      <c r="I15" s="104">
        <f ca="1">+I11+I12+I13</f>
        <v>740735194.33922231</v>
      </c>
    </row>
    <row r="16" spans="1:11">
      <c r="A16" s="102"/>
      <c r="E16" s="105" t="s">
        <v>525</v>
      </c>
      <c r="G16" s="105" t="s">
        <v>525</v>
      </c>
      <c r="I16" s="105" t="s">
        <v>525</v>
      </c>
    </row>
    <row r="17" spans="1:12">
      <c r="A17" s="102"/>
      <c r="B17" s="103" t="s">
        <v>527</v>
      </c>
      <c r="K17" s="107"/>
      <c r="L17" s="104"/>
    </row>
    <row r="18" spans="1:12">
      <c r="A18" s="102">
        <f>+A15+1</f>
        <v>5</v>
      </c>
      <c r="C18" s="83" t="s">
        <v>528</v>
      </c>
      <c r="E18" s="104">
        <f>'Sch 4'!G23</f>
        <v>429454842.81437111</v>
      </c>
      <c r="G18" s="104">
        <f ca="1">G15*('2 P2'!G11+'2 P2'!G12)</f>
        <v>332471.83528016094</v>
      </c>
      <c r="I18" s="104">
        <f ca="1">+E18+G18</f>
        <v>429787314.64965129</v>
      </c>
      <c r="K18" s="104"/>
    </row>
    <row r="19" spans="1:12">
      <c r="A19" s="102">
        <f>+A18+1</f>
        <v>6</v>
      </c>
      <c r="C19" s="83" t="s">
        <v>529</v>
      </c>
      <c r="E19" s="104">
        <f>'Sch 4'!G25</f>
        <v>116250669.43396699</v>
      </c>
      <c r="F19" s="38"/>
      <c r="G19" s="38">
        <v>0</v>
      </c>
      <c r="H19" s="38"/>
      <c r="I19" s="38">
        <f>+E19+G19</f>
        <v>116250669.43396699</v>
      </c>
    </row>
    <row r="20" spans="1:12">
      <c r="A20" s="102">
        <f>+A19+1</f>
        <v>7</v>
      </c>
      <c r="C20" s="83" t="s">
        <v>530</v>
      </c>
      <c r="E20" s="104">
        <f>'Sch 4'!G26</f>
        <v>26947265.661264546</v>
      </c>
      <c r="F20" s="38"/>
      <c r="G20" s="38">
        <v>0</v>
      </c>
      <c r="H20" s="38"/>
      <c r="I20" s="38">
        <f t="shared" ref="I20:I26" si="0">+E20+G20</f>
        <v>26947265.661264546</v>
      </c>
    </row>
    <row r="21" spans="1:12">
      <c r="A21" s="102">
        <f>+A20+1</f>
        <v>8</v>
      </c>
      <c r="C21" s="83" t="s">
        <v>31</v>
      </c>
      <c r="E21" s="104">
        <f>'Sch 4'!G27</f>
        <v>-1398015.2200362212</v>
      </c>
      <c r="F21" s="38"/>
      <c r="G21" s="10">
        <f ca="1">ROUND((+G11-G18)*'Sch 5'!C514,0)</f>
        <v>3754130</v>
      </c>
      <c r="H21" s="38"/>
      <c r="I21" s="38">
        <f ca="1">+E21+G21</f>
        <v>2356114.7799637788</v>
      </c>
    </row>
    <row r="22" spans="1:12">
      <c r="A22" s="102"/>
      <c r="C22" s="83" t="s">
        <v>782</v>
      </c>
      <c r="E22" s="104">
        <f>'Sch 4'!G28+'Sch 4'!G29</f>
        <v>8770848.6315250006</v>
      </c>
      <c r="F22" s="38"/>
      <c r="G22" s="10"/>
      <c r="H22" s="38"/>
      <c r="I22" s="38">
        <f t="shared" si="0"/>
        <v>8770848.6315250006</v>
      </c>
      <c r="K22" s="14"/>
      <c r="L22" s="14"/>
    </row>
    <row r="23" spans="1:12">
      <c r="A23" s="102"/>
      <c r="C23" s="83" t="s">
        <v>531</v>
      </c>
      <c r="E23" s="38"/>
      <c r="F23" s="38"/>
      <c r="G23" s="38"/>
      <c r="H23" s="38"/>
      <c r="I23" s="38"/>
    </row>
    <row r="24" spans="1:12">
      <c r="A24" s="102">
        <f>+A21+1</f>
        <v>9</v>
      </c>
      <c r="C24" s="83" t="s">
        <v>532</v>
      </c>
      <c r="E24" s="104">
        <f>'Sch 4'!G33</f>
        <v>-2735511.665697047</v>
      </c>
      <c r="F24" s="38"/>
      <c r="G24" s="10">
        <f ca="1">ROUND((+G11+G12-G18-G19-G20-G21)*'Sch 5'!C515,0)</f>
        <v>14948448</v>
      </c>
      <c r="H24" s="38"/>
      <c r="I24" s="38">
        <f t="shared" ca="1" si="0"/>
        <v>12212936.334302953</v>
      </c>
    </row>
    <row r="25" spans="1:12">
      <c r="A25" s="102">
        <f>+A24+1</f>
        <v>10</v>
      </c>
      <c r="C25" s="83" t="s">
        <v>533</v>
      </c>
      <c r="E25" s="104">
        <f>'Sch 4'!G34+'Sch 4'!G35</f>
        <v>12584641</v>
      </c>
      <c r="F25" s="38"/>
      <c r="G25" s="38">
        <v>0</v>
      </c>
      <c r="H25" s="38"/>
      <c r="I25" s="38">
        <f t="shared" si="0"/>
        <v>12584641</v>
      </c>
    </row>
    <row r="26" spans="1:12">
      <c r="A26" s="102">
        <f>+A25+1</f>
        <v>11</v>
      </c>
      <c r="C26" s="83" t="s">
        <v>534</v>
      </c>
      <c r="E26" s="104">
        <f>'Sch 4'!G36</f>
        <v>0</v>
      </c>
      <c r="F26" s="38"/>
      <c r="G26" s="38">
        <v>0</v>
      </c>
      <c r="H26" s="38"/>
      <c r="I26" s="38">
        <f t="shared" si="0"/>
        <v>0</v>
      </c>
    </row>
    <row r="27" spans="1:12">
      <c r="A27" s="102"/>
      <c r="E27" s="105" t="s">
        <v>525</v>
      </c>
      <c r="G27" s="105" t="s">
        <v>525</v>
      </c>
      <c r="I27" s="105" t="s">
        <v>525</v>
      </c>
    </row>
    <row r="28" spans="1:12">
      <c r="A28" s="102">
        <f>+A26+1</f>
        <v>12</v>
      </c>
      <c r="B28" s="83" t="s">
        <v>535</v>
      </c>
      <c r="E28" s="104">
        <f>SUM(E18:E27)</f>
        <v>589874740.65539432</v>
      </c>
      <c r="G28" s="104">
        <f ca="1">SUM(G18:G27)</f>
        <v>19035049.835280161</v>
      </c>
      <c r="I28" s="104">
        <f ca="1">SUM(I18:I27)</f>
        <v>608909790.4906745</v>
      </c>
    </row>
    <row r="29" spans="1:12">
      <c r="A29" s="102"/>
      <c r="E29" s="105" t="s">
        <v>525</v>
      </c>
      <c r="G29" s="105" t="s">
        <v>525</v>
      </c>
      <c r="I29" s="105" t="s">
        <v>525</v>
      </c>
    </row>
    <row r="30" spans="1:12">
      <c r="A30" s="102"/>
    </row>
    <row r="31" spans="1:12">
      <c r="A31" s="102">
        <f>+A28+1</f>
        <v>13</v>
      </c>
      <c r="B31" s="83" t="s">
        <v>873</v>
      </c>
      <c r="E31" s="104">
        <f>+E15-E28</f>
        <v>75590764.683827996</v>
      </c>
      <c r="G31" s="104">
        <f ca="1">+G15-G28</f>
        <v>56234639.164719835</v>
      </c>
      <c r="I31" s="104">
        <f ca="1">+I15-I28</f>
        <v>131825403.84854782</v>
      </c>
      <c r="K31" s="104"/>
    </row>
    <row r="32" spans="1:12">
      <c r="A32" s="102">
        <f>+A31+1</f>
        <v>14</v>
      </c>
      <c r="B32" s="83" t="s">
        <v>536</v>
      </c>
      <c r="E32" s="38">
        <f>'Sch 4'!G40</f>
        <v>9979499.0600000005</v>
      </c>
      <c r="G32" s="38">
        <v>0</v>
      </c>
      <c r="I32" s="38">
        <f>+E32+G32</f>
        <v>9979499.0600000005</v>
      </c>
    </row>
    <row r="33" spans="1:12">
      <c r="A33" s="102"/>
      <c r="E33" s="105" t="s">
        <v>525</v>
      </c>
      <c r="G33" s="105" t="s">
        <v>525</v>
      </c>
      <c r="I33" s="105" t="s">
        <v>525</v>
      </c>
    </row>
    <row r="34" spans="1:12">
      <c r="A34" s="102">
        <f>+A32+1</f>
        <v>15</v>
      </c>
      <c r="B34" s="83" t="s">
        <v>537</v>
      </c>
      <c r="E34" s="104">
        <f>+E31+E32</f>
        <v>85570263.743827999</v>
      </c>
      <c r="G34" s="104">
        <f ca="1">+G31+G32</f>
        <v>56234639.164719835</v>
      </c>
      <c r="I34" s="104">
        <f ca="1">+I31+I32</f>
        <v>141804902.90854782</v>
      </c>
    </row>
    <row r="35" spans="1:12">
      <c r="A35" s="102"/>
      <c r="E35" s="105" t="s">
        <v>538</v>
      </c>
      <c r="G35" s="105" t="s">
        <v>538</v>
      </c>
      <c r="I35" s="105" t="s">
        <v>538</v>
      </c>
    </row>
    <row r="36" spans="1:12">
      <c r="A36" s="102"/>
    </row>
    <row r="37" spans="1:12">
      <c r="A37" s="102">
        <f>+A34+1</f>
        <v>16</v>
      </c>
      <c r="B37" s="103"/>
      <c r="C37" s="83" t="s">
        <v>165</v>
      </c>
      <c r="I37" s="104">
        <f ca="1">'Sch 4'!G53</f>
        <v>1872259309.9168518</v>
      </c>
    </row>
    <row r="38" spans="1:12">
      <c r="A38" s="102">
        <f>+A37+1</f>
        <v>17</v>
      </c>
      <c r="C38" s="83" t="s">
        <v>49</v>
      </c>
      <c r="E38" s="104"/>
      <c r="G38" s="104"/>
      <c r="I38" s="107">
        <f ca="1">ROUND(I34/I37,4)</f>
        <v>7.5700000000000003E-2</v>
      </c>
      <c r="K38" s="104"/>
    </row>
    <row r="39" spans="1:12">
      <c r="A39" s="102"/>
      <c r="E39" s="38"/>
      <c r="F39" s="38"/>
      <c r="G39" s="38"/>
      <c r="H39" s="38"/>
      <c r="I39" s="38"/>
    </row>
    <row r="40" spans="1:12">
      <c r="A40" s="102">
        <f>+A38+1</f>
        <v>18</v>
      </c>
      <c r="C40" s="83" t="s">
        <v>539</v>
      </c>
      <c r="E40" s="105"/>
      <c r="G40" s="105"/>
      <c r="I40" s="108">
        <f>+'2 P1'!E17</f>
        <v>1838787783.5246</v>
      </c>
      <c r="K40" s="104"/>
      <c r="L40" s="104"/>
    </row>
    <row r="41" spans="1:12">
      <c r="A41" s="102">
        <f>+A40+1</f>
        <v>19</v>
      </c>
      <c r="C41" s="83" t="s">
        <v>49</v>
      </c>
      <c r="E41" s="104"/>
      <c r="G41" s="104"/>
      <c r="I41" s="107">
        <f>+'2 P1'!K17</f>
        <v>7.5740000000000002E-2</v>
      </c>
      <c r="K41" s="316"/>
    </row>
    <row r="42" spans="1:12">
      <c r="A42" s="102"/>
      <c r="E42" s="104"/>
      <c r="G42" s="104"/>
      <c r="I42" s="107"/>
      <c r="K42" s="104"/>
    </row>
    <row r="43" spans="1:12">
      <c r="A43" s="102"/>
      <c r="E43" s="38"/>
      <c r="G43" s="38"/>
      <c r="I43" s="38"/>
    </row>
    <row r="44" spans="1:12">
      <c r="A44" s="102">
        <f>A41+1</f>
        <v>20</v>
      </c>
      <c r="C44" s="83" t="s">
        <v>805</v>
      </c>
      <c r="E44" s="38"/>
      <c r="G44" s="38"/>
      <c r="I44" s="38">
        <f ca="1">I15</f>
        <v>740735194.33922231</v>
      </c>
    </row>
    <row r="45" spans="1:12">
      <c r="A45" s="102"/>
      <c r="E45" s="38"/>
      <c r="G45" s="38"/>
      <c r="I45" s="105" t="s">
        <v>538</v>
      </c>
    </row>
    <row r="46" spans="1:12">
      <c r="A46" s="102"/>
      <c r="E46" s="38"/>
      <c r="F46" s="38"/>
      <c r="G46" s="38"/>
      <c r="H46" s="38"/>
      <c r="I46" s="38"/>
    </row>
    <row r="47" spans="1:12">
      <c r="A47" s="102">
        <f>A44+1</f>
        <v>21</v>
      </c>
      <c r="C47" s="83" t="s">
        <v>540</v>
      </c>
      <c r="E47" s="38"/>
      <c r="I47" s="38">
        <f ca="1">G15</f>
        <v>75269689</v>
      </c>
      <c r="L47" s="38"/>
    </row>
    <row r="48" spans="1:12">
      <c r="A48" s="102"/>
      <c r="E48" s="38"/>
      <c r="G48" s="38"/>
      <c r="I48" s="38"/>
    </row>
    <row r="49" spans="1:9" ht="13">
      <c r="A49" s="102"/>
      <c r="E49" s="38"/>
      <c r="F49" s="38"/>
      <c r="G49" s="38"/>
      <c r="H49" s="38"/>
      <c r="I49" s="109"/>
    </row>
    <row r="50" spans="1:9">
      <c r="A50" s="102"/>
      <c r="E50" s="38"/>
      <c r="F50" s="38"/>
      <c r="G50" s="38"/>
      <c r="H50" s="38"/>
      <c r="I50" s="38"/>
    </row>
    <row r="51" spans="1:9">
      <c r="A51" s="102"/>
      <c r="E51" s="38"/>
      <c r="F51" s="38"/>
      <c r="G51" s="38"/>
      <c r="H51" s="38"/>
      <c r="I51" s="38"/>
    </row>
    <row r="52" spans="1:9">
      <c r="A52" s="102"/>
      <c r="E52" s="38"/>
      <c r="F52" s="38"/>
      <c r="G52" s="38"/>
      <c r="H52" s="38"/>
      <c r="I52" s="38"/>
    </row>
    <row r="53" spans="1:9">
      <c r="A53" s="102"/>
      <c r="E53" s="38"/>
      <c r="F53" s="38"/>
      <c r="G53" s="38"/>
      <c r="H53" s="38"/>
      <c r="I53" s="38"/>
    </row>
    <row r="54" spans="1:9">
      <c r="A54" s="102"/>
      <c r="E54" s="38"/>
      <c r="F54" s="38"/>
      <c r="G54" s="38"/>
      <c r="H54" s="38"/>
      <c r="I54" s="38"/>
    </row>
    <row r="55" spans="1:9">
      <c r="A55" s="102"/>
      <c r="E55" s="38"/>
      <c r="F55" s="38"/>
      <c r="G55" s="38"/>
      <c r="H55" s="38"/>
      <c r="I55" s="38"/>
    </row>
    <row r="56" spans="1:9" ht="13">
      <c r="A56" s="102"/>
      <c r="B56" s="3"/>
      <c r="E56" s="38"/>
      <c r="F56" s="38"/>
      <c r="G56" s="38"/>
      <c r="H56" s="38"/>
      <c r="I56" s="38"/>
    </row>
    <row r="57" spans="1:9">
      <c r="A57" s="102"/>
      <c r="E57" s="38"/>
      <c r="F57" s="38"/>
      <c r="G57" s="38"/>
      <c r="H57" s="38"/>
      <c r="I57" s="38"/>
    </row>
    <row r="58" spans="1:9" ht="13">
      <c r="A58" s="102"/>
      <c r="C58" s="99"/>
      <c r="E58" s="104"/>
      <c r="F58" s="38"/>
      <c r="G58" s="101"/>
      <c r="H58" s="38"/>
      <c r="I58" s="106"/>
    </row>
    <row r="59" spans="1:9">
      <c r="A59" s="102"/>
      <c r="E59" s="104"/>
      <c r="F59" s="38"/>
      <c r="G59" s="38"/>
      <c r="H59" s="38"/>
      <c r="I59" s="38"/>
    </row>
    <row r="60" spans="1:9">
      <c r="A60" s="102"/>
      <c r="C60" s="302"/>
      <c r="E60" s="38"/>
      <c r="F60" s="38"/>
      <c r="G60" s="38"/>
      <c r="H60" s="38"/>
      <c r="I60" s="38"/>
    </row>
    <row r="61" spans="1:9">
      <c r="A61" s="102"/>
      <c r="E61" s="38"/>
      <c r="F61" s="38"/>
      <c r="G61" s="38"/>
      <c r="H61" s="38"/>
      <c r="I61" s="38"/>
    </row>
    <row r="62" spans="1:9">
      <c r="A62" s="102"/>
      <c r="E62" s="107"/>
      <c r="F62" s="104"/>
      <c r="G62" s="104"/>
      <c r="H62" s="104"/>
      <c r="I62" s="104"/>
    </row>
    <row r="63" spans="1:9">
      <c r="A63" s="102"/>
      <c r="E63" s="105"/>
      <c r="G63" s="105"/>
      <c r="I63" s="105"/>
    </row>
    <row r="64" spans="1:9">
      <c r="A64" s="102"/>
      <c r="C64" s="99"/>
      <c r="E64" s="38"/>
    </row>
    <row r="65" spans="1:5">
      <c r="A65" s="102"/>
      <c r="E65" s="105"/>
    </row>
    <row r="66" spans="1:5">
      <c r="A66" s="102"/>
      <c r="C66" s="110"/>
      <c r="E66" s="104"/>
    </row>
    <row r="67" spans="1:5">
      <c r="A67" s="102"/>
      <c r="E67" s="105"/>
    </row>
    <row r="68" spans="1:5">
      <c r="A68" s="102"/>
    </row>
    <row r="69" spans="1:5">
      <c r="A69" s="102"/>
    </row>
    <row r="70" spans="1:5">
      <c r="A70" s="102"/>
    </row>
    <row r="71" spans="1:5">
      <c r="A71" s="102"/>
    </row>
    <row r="72" spans="1:5">
      <c r="A72" s="102"/>
    </row>
    <row r="73" spans="1:5">
      <c r="A73" s="102"/>
    </row>
    <row r="74" spans="1:5">
      <c r="A74" s="102"/>
    </row>
    <row r="75" spans="1:5">
      <c r="A75" s="102"/>
    </row>
    <row r="76" spans="1:5">
      <c r="A76" s="102"/>
    </row>
    <row r="77" spans="1:5">
      <c r="A77" s="102"/>
    </row>
    <row r="78" spans="1:5">
      <c r="A78" s="102"/>
    </row>
    <row r="79" spans="1:5">
      <c r="A79" s="102"/>
    </row>
    <row r="80" spans="1:5">
      <c r="A80" s="102"/>
    </row>
    <row r="81" spans="1:1">
      <c r="A81" s="102"/>
    </row>
    <row r="82" spans="1:1">
      <c r="A82" s="102"/>
    </row>
    <row r="83" spans="1:1">
      <c r="A83" s="102"/>
    </row>
    <row r="84" spans="1:1">
      <c r="A84" s="102"/>
    </row>
    <row r="85" spans="1:1">
      <c r="A85" s="102"/>
    </row>
    <row r="86" spans="1:1">
      <c r="A86" s="102"/>
    </row>
    <row r="87" spans="1:1">
      <c r="A87" s="102"/>
    </row>
    <row r="88" spans="1:1">
      <c r="A88" s="102"/>
    </row>
    <row r="89" spans="1:1">
      <c r="A89" s="102"/>
    </row>
    <row r="90" spans="1:1">
      <c r="A90" s="102"/>
    </row>
    <row r="91" spans="1:1">
      <c r="A91" s="102"/>
    </row>
    <row r="92" spans="1:1">
      <c r="A92" s="102"/>
    </row>
    <row r="93" spans="1:1">
      <c r="A93" s="102"/>
    </row>
    <row r="94" spans="1:1">
      <c r="A94" s="102"/>
    </row>
    <row r="95" spans="1:1">
      <c r="A95" s="102"/>
    </row>
    <row r="96" spans="1:1">
      <c r="A96" s="102"/>
    </row>
    <row r="97" spans="1:1">
      <c r="A97" s="102"/>
    </row>
    <row r="98" spans="1:1">
      <c r="A98" s="102"/>
    </row>
    <row r="99" spans="1:1">
      <c r="A99" s="102"/>
    </row>
    <row r="100" spans="1:1">
      <c r="A100" s="102"/>
    </row>
    <row r="101" spans="1:1">
      <c r="A101" s="102"/>
    </row>
    <row r="102" spans="1:1">
      <c r="A102" s="102"/>
    </row>
    <row r="103" spans="1:1">
      <c r="A103" s="102"/>
    </row>
    <row r="104" spans="1:1">
      <c r="A104" s="102"/>
    </row>
    <row r="105" spans="1:1">
      <c r="A105" s="102"/>
    </row>
    <row r="106" spans="1:1">
      <c r="A106" s="102"/>
    </row>
    <row r="107" spans="1:1">
      <c r="A107" s="102"/>
    </row>
    <row r="108" spans="1:1">
      <c r="A108" s="102"/>
    </row>
    <row r="109" spans="1:1">
      <c r="A109" s="102"/>
    </row>
    <row r="110" spans="1:1">
      <c r="A110" s="102"/>
    </row>
    <row r="111" spans="1:1">
      <c r="A111" s="102"/>
    </row>
    <row r="112" spans="1:1">
      <c r="A112" s="102"/>
    </row>
    <row r="113" spans="1:1">
      <c r="A113" s="102"/>
    </row>
    <row r="114" spans="1:1">
      <c r="A114" s="102"/>
    </row>
    <row r="115" spans="1:1">
      <c r="A115" s="38"/>
    </row>
    <row r="116" spans="1:1">
      <c r="A116" s="38"/>
    </row>
    <row r="117" spans="1:1">
      <c r="A117" s="38"/>
    </row>
    <row r="118" spans="1:1">
      <c r="A118" s="38"/>
    </row>
    <row r="119" spans="1:1">
      <c r="A119" s="38"/>
    </row>
    <row r="120" spans="1:1">
      <c r="A120" s="38"/>
    </row>
    <row r="121" spans="1:1">
      <c r="A121" s="38"/>
    </row>
    <row r="122" spans="1:1">
      <c r="A122" s="38"/>
    </row>
    <row r="123" spans="1:1">
      <c r="A123" s="38"/>
    </row>
    <row r="124" spans="1:1">
      <c r="A124" s="38"/>
    </row>
    <row r="125" spans="1:1">
      <c r="A125" s="38"/>
    </row>
    <row r="126" spans="1:1">
      <c r="A126" s="38"/>
    </row>
    <row r="127" spans="1:1">
      <c r="A127" s="38"/>
    </row>
    <row r="128" spans="1:1">
      <c r="A128" s="38"/>
    </row>
    <row r="129" spans="1:1">
      <c r="A129" s="38"/>
    </row>
    <row r="130" spans="1:1">
      <c r="A130" s="38"/>
    </row>
    <row r="131" spans="1:1">
      <c r="A131" s="38"/>
    </row>
    <row r="132" spans="1:1">
      <c r="A132" s="38"/>
    </row>
    <row r="133" spans="1:1">
      <c r="A133" s="38"/>
    </row>
    <row r="134" spans="1:1">
      <c r="A134" s="38"/>
    </row>
    <row r="135" spans="1:1">
      <c r="A135" s="38"/>
    </row>
    <row r="136" spans="1:1">
      <c r="A136" s="38"/>
    </row>
    <row r="137" spans="1:1">
      <c r="A137" s="38"/>
    </row>
    <row r="138" spans="1:1">
      <c r="A138" s="38"/>
    </row>
    <row r="139" spans="1:1">
      <c r="A139" s="38"/>
    </row>
    <row r="140" spans="1:1">
      <c r="A140" s="38"/>
    </row>
    <row r="141" spans="1:1">
      <c r="A141" s="38"/>
    </row>
    <row r="142" spans="1:1">
      <c r="A142" s="38"/>
    </row>
    <row r="143" spans="1:1">
      <c r="A143" s="38"/>
    </row>
    <row r="144" spans="1:1">
      <c r="A144" s="38"/>
    </row>
    <row r="145" spans="1:1">
      <c r="A145" s="38"/>
    </row>
    <row r="146" spans="1:1">
      <c r="A146" s="38"/>
    </row>
    <row r="147" spans="1:1">
      <c r="A147" s="38"/>
    </row>
    <row r="148" spans="1:1">
      <c r="A148" s="38"/>
    </row>
    <row r="149" spans="1:1">
      <c r="A149" s="38"/>
    </row>
    <row r="150" spans="1:1">
      <c r="A150" s="38"/>
    </row>
    <row r="151" spans="1:1">
      <c r="A151" s="38"/>
    </row>
    <row r="152" spans="1:1">
      <c r="A152" s="38"/>
    </row>
    <row r="153" spans="1:1">
      <c r="A153" s="38"/>
    </row>
    <row r="154" spans="1:1">
      <c r="A154" s="38"/>
    </row>
    <row r="155" spans="1:1">
      <c r="A155" s="38"/>
    </row>
    <row r="156" spans="1:1">
      <c r="A156" s="38"/>
    </row>
    <row r="157" spans="1:1">
      <c r="A157" s="38"/>
    </row>
    <row r="158" spans="1:1">
      <c r="A158" s="38"/>
    </row>
    <row r="159" spans="1:1">
      <c r="A159" s="38"/>
    </row>
    <row r="160" spans="1:1">
      <c r="A160" s="38"/>
    </row>
    <row r="161" spans="1:1">
      <c r="A161" s="38"/>
    </row>
    <row r="162" spans="1:1">
      <c r="A162" s="38"/>
    </row>
    <row r="163" spans="1:1">
      <c r="A163" s="38"/>
    </row>
    <row r="164" spans="1:1">
      <c r="A164" s="38"/>
    </row>
    <row r="165" spans="1:1">
      <c r="A165" s="38"/>
    </row>
    <row r="166" spans="1:1">
      <c r="A166" s="38"/>
    </row>
    <row r="167" spans="1:1">
      <c r="A167" s="38"/>
    </row>
    <row r="168" spans="1:1">
      <c r="A168" s="38"/>
    </row>
    <row r="169" spans="1:1">
      <c r="A169" s="38"/>
    </row>
    <row r="170" spans="1:1">
      <c r="A170" s="38"/>
    </row>
    <row r="171" spans="1:1">
      <c r="A171" s="38"/>
    </row>
    <row r="172" spans="1:1">
      <c r="A172" s="38"/>
    </row>
    <row r="173" spans="1:1">
      <c r="A173" s="38"/>
    </row>
    <row r="174" spans="1:1">
      <c r="A174" s="38"/>
    </row>
    <row r="175" spans="1:1">
      <c r="A175" s="38"/>
    </row>
    <row r="176" spans="1:1">
      <c r="A176" s="38"/>
    </row>
    <row r="177" spans="1:1">
      <c r="A177" s="38"/>
    </row>
    <row r="178" spans="1:1">
      <c r="A178" s="38"/>
    </row>
    <row r="179" spans="1:1">
      <c r="A179" s="38"/>
    </row>
    <row r="180" spans="1:1">
      <c r="A180" s="38"/>
    </row>
    <row r="181" spans="1:1">
      <c r="A181" s="38"/>
    </row>
    <row r="182" spans="1:1">
      <c r="A182" s="38"/>
    </row>
    <row r="183" spans="1:1">
      <c r="A183" s="38"/>
    </row>
    <row r="184" spans="1:1">
      <c r="A184" s="38"/>
    </row>
    <row r="185" spans="1:1">
      <c r="A185" s="38"/>
    </row>
    <row r="186" spans="1:1">
      <c r="A186" s="38"/>
    </row>
    <row r="187" spans="1:1">
      <c r="A187" s="38"/>
    </row>
    <row r="188" spans="1:1">
      <c r="A188" s="38"/>
    </row>
    <row r="189" spans="1:1">
      <c r="A189" s="38"/>
    </row>
    <row r="190" spans="1:1">
      <c r="A190" s="38"/>
    </row>
    <row r="191" spans="1:1">
      <c r="A191" s="38"/>
    </row>
    <row r="192" spans="1:1">
      <c r="A192" s="38"/>
    </row>
    <row r="193" spans="1:1">
      <c r="A193" s="38"/>
    </row>
    <row r="194" spans="1:1">
      <c r="A194" s="38"/>
    </row>
    <row r="195" spans="1:1">
      <c r="A195" s="38"/>
    </row>
    <row r="196" spans="1:1">
      <c r="A196" s="38"/>
    </row>
    <row r="197" spans="1:1">
      <c r="A197" s="38"/>
    </row>
    <row r="198" spans="1:1">
      <c r="A198" s="38"/>
    </row>
    <row r="199" spans="1:1">
      <c r="A199" s="38"/>
    </row>
    <row r="200" spans="1:1">
      <c r="A200" s="38"/>
    </row>
    <row r="201" spans="1:1">
      <c r="A201" s="38"/>
    </row>
    <row r="202" spans="1:1">
      <c r="A202" s="38"/>
    </row>
    <row r="203" spans="1:1">
      <c r="A203" s="38"/>
    </row>
    <row r="204" spans="1:1">
      <c r="A204" s="38"/>
    </row>
    <row r="205" spans="1:1">
      <c r="A205" s="38"/>
    </row>
    <row r="206" spans="1:1">
      <c r="A206" s="38"/>
    </row>
    <row r="207" spans="1:1">
      <c r="A207" s="38"/>
    </row>
    <row r="208" spans="1:1">
      <c r="A208" s="38"/>
    </row>
    <row r="209" spans="1:1">
      <c r="A209" s="38"/>
    </row>
    <row r="210" spans="1:1">
      <c r="A210" s="38"/>
    </row>
    <row r="211" spans="1:1">
      <c r="A211" s="38"/>
    </row>
    <row r="212" spans="1:1">
      <c r="A212" s="38"/>
    </row>
    <row r="213" spans="1:1">
      <c r="A213" s="38"/>
    </row>
    <row r="214" spans="1:1">
      <c r="A214" s="38"/>
    </row>
    <row r="215" spans="1:1">
      <c r="A215" s="38"/>
    </row>
    <row r="216" spans="1:1">
      <c r="A216" s="38"/>
    </row>
    <row r="217" spans="1:1">
      <c r="A217" s="38"/>
    </row>
    <row r="218" spans="1:1">
      <c r="A218" s="38"/>
    </row>
    <row r="219" spans="1:1">
      <c r="A219" s="38"/>
    </row>
    <row r="220" spans="1:1">
      <c r="A220" s="38"/>
    </row>
    <row r="221" spans="1:1">
      <c r="A221" s="38"/>
    </row>
    <row r="222" spans="1:1">
      <c r="A222" s="38"/>
    </row>
    <row r="223" spans="1:1">
      <c r="A223" s="38"/>
    </row>
    <row r="224" spans="1:1">
      <c r="A224" s="38"/>
    </row>
    <row r="225" spans="1:1">
      <c r="A225" s="38"/>
    </row>
    <row r="226" spans="1:1">
      <c r="A226" s="38"/>
    </row>
    <row r="227" spans="1:1">
      <c r="A227" s="38"/>
    </row>
    <row r="228" spans="1:1">
      <c r="A228" s="38"/>
    </row>
    <row r="229" spans="1:1">
      <c r="A229" s="38"/>
    </row>
    <row r="230" spans="1:1">
      <c r="A230" s="38"/>
    </row>
    <row r="231" spans="1:1">
      <c r="A231" s="38"/>
    </row>
    <row r="232" spans="1:1">
      <c r="A232" s="38"/>
    </row>
    <row r="233" spans="1:1">
      <c r="A233" s="38"/>
    </row>
    <row r="234" spans="1:1">
      <c r="A234" s="38"/>
    </row>
    <row r="235" spans="1:1">
      <c r="A235" s="38"/>
    </row>
    <row r="236" spans="1:1">
      <c r="A236" s="38"/>
    </row>
    <row r="237" spans="1:1">
      <c r="A237" s="38"/>
    </row>
    <row r="238" spans="1:1">
      <c r="A238" s="38"/>
    </row>
    <row r="239" spans="1:1">
      <c r="A239" s="38"/>
    </row>
    <row r="240" spans="1:1">
      <c r="A240" s="38"/>
    </row>
    <row r="241" spans="1:1">
      <c r="A241" s="38"/>
    </row>
    <row r="242" spans="1:1">
      <c r="A242" s="38"/>
    </row>
    <row r="243" spans="1:1">
      <c r="A243" s="38"/>
    </row>
    <row r="244" spans="1:1">
      <c r="A244" s="38"/>
    </row>
    <row r="245" spans="1:1">
      <c r="A245" s="38"/>
    </row>
    <row r="246" spans="1:1">
      <c r="A246" s="38"/>
    </row>
    <row r="247" spans="1:1">
      <c r="A247" s="38"/>
    </row>
    <row r="248" spans="1:1">
      <c r="A248" s="38"/>
    </row>
    <row r="249" spans="1:1">
      <c r="A249" s="38"/>
    </row>
    <row r="250" spans="1:1">
      <c r="A250" s="38"/>
    </row>
    <row r="251" spans="1:1">
      <c r="A251" s="38"/>
    </row>
    <row r="252" spans="1:1">
      <c r="A252" s="38"/>
    </row>
    <row r="253" spans="1:1">
      <c r="A253" s="38"/>
    </row>
    <row r="254" spans="1:1">
      <c r="A254" s="38"/>
    </row>
    <row r="255" spans="1:1">
      <c r="A255" s="38"/>
    </row>
    <row r="256" spans="1:1">
      <c r="A256" s="38"/>
    </row>
    <row r="257" spans="1:1">
      <c r="A257" s="38"/>
    </row>
    <row r="258" spans="1:1">
      <c r="A258" s="38"/>
    </row>
    <row r="259" spans="1:1">
      <c r="A259" s="38"/>
    </row>
    <row r="260" spans="1:1">
      <c r="A260" s="38"/>
    </row>
    <row r="261" spans="1:1">
      <c r="A261" s="38"/>
    </row>
    <row r="262" spans="1:1">
      <c r="A262" s="38"/>
    </row>
    <row r="263" spans="1:1">
      <c r="A263" s="38"/>
    </row>
    <row r="264" spans="1:1">
      <c r="A264" s="38"/>
    </row>
    <row r="265" spans="1:1">
      <c r="A265" s="38"/>
    </row>
    <row r="266" spans="1:1">
      <c r="A266" s="38"/>
    </row>
    <row r="267" spans="1:1">
      <c r="A267" s="38"/>
    </row>
    <row r="268" spans="1:1">
      <c r="A268" s="38"/>
    </row>
    <row r="269" spans="1:1">
      <c r="A269" s="38"/>
    </row>
    <row r="270" spans="1:1">
      <c r="A270" s="38"/>
    </row>
    <row r="271" spans="1:1">
      <c r="A271" s="38"/>
    </row>
    <row r="272" spans="1:1">
      <c r="A272" s="38"/>
    </row>
    <row r="273" spans="1:1">
      <c r="A273" s="38"/>
    </row>
    <row r="274" spans="1:1">
      <c r="A274" s="38"/>
    </row>
    <row r="275" spans="1:1">
      <c r="A275" s="38"/>
    </row>
    <row r="276" spans="1:1">
      <c r="A276" s="38"/>
    </row>
    <row r="277" spans="1:1">
      <c r="A277" s="38"/>
    </row>
    <row r="278" spans="1:1">
      <c r="A278" s="38"/>
    </row>
    <row r="279" spans="1:1">
      <c r="A279" s="38"/>
    </row>
    <row r="280" spans="1:1">
      <c r="A280" s="38"/>
    </row>
    <row r="281" spans="1:1">
      <c r="A281" s="38"/>
    </row>
    <row r="282" spans="1:1">
      <c r="A282" s="38"/>
    </row>
    <row r="283" spans="1:1">
      <c r="A283" s="38"/>
    </row>
    <row r="284" spans="1:1">
      <c r="A284" s="38"/>
    </row>
    <row r="285" spans="1:1">
      <c r="A285" s="38"/>
    </row>
    <row r="286" spans="1:1">
      <c r="A286" s="38"/>
    </row>
    <row r="287" spans="1:1">
      <c r="A287" s="38"/>
    </row>
    <row r="288" spans="1:1">
      <c r="A288" s="38"/>
    </row>
    <row r="289" spans="1:1">
      <c r="A289" s="38"/>
    </row>
    <row r="290" spans="1:1">
      <c r="A290" s="38"/>
    </row>
    <row r="291" spans="1:1">
      <c r="A291" s="38"/>
    </row>
    <row r="292" spans="1:1">
      <c r="A292" s="38"/>
    </row>
    <row r="293" spans="1:1">
      <c r="A293" s="38"/>
    </row>
    <row r="294" spans="1:1">
      <c r="A294" s="38"/>
    </row>
    <row r="295" spans="1:1">
      <c r="A295" s="38"/>
    </row>
    <row r="296" spans="1:1">
      <c r="A296" s="38"/>
    </row>
    <row r="297" spans="1:1">
      <c r="A297" s="38"/>
    </row>
    <row r="298" spans="1:1">
      <c r="A298" s="38"/>
    </row>
    <row r="299" spans="1:1">
      <c r="A299" s="38"/>
    </row>
    <row r="300" spans="1:1">
      <c r="A300" s="38"/>
    </row>
    <row r="301" spans="1:1">
      <c r="A301" s="38"/>
    </row>
    <row r="302" spans="1:1">
      <c r="A302" s="38"/>
    </row>
    <row r="303" spans="1:1">
      <c r="A303" s="38"/>
    </row>
    <row r="304" spans="1:1">
      <c r="A304" s="38"/>
    </row>
    <row r="305" spans="1:1">
      <c r="A305" s="38"/>
    </row>
    <row r="306" spans="1:1">
      <c r="A306" s="38"/>
    </row>
    <row r="307" spans="1:1">
      <c r="A307" s="38"/>
    </row>
    <row r="308" spans="1:1">
      <c r="A308" s="38"/>
    </row>
    <row r="309" spans="1:1">
      <c r="A309" s="38"/>
    </row>
    <row r="310" spans="1:1">
      <c r="A310" s="38"/>
    </row>
    <row r="311" spans="1:1">
      <c r="A311" s="38"/>
    </row>
    <row r="312" spans="1:1">
      <c r="A312" s="38"/>
    </row>
    <row r="313" spans="1:1">
      <c r="A313" s="38"/>
    </row>
    <row r="314" spans="1:1">
      <c r="A314" s="38"/>
    </row>
    <row r="315" spans="1:1">
      <c r="A315" s="38"/>
    </row>
    <row r="316" spans="1:1">
      <c r="A316" s="38"/>
    </row>
    <row r="317" spans="1:1">
      <c r="A317" s="38"/>
    </row>
    <row r="318" spans="1:1">
      <c r="A318" s="38"/>
    </row>
    <row r="319" spans="1:1">
      <c r="A319" s="38"/>
    </row>
    <row r="320" spans="1:1">
      <c r="A320" s="38"/>
    </row>
    <row r="321" spans="1:1">
      <c r="A321" s="38"/>
    </row>
    <row r="322" spans="1:1">
      <c r="A322" s="38"/>
    </row>
    <row r="323" spans="1:1">
      <c r="A323" s="38"/>
    </row>
    <row r="324" spans="1:1">
      <c r="A324" s="38"/>
    </row>
    <row r="325" spans="1:1">
      <c r="A325" s="38"/>
    </row>
    <row r="326" spans="1:1">
      <c r="A326" s="38"/>
    </row>
    <row r="327" spans="1:1">
      <c r="A327" s="38"/>
    </row>
    <row r="328" spans="1:1">
      <c r="A328" s="38"/>
    </row>
    <row r="329" spans="1:1">
      <c r="A329" s="38"/>
    </row>
    <row r="330" spans="1:1">
      <c r="A330" s="38"/>
    </row>
    <row r="331" spans="1:1">
      <c r="A331" s="38"/>
    </row>
    <row r="332" spans="1:1">
      <c r="A332" s="38"/>
    </row>
    <row r="333" spans="1:1">
      <c r="A333" s="38"/>
    </row>
    <row r="334" spans="1:1">
      <c r="A334" s="38"/>
    </row>
    <row r="335" spans="1:1">
      <c r="A335" s="38"/>
    </row>
    <row r="336" spans="1:1">
      <c r="A336" s="38"/>
    </row>
    <row r="337" spans="1:1">
      <c r="A337" s="38"/>
    </row>
    <row r="338" spans="1:1">
      <c r="A338" s="38"/>
    </row>
    <row r="339" spans="1:1">
      <c r="A339" s="38"/>
    </row>
    <row r="340" spans="1:1">
      <c r="A340" s="38"/>
    </row>
    <row r="341" spans="1:1">
      <c r="A341" s="38"/>
    </row>
    <row r="342" spans="1:1">
      <c r="A342" s="38"/>
    </row>
    <row r="343" spans="1:1">
      <c r="A343" s="38"/>
    </row>
    <row r="344" spans="1:1">
      <c r="A344" s="38"/>
    </row>
    <row r="345" spans="1:1">
      <c r="A345" s="38"/>
    </row>
    <row r="346" spans="1:1">
      <c r="A346" s="38"/>
    </row>
    <row r="347" spans="1:1">
      <c r="A347" s="38"/>
    </row>
    <row r="348" spans="1:1">
      <c r="A348" s="38"/>
    </row>
    <row r="349" spans="1:1">
      <c r="A349" s="38"/>
    </row>
    <row r="350" spans="1:1">
      <c r="A350" s="38"/>
    </row>
    <row r="351" spans="1:1">
      <c r="A351" s="38"/>
    </row>
    <row r="352" spans="1:1">
      <c r="A352" s="38"/>
    </row>
    <row r="353" spans="1:1">
      <c r="A353" s="38"/>
    </row>
    <row r="354" spans="1:1">
      <c r="A354" s="38"/>
    </row>
    <row r="355" spans="1:1">
      <c r="A355" s="38"/>
    </row>
    <row r="356" spans="1:1">
      <c r="A356" s="38"/>
    </row>
    <row r="357" spans="1:1">
      <c r="A357" s="38"/>
    </row>
    <row r="358" spans="1:1">
      <c r="A358" s="38"/>
    </row>
    <row r="359" spans="1:1">
      <c r="A359" s="38"/>
    </row>
    <row r="360" spans="1:1">
      <c r="A360" s="38"/>
    </row>
    <row r="361" spans="1:1">
      <c r="A361" s="38"/>
    </row>
    <row r="362" spans="1:1">
      <c r="A362" s="38"/>
    </row>
    <row r="363" spans="1:1">
      <c r="A363" s="38"/>
    </row>
    <row r="364" spans="1:1">
      <c r="A364" s="38"/>
    </row>
  </sheetData>
  <pageMargins left="0.7" right="0.7" top="0.75" bottom="0.75" header="0.3" footer="0.3"/>
  <pageSetup scale="78" orientation="portrait" r:id="rId1"/>
  <headerFooter>
    <oddHeader>&amp;RKPSC Case No. 2025-00257
SECTION V-Application
Exhibit 1
&amp;Pof&amp;N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8"/>
  <sheetViews>
    <sheetView view="pageBreakPreview" zoomScale="120" zoomScaleNormal="100" zoomScaleSheetLayoutView="120" workbookViewId="0">
      <pane ySplit="6" topLeftCell="A7" activePane="bottomLeft" state="frozen"/>
      <selection activeCell="C26" sqref="C26"/>
      <selection pane="bottomLeft" activeCell="E20" sqref="E20"/>
    </sheetView>
  </sheetViews>
  <sheetFormatPr defaultColWidth="9.1796875" defaultRowHeight="12.5"/>
  <cols>
    <col min="1" max="1" width="4.453125" style="384" bestFit="1" customWidth="1"/>
    <col min="2" max="2" width="2.26953125" style="83" customWidth="1"/>
    <col min="3" max="3" width="56.1796875" style="83" bestFit="1" customWidth="1"/>
    <col min="4" max="4" width="5.7265625" style="228" customWidth="1"/>
    <col min="5" max="5" width="15" style="83" bestFit="1" customWidth="1"/>
    <col min="6" max="6" width="9.1796875" style="83"/>
    <col min="7" max="7" width="15.1796875" style="83" bestFit="1" customWidth="1"/>
    <col min="8" max="16384" width="9.1796875" style="83"/>
  </cols>
  <sheetData>
    <row r="1" spans="1:7">
      <c r="C1" s="384" t="s">
        <v>330</v>
      </c>
      <c r="E1" s="95" t="s">
        <v>542</v>
      </c>
    </row>
    <row r="2" spans="1:7">
      <c r="C2" s="380" t="s">
        <v>858</v>
      </c>
      <c r="E2" s="95" t="s">
        <v>543</v>
      </c>
    </row>
    <row r="3" spans="1:7">
      <c r="C3" s="380" t="s">
        <v>1019</v>
      </c>
    </row>
    <row r="4" spans="1:7">
      <c r="D4" s="380"/>
    </row>
    <row r="5" spans="1:7" ht="37.5">
      <c r="A5" s="98" t="s">
        <v>544</v>
      </c>
      <c r="C5" s="384" t="s">
        <v>7</v>
      </c>
      <c r="D5" s="380"/>
      <c r="E5" s="98" t="s">
        <v>545</v>
      </c>
    </row>
    <row r="6" spans="1:7">
      <c r="A6" s="248">
        <v>-1</v>
      </c>
      <c r="C6" s="102">
        <f>+A6-1</f>
        <v>-2</v>
      </c>
      <c r="D6" s="380"/>
      <c r="E6" s="102">
        <f>+C6-1</f>
        <v>-3</v>
      </c>
    </row>
    <row r="7" spans="1:7">
      <c r="A7" s="102"/>
    </row>
    <row r="8" spans="1:7">
      <c r="A8" s="102">
        <v>1</v>
      </c>
      <c r="C8" s="83" t="s">
        <v>956</v>
      </c>
      <c r="E8" s="104">
        <f ca="1">'Sch 1'!I37</f>
        <v>1872259309.9168518</v>
      </c>
    </row>
    <row r="9" spans="1:7">
      <c r="A9" s="102"/>
      <c r="E9" s="104"/>
    </row>
    <row r="10" spans="1:7" ht="13">
      <c r="A10" s="102">
        <f>+A8+1</f>
        <v>2</v>
      </c>
      <c r="C10" s="83" t="s">
        <v>541</v>
      </c>
      <c r="E10" s="109">
        <f>+'2 P1'!K17</f>
        <v>7.5740000000000002E-2</v>
      </c>
    </row>
    <row r="11" spans="1:7">
      <c r="A11" s="102"/>
      <c r="E11" s="249" t="s">
        <v>546</v>
      </c>
    </row>
    <row r="12" spans="1:7" ht="11.25" customHeight="1">
      <c r="A12" s="102">
        <f>+A10+1</f>
        <v>3</v>
      </c>
      <c r="C12" s="83" t="s">
        <v>547</v>
      </c>
      <c r="E12" s="104">
        <f ca="1">ROUND(E8*E10,0)</f>
        <v>141804920</v>
      </c>
      <c r="G12" s="247"/>
    </row>
    <row r="13" spans="1:7">
      <c r="A13" s="102"/>
      <c r="E13" s="108"/>
    </row>
    <row r="14" spans="1:7">
      <c r="A14" s="102">
        <f>+A12+1</f>
        <v>4</v>
      </c>
      <c r="C14" s="83" t="s">
        <v>874</v>
      </c>
      <c r="E14" s="104">
        <f>'Sch 4'!G41</f>
        <v>85570263.743827954</v>
      </c>
      <c r="G14" s="104"/>
    </row>
    <row r="15" spans="1:7">
      <c r="A15" s="102"/>
      <c r="E15" s="249" t="s">
        <v>546</v>
      </c>
    </row>
    <row r="16" spans="1:7">
      <c r="A16" s="102">
        <f>+A14+1</f>
        <v>5</v>
      </c>
      <c r="C16" s="83" t="s">
        <v>548</v>
      </c>
      <c r="E16" s="104">
        <f ca="1">+E12-E14</f>
        <v>56234656.256172046</v>
      </c>
      <c r="G16" s="247"/>
    </row>
    <row r="17" spans="1:7">
      <c r="A17" s="102"/>
      <c r="E17" s="108"/>
    </row>
    <row r="18" spans="1:7">
      <c r="A18" s="102">
        <f>+A16+1</f>
        <v>6</v>
      </c>
      <c r="C18" s="83" t="s">
        <v>549</v>
      </c>
      <c r="E18" s="320">
        <f>+'2 P2'!G25</f>
        <v>1.33849291</v>
      </c>
    </row>
    <row r="19" spans="1:7">
      <c r="A19" s="102"/>
      <c r="E19" s="249" t="s">
        <v>546</v>
      </c>
    </row>
    <row r="20" spans="1:7">
      <c r="A20" s="102">
        <f>+A18+1</f>
        <v>7</v>
      </c>
      <c r="C20" s="83" t="s">
        <v>550</v>
      </c>
      <c r="E20" s="104">
        <f ca="1">ROUND(E16*E18,0)</f>
        <v>75269689</v>
      </c>
      <c r="G20" s="104"/>
    </row>
    <row r="21" spans="1:7">
      <c r="A21" s="102"/>
      <c r="E21" s="249" t="s">
        <v>552</v>
      </c>
    </row>
    <row r="22" spans="1:7">
      <c r="A22" s="102"/>
      <c r="E22" s="321"/>
    </row>
    <row r="23" spans="1:7">
      <c r="A23" s="102"/>
      <c r="E23" s="229"/>
      <c r="G23" s="370"/>
    </row>
    <row r="24" spans="1:7">
      <c r="A24" s="102"/>
      <c r="E24" s="316"/>
      <c r="G24" s="322"/>
    </row>
    <row r="25" spans="1:7" ht="13">
      <c r="A25" s="102"/>
      <c r="E25" s="323"/>
    </row>
    <row r="26" spans="1:7">
      <c r="A26" s="102"/>
    </row>
    <row r="27" spans="1:7">
      <c r="A27" s="102"/>
    </row>
    <row r="28" spans="1:7">
      <c r="A28" s="102"/>
    </row>
    <row r="29" spans="1:7">
      <c r="A29" s="102"/>
    </row>
    <row r="30" spans="1:7">
      <c r="A30" s="102"/>
    </row>
    <row r="31" spans="1:7">
      <c r="A31" s="102"/>
    </row>
    <row r="32" spans="1:7">
      <c r="A32" s="102"/>
    </row>
    <row r="33" spans="1:1">
      <c r="A33" s="102"/>
    </row>
    <row r="34" spans="1:1">
      <c r="A34" s="102"/>
    </row>
    <row r="35" spans="1:1">
      <c r="A35" s="102"/>
    </row>
    <row r="36" spans="1:1">
      <c r="A36" s="102"/>
    </row>
    <row r="37" spans="1:1">
      <c r="A37" s="102"/>
    </row>
    <row r="38" spans="1:1">
      <c r="A38" s="102"/>
    </row>
    <row r="39" spans="1:1">
      <c r="A39" s="102"/>
    </row>
    <row r="40" spans="1:1">
      <c r="A40" s="102"/>
    </row>
    <row r="41" spans="1:1">
      <c r="A41" s="102"/>
    </row>
    <row r="45" spans="1:1" ht="13">
      <c r="A45" s="196"/>
    </row>
    <row r="46" spans="1:1" ht="13">
      <c r="A46" s="196"/>
    </row>
    <row r="47" spans="1:1" ht="13">
      <c r="A47" s="196"/>
    </row>
    <row r="48" spans="1:1" ht="13">
      <c r="A48" s="196"/>
    </row>
  </sheetData>
  <pageMargins left="0.7" right="0.7" top="0.75" bottom="0.75" header="0.3" footer="0.3"/>
  <pageSetup orientation="portrait" r:id="rId1"/>
  <headerFooter>
    <oddHeader>&amp;RKPSC Case No. 2025-00257
SECTION V-Application
Exhibit 1
&amp;Pof&amp;N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49"/>
  <sheetViews>
    <sheetView showGridLines="0" tabSelected="1" topLeftCell="A21" zoomScaleNormal="100" zoomScaleSheetLayoutView="130" workbookViewId="0">
      <selection activeCell="B26" sqref="B26"/>
    </sheetView>
  </sheetViews>
  <sheetFormatPr defaultColWidth="9.1796875" defaultRowHeight="12.5"/>
  <cols>
    <col min="1" max="1" width="4.7265625" style="83" customWidth="1"/>
    <col min="2" max="2" width="3.1796875" style="384" customWidth="1"/>
    <col min="3" max="3" width="29.7265625" style="83" bestFit="1" customWidth="1"/>
    <col min="4" max="4" width="2.7265625" style="83" customWidth="1"/>
    <col min="5" max="5" width="18.6328125" style="83" customWidth="1"/>
    <col min="6" max="6" width="2.6328125" style="83" customWidth="1"/>
    <col min="7" max="7" width="18.6328125" style="83" customWidth="1"/>
    <col min="8" max="8" width="2.6328125" style="83" customWidth="1"/>
    <col min="9" max="9" width="18.6328125" style="384" customWidth="1"/>
    <col min="10" max="10" width="2.6328125" style="384" customWidth="1"/>
    <col min="11" max="11" width="18.6328125" style="83" customWidth="1"/>
    <col min="12" max="12" width="2.6328125" style="83" customWidth="1"/>
    <col min="13" max="13" width="18.6328125" style="83" customWidth="1"/>
    <col min="14" max="14" width="2.7265625" style="83" customWidth="1"/>
    <col min="15" max="15" width="12.7265625" style="83" bestFit="1" customWidth="1"/>
    <col min="16" max="16" width="2.7265625" style="83" customWidth="1"/>
    <col min="17" max="17" width="13.7265625" style="83" bestFit="1" customWidth="1"/>
    <col min="18" max="18" width="2.7265625" style="83" customWidth="1"/>
    <col min="19" max="19" width="19" style="83" bestFit="1" customWidth="1"/>
    <col min="20" max="16384" width="9.1796875" style="83"/>
  </cols>
  <sheetData>
    <row r="1" spans="1:19">
      <c r="A1" s="487"/>
      <c r="B1" s="488"/>
      <c r="C1" s="487"/>
      <c r="D1" s="487"/>
      <c r="E1" s="487"/>
      <c r="F1" s="488" t="s">
        <v>330</v>
      </c>
      <c r="G1" s="487"/>
      <c r="H1" s="487"/>
      <c r="I1" s="488"/>
      <c r="J1" s="488"/>
      <c r="K1" s="489"/>
      <c r="L1" s="487"/>
    </row>
    <row r="2" spans="1:19">
      <c r="A2" s="487"/>
      <c r="B2" s="488"/>
      <c r="C2" s="487"/>
      <c r="D2" s="487"/>
      <c r="E2" s="487"/>
      <c r="F2" s="488" t="s">
        <v>1161</v>
      </c>
      <c r="G2" s="487"/>
      <c r="H2" s="487"/>
      <c r="I2" s="488"/>
      <c r="J2" s="488"/>
      <c r="K2" s="489"/>
      <c r="L2" s="487"/>
    </row>
    <row r="3" spans="1:19">
      <c r="A3" s="487"/>
      <c r="B3" s="488"/>
      <c r="C3" s="487"/>
      <c r="D3" s="487"/>
      <c r="E3" s="487"/>
      <c r="F3" s="488" t="s">
        <v>1019</v>
      </c>
      <c r="G3" s="487"/>
      <c r="H3" s="487"/>
      <c r="I3" s="488"/>
      <c r="J3" s="488"/>
      <c r="K3" s="489"/>
      <c r="L3" s="487"/>
    </row>
    <row r="4" spans="1:19">
      <c r="A4" s="487"/>
      <c r="B4" s="488"/>
      <c r="C4" s="487"/>
      <c r="D4" s="487"/>
      <c r="E4" s="487"/>
      <c r="F4" s="487"/>
      <c r="G4" s="487"/>
      <c r="H4" s="487"/>
      <c r="I4" s="488"/>
      <c r="J4" s="488"/>
      <c r="K4" s="487"/>
      <c r="L4" s="487"/>
    </row>
    <row r="5" spans="1:19">
      <c r="A5" s="487"/>
      <c r="B5" s="488"/>
      <c r="C5" s="487"/>
      <c r="D5" s="487"/>
      <c r="E5" s="488" t="s">
        <v>554</v>
      </c>
      <c r="F5" s="487"/>
      <c r="G5" s="487"/>
      <c r="H5" s="487"/>
      <c r="I5" s="488" t="s">
        <v>555</v>
      </c>
      <c r="J5" s="488"/>
      <c r="K5" s="488" t="s">
        <v>556</v>
      </c>
      <c r="L5" s="487"/>
    </row>
    <row r="6" spans="1:19">
      <c r="A6" s="488"/>
      <c r="B6" s="488"/>
      <c r="C6" s="488"/>
      <c r="D6" s="488"/>
      <c r="E6" s="488" t="s">
        <v>557</v>
      </c>
      <c r="F6" s="488"/>
      <c r="G6" s="488" t="s">
        <v>558</v>
      </c>
      <c r="H6" s="488"/>
      <c r="I6" s="488" t="s">
        <v>559</v>
      </c>
      <c r="J6" s="488"/>
      <c r="K6" s="488" t="s">
        <v>560</v>
      </c>
      <c r="L6" s="488"/>
      <c r="M6" s="384"/>
      <c r="N6" s="384"/>
      <c r="O6" s="384"/>
      <c r="P6" s="384"/>
      <c r="Q6" s="384"/>
      <c r="R6" s="384"/>
      <c r="S6" s="384"/>
    </row>
    <row r="7" spans="1:19">
      <c r="A7" s="488" t="s">
        <v>2</v>
      </c>
      <c r="B7" s="488"/>
      <c r="C7" s="488"/>
      <c r="D7" s="488"/>
      <c r="E7" s="488" t="s">
        <v>561</v>
      </c>
      <c r="F7" s="488"/>
      <c r="G7" s="488" t="s">
        <v>562</v>
      </c>
      <c r="H7" s="488"/>
      <c r="I7" s="488" t="s">
        <v>558</v>
      </c>
      <c r="J7" s="488"/>
      <c r="K7" s="488" t="s">
        <v>559</v>
      </c>
      <c r="L7" s="488"/>
      <c r="M7" s="384"/>
      <c r="N7" s="384"/>
      <c r="O7" s="384"/>
      <c r="P7" s="384"/>
      <c r="Q7" s="384"/>
      <c r="R7" s="384"/>
      <c r="S7" s="384"/>
    </row>
    <row r="8" spans="1:19">
      <c r="A8" s="490" t="s">
        <v>6</v>
      </c>
      <c r="B8" s="490"/>
      <c r="C8" s="490" t="s">
        <v>7</v>
      </c>
      <c r="D8" s="490"/>
      <c r="E8" s="490" t="s">
        <v>563</v>
      </c>
      <c r="F8" s="490"/>
      <c r="G8" s="490" t="s">
        <v>432</v>
      </c>
      <c r="H8" s="490"/>
      <c r="I8" s="490" t="s">
        <v>564</v>
      </c>
      <c r="J8" s="490"/>
      <c r="K8" s="490" t="s">
        <v>565</v>
      </c>
      <c r="L8" s="490"/>
      <c r="M8" s="385"/>
      <c r="N8" s="385"/>
      <c r="O8" s="385"/>
      <c r="P8" s="385"/>
      <c r="Q8" s="385"/>
      <c r="R8" s="385"/>
      <c r="S8" s="385"/>
    </row>
    <row r="9" spans="1:19">
      <c r="A9" s="491">
        <v>-1</v>
      </c>
      <c r="B9" s="491"/>
      <c r="C9" s="491">
        <v>-2</v>
      </c>
      <c r="D9" s="491"/>
      <c r="E9" s="491">
        <v>-3</v>
      </c>
      <c r="F9" s="491"/>
      <c r="G9" s="491">
        <v>-4</v>
      </c>
      <c r="H9" s="491"/>
      <c r="I9" s="491">
        <v>-5</v>
      </c>
      <c r="J9" s="491"/>
      <c r="K9" s="492" t="s">
        <v>566</v>
      </c>
      <c r="L9" s="491"/>
      <c r="M9" s="233"/>
      <c r="N9" s="233"/>
      <c r="O9" s="233"/>
      <c r="P9" s="233"/>
      <c r="Q9" s="233"/>
      <c r="R9" s="233"/>
      <c r="S9" s="233"/>
    </row>
    <row r="10" spans="1:19">
      <c r="A10" s="493"/>
      <c r="B10" s="491"/>
      <c r="C10" s="493"/>
      <c r="D10" s="493"/>
      <c r="E10" s="493"/>
      <c r="F10" s="493"/>
      <c r="G10" s="493"/>
      <c r="H10" s="493"/>
      <c r="I10" s="491"/>
      <c r="J10" s="491"/>
      <c r="K10" s="493"/>
      <c r="L10" s="493"/>
      <c r="M10" s="234"/>
      <c r="N10" s="234"/>
      <c r="O10" s="234"/>
      <c r="P10" s="234"/>
      <c r="Q10" s="234"/>
      <c r="R10" s="234"/>
      <c r="S10" s="234"/>
    </row>
    <row r="11" spans="1:19">
      <c r="A11" s="488">
        <v>1</v>
      </c>
      <c r="B11" s="488"/>
      <c r="C11" s="487" t="s">
        <v>567</v>
      </c>
      <c r="D11" s="487"/>
      <c r="E11" s="494">
        <f>'Sch 3'!AC13</f>
        <v>990515424.77592492</v>
      </c>
      <c r="F11" s="495"/>
      <c r="G11" s="496">
        <f>ROUND(E11/$E$17,5)</f>
        <v>0.53868000000000005</v>
      </c>
      <c r="H11" s="495"/>
      <c r="I11" s="497">
        <f>+'3 P1'!S37</f>
        <v>5.4899999999999997E-2</v>
      </c>
      <c r="J11" s="498" t="s">
        <v>568</v>
      </c>
      <c r="K11" s="496">
        <f>ROUND(G11*I11,4)</f>
        <v>2.9600000000000001E-2</v>
      </c>
      <c r="L11" s="495"/>
      <c r="M11" s="104"/>
      <c r="N11" s="104"/>
      <c r="O11" s="368"/>
      <c r="P11" s="104"/>
      <c r="Q11" s="104"/>
      <c r="R11" s="104"/>
      <c r="S11" s="104"/>
    </row>
    <row r="12" spans="1:19">
      <c r="A12" s="488"/>
      <c r="B12" s="488"/>
      <c r="C12" s="487"/>
      <c r="D12" s="487"/>
      <c r="E12" s="494"/>
      <c r="F12" s="495"/>
      <c r="G12" s="496"/>
      <c r="H12" s="495"/>
      <c r="I12" s="499"/>
      <c r="J12" s="498"/>
      <c r="K12" s="496"/>
      <c r="L12" s="495"/>
      <c r="M12" s="104"/>
      <c r="N12" s="104"/>
      <c r="O12" s="368"/>
      <c r="P12" s="104"/>
      <c r="Q12" s="104"/>
      <c r="R12" s="104"/>
      <c r="S12" s="104"/>
    </row>
    <row r="13" spans="1:19">
      <c r="A13" s="488">
        <v>2</v>
      </c>
      <c r="B13" s="488"/>
      <c r="C13" s="487" t="s">
        <v>569</v>
      </c>
      <c r="D13" s="487"/>
      <c r="E13" s="494">
        <v>4.0000000000000001E-3</v>
      </c>
      <c r="F13" s="500"/>
      <c r="G13" s="496">
        <f>ROUND(E13/$E$17,5)</f>
        <v>0</v>
      </c>
      <c r="H13" s="500"/>
      <c r="I13" s="497">
        <f>+'3 P2'!F41</f>
        <v>5.5E-2</v>
      </c>
      <c r="J13" s="498" t="s">
        <v>570</v>
      </c>
      <c r="K13" s="496">
        <f>ROUND(G13*I13,4)+0.00004</f>
        <v>4.0000000000000003E-5</v>
      </c>
      <c r="L13" s="500"/>
      <c r="M13" s="316">
        <f>+SUM(K11:K13)</f>
        <v>2.964E-2</v>
      </c>
      <c r="N13" s="38"/>
      <c r="O13" s="368"/>
      <c r="P13" s="38"/>
      <c r="Q13" s="38"/>
      <c r="R13" s="38"/>
      <c r="S13" s="38"/>
    </row>
    <row r="14" spans="1:19">
      <c r="A14" s="488"/>
      <c r="B14" s="488"/>
      <c r="C14" s="487"/>
      <c r="D14" s="487"/>
      <c r="E14" s="494"/>
      <c r="F14" s="500"/>
      <c r="G14" s="496"/>
      <c r="H14" s="500"/>
      <c r="I14" s="501"/>
      <c r="J14" s="498"/>
      <c r="K14" s="496"/>
      <c r="L14" s="500"/>
      <c r="M14" s="38"/>
      <c r="N14" s="38"/>
      <c r="O14" s="368"/>
      <c r="P14" s="38"/>
      <c r="Q14" s="38"/>
      <c r="R14" s="38"/>
      <c r="S14" s="38"/>
    </row>
    <row r="15" spans="1:19" ht="13">
      <c r="A15" s="488">
        <v>3</v>
      </c>
      <c r="B15" s="488"/>
      <c r="C15" s="487" t="s">
        <v>571</v>
      </c>
      <c r="D15" s="487"/>
      <c r="E15" s="494">
        <f>'Sch 3'!AC17</f>
        <v>848272358.74467504</v>
      </c>
      <c r="F15" s="500"/>
      <c r="G15" s="496">
        <f>ROUND(E15/$E$17,5)</f>
        <v>0.46132000000000001</v>
      </c>
      <c r="H15" s="500"/>
      <c r="I15" s="502">
        <v>0.1</v>
      </c>
      <c r="J15" s="498" t="s">
        <v>1012</v>
      </c>
      <c r="K15" s="496">
        <f>ROUND(G15*I15,4)</f>
        <v>4.6100000000000002E-2</v>
      </c>
      <c r="L15" s="500"/>
      <c r="M15" s="38"/>
      <c r="N15" s="38"/>
      <c r="O15" s="368"/>
      <c r="P15" s="38"/>
      <c r="Q15" s="38"/>
      <c r="R15" s="38"/>
      <c r="S15" s="38"/>
    </row>
    <row r="16" spans="1:19">
      <c r="A16" s="488"/>
      <c r="B16" s="488"/>
      <c r="C16" s="487"/>
      <c r="D16" s="487"/>
      <c r="E16" s="503" t="s">
        <v>572</v>
      </c>
      <c r="F16" s="499"/>
      <c r="G16" s="498" t="s">
        <v>572</v>
      </c>
      <c r="H16" s="499"/>
      <c r="I16" s="498"/>
      <c r="J16" s="498"/>
      <c r="K16" s="504" t="s">
        <v>572</v>
      </c>
      <c r="L16" s="499"/>
      <c r="M16" s="380"/>
      <c r="N16" s="232"/>
      <c r="O16" s="368"/>
      <c r="P16" s="232"/>
      <c r="Q16" s="380"/>
      <c r="R16" s="232"/>
      <c r="S16" s="105"/>
    </row>
    <row r="17" spans="1:19" ht="13">
      <c r="A17" s="488">
        <v>4</v>
      </c>
      <c r="B17" s="488"/>
      <c r="C17" s="487" t="s">
        <v>432</v>
      </c>
      <c r="D17" s="487"/>
      <c r="E17" s="494">
        <f>SUM(E11:E15)</f>
        <v>1838787783.5246</v>
      </c>
      <c r="F17" s="500"/>
      <c r="G17" s="496">
        <f>SUM(G11:G16)</f>
        <v>1</v>
      </c>
      <c r="H17" s="500"/>
      <c r="I17" s="501"/>
      <c r="J17" s="498"/>
      <c r="K17" s="505">
        <f>SUM(K11:K15)</f>
        <v>7.5740000000000002E-2</v>
      </c>
      <c r="L17" s="500"/>
      <c r="M17" s="230"/>
      <c r="N17" s="38"/>
      <c r="O17" s="367"/>
      <c r="P17" s="38"/>
      <c r="Q17" s="38"/>
      <c r="R17" s="38"/>
      <c r="S17" s="38"/>
    </row>
    <row r="18" spans="1:19">
      <c r="A18" s="488"/>
      <c r="B18" s="488"/>
      <c r="C18" s="487"/>
      <c r="D18" s="487"/>
      <c r="E18" s="498" t="s">
        <v>573</v>
      </c>
      <c r="F18" s="500"/>
      <c r="G18" s="498" t="s">
        <v>573</v>
      </c>
      <c r="H18" s="500"/>
      <c r="I18" s="501"/>
      <c r="J18" s="498"/>
      <c r="K18" s="498" t="s">
        <v>573</v>
      </c>
      <c r="L18" s="500"/>
      <c r="M18" s="38"/>
      <c r="N18" s="38"/>
      <c r="O18" s="38"/>
      <c r="P18" s="38"/>
      <c r="Q18" s="38"/>
      <c r="R18" s="38"/>
      <c r="S18" s="38"/>
    </row>
    <row r="19" spans="1:19">
      <c r="A19" s="488"/>
      <c r="B19" s="488"/>
      <c r="C19" s="487"/>
      <c r="D19" s="487"/>
      <c r="E19" s="500"/>
      <c r="F19" s="500"/>
      <c r="G19" s="496"/>
      <c r="H19" s="500"/>
      <c r="I19" s="501"/>
      <c r="J19" s="501"/>
      <c r="K19" s="500"/>
      <c r="L19" s="500"/>
      <c r="M19" s="38"/>
      <c r="N19" s="38"/>
      <c r="O19" s="38"/>
      <c r="P19" s="38"/>
      <c r="Q19" s="38"/>
      <c r="R19" s="38"/>
      <c r="S19" s="38"/>
    </row>
    <row r="20" spans="1:19">
      <c r="A20" s="488"/>
      <c r="B20" s="488"/>
      <c r="C20" s="487"/>
      <c r="D20" s="487"/>
      <c r="E20" s="498"/>
      <c r="F20" s="499"/>
      <c r="G20" s="506"/>
      <c r="H20" s="499"/>
      <c r="I20" s="498"/>
      <c r="J20" s="499"/>
      <c r="K20" s="498"/>
      <c r="L20" s="499"/>
      <c r="M20" s="380"/>
      <c r="N20" s="232"/>
      <c r="O20" s="380"/>
      <c r="P20" s="232"/>
      <c r="Q20" s="380"/>
      <c r="R20" s="232"/>
      <c r="S20" s="105"/>
    </row>
    <row r="21" spans="1:19">
      <c r="A21" s="488"/>
      <c r="B21" s="498" t="s">
        <v>574</v>
      </c>
      <c r="C21" s="487" t="s">
        <v>1159</v>
      </c>
      <c r="D21" s="487"/>
      <c r="E21" s="495"/>
      <c r="F21" s="495"/>
      <c r="G21" s="507"/>
      <c r="H21" s="495"/>
      <c r="I21" s="499"/>
      <c r="J21" s="499"/>
      <c r="K21" s="495"/>
      <c r="L21" s="495"/>
      <c r="M21" s="104"/>
      <c r="N21" s="104"/>
      <c r="O21" s="104"/>
      <c r="P21" s="104"/>
      <c r="Q21" s="104"/>
      <c r="R21" s="104"/>
      <c r="S21" s="104"/>
    </row>
    <row r="22" spans="1:19">
      <c r="A22" s="488"/>
      <c r="B22" s="498" t="s">
        <v>568</v>
      </c>
      <c r="C22" s="487" t="s">
        <v>1160</v>
      </c>
      <c r="D22" s="487"/>
      <c r="E22" s="498"/>
      <c r="F22" s="488"/>
      <c r="G22" s="498"/>
      <c r="H22" s="488"/>
      <c r="I22" s="498"/>
      <c r="J22" s="488"/>
      <c r="K22" s="498"/>
      <c r="L22" s="488"/>
      <c r="M22" s="380"/>
      <c r="N22" s="384"/>
      <c r="O22" s="380"/>
      <c r="P22" s="384"/>
      <c r="Q22" s="380"/>
      <c r="R22" s="384"/>
      <c r="S22" s="105"/>
    </row>
    <row r="23" spans="1:19">
      <c r="A23" s="488"/>
      <c r="B23" s="498" t="s">
        <v>570</v>
      </c>
      <c r="C23" s="487" t="s">
        <v>1064</v>
      </c>
      <c r="D23" s="487"/>
      <c r="E23" s="498"/>
      <c r="F23" s="488"/>
      <c r="G23" s="498"/>
      <c r="H23" s="488"/>
      <c r="I23" s="498"/>
      <c r="J23" s="488"/>
      <c r="K23" s="498"/>
      <c r="L23" s="488"/>
      <c r="M23" s="481"/>
      <c r="N23" s="482"/>
      <c r="O23" s="481"/>
      <c r="P23" s="482"/>
      <c r="Q23" s="481"/>
      <c r="R23" s="482"/>
      <c r="S23" s="105"/>
    </row>
    <row r="24" spans="1:19">
      <c r="A24" s="488"/>
      <c r="B24" s="498" t="s">
        <v>1012</v>
      </c>
      <c r="C24" s="487" t="s">
        <v>1162</v>
      </c>
      <c r="D24" s="487"/>
      <c r="E24" s="508"/>
      <c r="F24" s="487"/>
      <c r="G24" s="487"/>
      <c r="H24" s="487"/>
      <c r="I24" s="488"/>
      <c r="J24" s="488"/>
      <c r="K24" s="487"/>
      <c r="L24" s="487"/>
    </row>
    <row r="25" spans="1:19">
      <c r="A25" s="384"/>
      <c r="B25" s="380"/>
    </row>
    <row r="26" spans="1:19" ht="13">
      <c r="A26" s="384"/>
      <c r="B26" s="380"/>
      <c r="C26" s="3" t="s">
        <v>1183</v>
      </c>
      <c r="E26" s="254" t="s">
        <v>1174</v>
      </c>
      <c r="F26" s="254"/>
      <c r="G26" s="254" t="s">
        <v>1176</v>
      </c>
      <c r="H26" s="254"/>
      <c r="I26" s="254" t="s">
        <v>1177</v>
      </c>
      <c r="J26" s="254"/>
      <c r="K26" s="254" t="s">
        <v>1179</v>
      </c>
      <c r="L26" s="254"/>
      <c r="M26" s="254" t="s">
        <v>1185</v>
      </c>
    </row>
    <row r="27" spans="1:19" ht="13">
      <c r="B27" s="380"/>
      <c r="C27" s="3" t="s">
        <v>1184</v>
      </c>
      <c r="E27" s="254" t="s">
        <v>1175</v>
      </c>
      <c r="F27" s="254"/>
      <c r="G27" s="254" t="s">
        <v>1175</v>
      </c>
      <c r="H27" s="254"/>
      <c r="I27" s="254" t="s">
        <v>1178</v>
      </c>
      <c r="J27" s="254"/>
      <c r="K27" s="254" t="s">
        <v>1180</v>
      </c>
      <c r="L27" s="254"/>
      <c r="M27" s="254" t="s">
        <v>1181</v>
      </c>
    </row>
    <row r="28" spans="1:19">
      <c r="B28" s="485"/>
      <c r="C28" s="245">
        <f t="shared" ref="C28:C33" si="0">E28-$E$35</f>
        <v>-6.1320000000000041E-2</v>
      </c>
      <c r="E28" s="107">
        <f t="shared" ref="E28" si="1">E29-1%</f>
        <v>0.39999999999999997</v>
      </c>
      <c r="G28" s="107">
        <f t="shared" ref="G28" si="2">100%-E28</f>
        <v>0.60000000000000009</v>
      </c>
      <c r="H28" s="486"/>
      <c r="I28" s="250">
        <f t="shared" ref="I28" si="3">E28*$I$15+G28*$I$11</f>
        <v>7.2940000000000005E-2</v>
      </c>
      <c r="J28" s="486"/>
      <c r="K28" s="104">
        <f ca="1">('Sch 2'!$E$8*I28-'Sch 2'!$E$14)*'Sch 2'!$E$18</f>
        <v>68252872.599715456</v>
      </c>
      <c r="M28" s="104">
        <f ca="1">ROUND(K28-'Sch 2'!$E$20,0)</f>
        <v>-7016816</v>
      </c>
    </row>
    <row r="29" spans="1:19">
      <c r="B29" s="380"/>
      <c r="C29" s="245">
        <f t="shared" si="0"/>
        <v>-5.1320000000000032E-2</v>
      </c>
      <c r="E29" s="107">
        <f t="shared" ref="E29" si="4">E30-1%</f>
        <v>0.41</v>
      </c>
      <c r="G29" s="107">
        <f t="shared" ref="G29" si="5">100%-E29</f>
        <v>0.59000000000000008</v>
      </c>
      <c r="H29" s="486"/>
      <c r="I29" s="250">
        <f t="shared" ref="I29" si="6">E29*$I$15+G29*$I$11</f>
        <v>7.3391000000000012E-2</v>
      </c>
      <c r="K29" s="104">
        <f ca="1">('Sch 2'!$E$8*I29-'Sch 2'!$E$14)*'Sch 2'!$E$18</f>
        <v>69383081.220929816</v>
      </c>
      <c r="M29" s="104">
        <f ca="1">ROUND(K29-'Sch 2'!$E$20,0)</f>
        <v>-5886608</v>
      </c>
    </row>
    <row r="30" spans="1:19">
      <c r="B30" s="380"/>
      <c r="C30" s="245">
        <f t="shared" si="0"/>
        <v>-4.1320000000000023E-2</v>
      </c>
      <c r="E30" s="107">
        <f t="shared" ref="E30:E33" si="7">E31-1%</f>
        <v>0.42</v>
      </c>
      <c r="G30" s="107">
        <f t="shared" ref="G30:G33" si="8">100%-E30</f>
        <v>0.58000000000000007</v>
      </c>
      <c r="H30" s="486"/>
      <c r="I30" s="250">
        <f t="shared" ref="I30:I33" si="9">E30*$I$15+G30*$I$11</f>
        <v>7.3842000000000005E-2</v>
      </c>
      <c r="K30" s="104">
        <f ca="1">('Sch 2'!$E$8*I30-'Sch 2'!$E$14)*'Sch 2'!$E$18</f>
        <v>70513289.842144117</v>
      </c>
      <c r="M30" s="104">
        <f ca="1">ROUND(K30-'Sch 2'!$E$20,0)</f>
        <v>-4756399</v>
      </c>
    </row>
    <row r="31" spans="1:19">
      <c r="B31" s="380"/>
      <c r="C31" s="245">
        <f t="shared" si="0"/>
        <v>-3.1320000000000014E-2</v>
      </c>
      <c r="E31" s="107">
        <f t="shared" si="7"/>
        <v>0.43</v>
      </c>
      <c r="G31" s="107">
        <f t="shared" si="8"/>
        <v>0.57000000000000006</v>
      </c>
      <c r="H31" s="486"/>
      <c r="I31" s="250">
        <f t="shared" si="9"/>
        <v>7.4292999999999998E-2</v>
      </c>
      <c r="K31" s="104">
        <f ca="1">('Sch 2'!$E$8*I31-'Sch 2'!$E$14)*'Sch 2'!$E$18</f>
        <v>71643498.463358447</v>
      </c>
      <c r="M31" s="104">
        <f ca="1">ROUND(K31-'Sch 2'!$E$20,0)</f>
        <v>-3626191</v>
      </c>
    </row>
    <row r="32" spans="1:19">
      <c r="B32" s="380"/>
      <c r="C32" s="245">
        <f t="shared" si="0"/>
        <v>-2.1320000000000006E-2</v>
      </c>
      <c r="E32" s="107">
        <f t="shared" si="7"/>
        <v>0.44</v>
      </c>
      <c r="G32" s="107">
        <f t="shared" si="8"/>
        <v>0.56000000000000005</v>
      </c>
      <c r="H32" s="486"/>
      <c r="I32" s="250">
        <f t="shared" si="9"/>
        <v>7.4744000000000005E-2</v>
      </c>
      <c r="K32" s="104">
        <f ca="1">('Sch 2'!$E$8*I32-'Sch 2'!$E$14)*'Sch 2'!$E$18</f>
        <v>72773707.084572822</v>
      </c>
      <c r="M32" s="104">
        <f ca="1">ROUND(K32-'Sch 2'!$E$20,0)</f>
        <v>-2495982</v>
      </c>
    </row>
    <row r="33" spans="3:13">
      <c r="C33" s="245">
        <f t="shared" si="0"/>
        <v>-1.1319999999999997E-2</v>
      </c>
      <c r="E33" s="107">
        <f t="shared" si="7"/>
        <v>0.45</v>
      </c>
      <c r="G33" s="107">
        <f t="shared" si="8"/>
        <v>0.55000000000000004</v>
      </c>
      <c r="H33" s="486"/>
      <c r="I33" s="250">
        <f t="shared" si="9"/>
        <v>7.5195000000000012E-2</v>
      </c>
      <c r="K33" s="104">
        <f ca="1">('Sch 2'!$E$8*I33-'Sch 2'!$E$14)*'Sch 2'!$E$18</f>
        <v>73903915.705787182</v>
      </c>
      <c r="M33" s="104">
        <f ca="1">ROUND(K33-'Sch 2'!$E$20,0)</f>
        <v>-1365773</v>
      </c>
    </row>
    <row r="34" spans="3:13">
      <c r="C34" s="245">
        <f>E34-$E$35</f>
        <v>-1.3199999999999878E-3</v>
      </c>
      <c r="E34" s="107">
        <v>0.46</v>
      </c>
      <c r="G34" s="107">
        <f>100%-E34</f>
        <v>0.54</v>
      </c>
      <c r="H34" s="384"/>
      <c r="I34" s="250">
        <f>E34*$I$15+G34*$I$11</f>
        <v>7.5646000000000005E-2</v>
      </c>
      <c r="K34" s="104">
        <f ca="1">('Sch 2'!$E$8*I34-'Sch 2'!$E$14)*'Sch 2'!$E$18</f>
        <v>75034124.327001512</v>
      </c>
      <c r="M34" s="104">
        <f ca="1">ROUND(K34-'Sch 2'!$E$20,0)</f>
        <v>-235565</v>
      </c>
    </row>
    <row r="35" spans="3:13" ht="13">
      <c r="C35" s="510" t="s">
        <v>1182</v>
      </c>
      <c r="D35" s="22"/>
      <c r="E35" s="511">
        <f>G15</f>
        <v>0.46132000000000001</v>
      </c>
      <c r="F35" s="13"/>
      <c r="G35" s="511">
        <f>G11</f>
        <v>0.53868000000000005</v>
      </c>
      <c r="H35" s="512"/>
      <c r="I35" s="513">
        <f>K17</f>
        <v>7.5740000000000002E-2</v>
      </c>
      <c r="J35" s="512"/>
      <c r="K35" s="514">
        <f ca="1">('Sch 2'!$E$8*I35-'Sch 2'!$E$14)*'Sch 2'!$E$18</f>
        <v>75269688.873329997</v>
      </c>
      <c r="L35" s="13"/>
      <c r="M35" s="514">
        <f ca="1">ROUND(K35-'Sch 2'!$E$20,0)</f>
        <v>0</v>
      </c>
    </row>
    <row r="36" spans="3:13">
      <c r="C36" s="509">
        <f>E36-$E$35</f>
        <v>8.6799999999999655E-3</v>
      </c>
      <c r="E36" s="107">
        <v>0.47</v>
      </c>
      <c r="G36" s="107">
        <f>100%-E36</f>
        <v>0.53</v>
      </c>
      <c r="H36" s="486"/>
      <c r="I36" s="250">
        <f>E36*$I$15+G36*$I$11</f>
        <v>7.6096999999999998E-2</v>
      </c>
      <c r="K36" s="104">
        <f ca="1">('Sch 2'!$E$8*I36-'Sch 2'!$E$14)*'Sch 2'!$E$18</f>
        <v>76164332.948215842</v>
      </c>
      <c r="M36" s="104">
        <f ca="1">ROUND(K36-'Sch 2'!$E$20,0)</f>
        <v>894644</v>
      </c>
    </row>
    <row r="37" spans="3:13">
      <c r="C37" s="509">
        <f t="shared" ref="C37:C49" si="10">E37-$E$35</f>
        <v>1.8679999999999974E-2</v>
      </c>
      <c r="E37" s="107">
        <f t="shared" ref="E37:E41" si="11">E36+1%</f>
        <v>0.48</v>
      </c>
      <c r="G37" s="107">
        <f t="shared" ref="G37:G41" si="12">100%-E37</f>
        <v>0.52</v>
      </c>
      <c r="H37" s="486"/>
      <c r="I37" s="250">
        <f t="shared" ref="I37:I41" si="13">E37*$I$15+G37*$I$11</f>
        <v>7.6548000000000005E-2</v>
      </c>
      <c r="K37" s="104">
        <f ca="1">('Sch 2'!$E$8*I37-'Sch 2'!$E$14)*'Sch 2'!$E$18</f>
        <v>77294541.569430172</v>
      </c>
      <c r="M37" s="104">
        <f ca="1">ROUND(K37-'Sch 2'!$E$20,0)</f>
        <v>2024853</v>
      </c>
    </row>
    <row r="38" spans="3:13">
      <c r="C38" s="509">
        <f t="shared" si="10"/>
        <v>2.8679999999999983E-2</v>
      </c>
      <c r="E38" s="107">
        <f t="shared" si="11"/>
        <v>0.49</v>
      </c>
      <c r="G38" s="107">
        <f t="shared" si="12"/>
        <v>0.51</v>
      </c>
      <c r="H38" s="486"/>
      <c r="I38" s="250">
        <f t="shared" si="13"/>
        <v>7.6998999999999998E-2</v>
      </c>
      <c r="K38" s="104">
        <f ca="1">('Sch 2'!$E$8*I38-'Sch 2'!$E$14)*'Sch 2'!$E$18</f>
        <v>78424750.190644518</v>
      </c>
      <c r="M38" s="104">
        <f ca="1">ROUND(K38-'Sch 2'!$E$20,0)</f>
        <v>3155061</v>
      </c>
    </row>
    <row r="39" spans="3:13">
      <c r="C39" s="509">
        <f t="shared" si="10"/>
        <v>3.8679999999999992E-2</v>
      </c>
      <c r="E39" s="107">
        <f t="shared" si="11"/>
        <v>0.5</v>
      </c>
      <c r="G39" s="107">
        <f t="shared" si="12"/>
        <v>0.5</v>
      </c>
      <c r="H39" s="486"/>
      <c r="I39" s="250">
        <f t="shared" si="13"/>
        <v>7.7450000000000005E-2</v>
      </c>
      <c r="K39" s="104">
        <f ca="1">('Sch 2'!$E$8*I39-'Sch 2'!$E$14)*'Sch 2'!$E$18</f>
        <v>79554958.811858878</v>
      </c>
      <c r="M39" s="104">
        <f ca="1">ROUND(K39-'Sch 2'!$E$20,0)</f>
        <v>4285270</v>
      </c>
    </row>
    <row r="40" spans="3:13">
      <c r="C40" s="509">
        <f t="shared" si="10"/>
        <v>4.8680000000000001E-2</v>
      </c>
      <c r="E40" s="107">
        <f t="shared" si="11"/>
        <v>0.51</v>
      </c>
      <c r="G40" s="107">
        <f t="shared" si="12"/>
        <v>0.49</v>
      </c>
      <c r="H40" s="486"/>
      <c r="I40" s="250">
        <f t="shared" si="13"/>
        <v>7.7900999999999998E-2</v>
      </c>
      <c r="K40" s="104">
        <f ca="1">('Sch 2'!$E$8*I40-'Sch 2'!$E$14)*'Sch 2'!$E$18</f>
        <v>80685167.433073208</v>
      </c>
      <c r="M40" s="104">
        <f ca="1">ROUND(K40-'Sch 2'!$E$20,0)</f>
        <v>5415478</v>
      </c>
    </row>
    <row r="41" spans="3:13">
      <c r="C41" s="509">
        <f t="shared" si="10"/>
        <v>5.868000000000001E-2</v>
      </c>
      <c r="E41" s="107">
        <f t="shared" si="11"/>
        <v>0.52</v>
      </c>
      <c r="G41" s="107">
        <f t="shared" si="12"/>
        <v>0.48</v>
      </c>
      <c r="H41" s="486"/>
      <c r="I41" s="250">
        <f t="shared" si="13"/>
        <v>7.8352000000000005E-2</v>
      </c>
      <c r="K41" s="104">
        <f ca="1">('Sch 2'!$E$8*I41-'Sch 2'!$E$14)*'Sch 2'!$E$18</f>
        <v>81815376.054287583</v>
      </c>
      <c r="M41" s="104">
        <f ca="1">ROUND(K41-'Sch 2'!$E$20,0)</f>
        <v>6545687</v>
      </c>
    </row>
    <row r="42" spans="3:13">
      <c r="C42" s="509">
        <f t="shared" si="10"/>
        <v>6.8680000000000019E-2</v>
      </c>
      <c r="E42" s="107">
        <f t="shared" ref="E42:E47" si="14">E41+1%</f>
        <v>0.53</v>
      </c>
      <c r="G42" s="107">
        <f t="shared" ref="G42:G47" si="15">100%-E42</f>
        <v>0.47</v>
      </c>
      <c r="H42" s="486"/>
      <c r="I42" s="250">
        <f t="shared" ref="I42:I47" si="16">E42*$I$15+G42*$I$11</f>
        <v>7.8802999999999998E-2</v>
      </c>
      <c r="J42" s="486"/>
      <c r="K42" s="104">
        <f ca="1">('Sch 2'!$E$8*I42-'Sch 2'!$E$14)*'Sch 2'!$E$18</f>
        <v>82945584.675501913</v>
      </c>
      <c r="M42" s="104">
        <f ca="1">ROUND(K42-'Sch 2'!$E$20,0)</f>
        <v>7675896</v>
      </c>
    </row>
    <row r="43" spans="3:13">
      <c r="C43" s="509">
        <f t="shared" si="10"/>
        <v>7.8680000000000028E-2</v>
      </c>
      <c r="E43" s="107">
        <f t="shared" si="14"/>
        <v>0.54</v>
      </c>
      <c r="G43" s="107">
        <f t="shared" si="15"/>
        <v>0.45999999999999996</v>
      </c>
      <c r="H43" s="486"/>
      <c r="I43" s="250">
        <f t="shared" si="16"/>
        <v>7.9254000000000005E-2</v>
      </c>
      <c r="J43" s="486"/>
      <c r="K43" s="104">
        <f ca="1">('Sch 2'!$E$8*I43-'Sch 2'!$E$14)*'Sch 2'!$E$18</f>
        <v>84075793.296716243</v>
      </c>
      <c r="M43" s="104">
        <f ca="1">ROUND(K43-'Sch 2'!$E$20,0)</f>
        <v>8806104</v>
      </c>
    </row>
    <row r="44" spans="3:13">
      <c r="C44" s="509">
        <f t="shared" si="10"/>
        <v>8.8680000000000037E-2</v>
      </c>
      <c r="E44" s="107">
        <f t="shared" si="14"/>
        <v>0.55000000000000004</v>
      </c>
      <c r="G44" s="107">
        <f t="shared" si="15"/>
        <v>0.44999999999999996</v>
      </c>
      <c r="H44" s="486"/>
      <c r="I44" s="250">
        <f t="shared" si="16"/>
        <v>7.9704999999999998E-2</v>
      </c>
      <c r="J44" s="486"/>
      <c r="K44" s="104">
        <f ca="1">('Sch 2'!$E$8*I44-'Sch 2'!$E$14)*'Sch 2'!$E$18</f>
        <v>85206001.917930573</v>
      </c>
      <c r="M44" s="104">
        <f ca="1">ROUND(K44-'Sch 2'!$E$20,0)</f>
        <v>9936313</v>
      </c>
    </row>
    <row r="45" spans="3:13">
      <c r="C45" s="509">
        <f t="shared" si="10"/>
        <v>9.8680000000000045E-2</v>
      </c>
      <c r="E45" s="107">
        <f t="shared" si="14"/>
        <v>0.56000000000000005</v>
      </c>
      <c r="G45" s="107">
        <f t="shared" si="15"/>
        <v>0.43999999999999995</v>
      </c>
      <c r="H45" s="486"/>
      <c r="I45" s="250">
        <f t="shared" si="16"/>
        <v>8.0156000000000005E-2</v>
      </c>
      <c r="J45" s="486"/>
      <c r="K45" s="104">
        <f ca="1">('Sch 2'!$E$8*I45-'Sch 2'!$E$14)*'Sch 2'!$E$18</f>
        <v>86336210.539144948</v>
      </c>
      <c r="M45" s="104">
        <f ca="1">ROUND(K45-'Sch 2'!$E$20,0)</f>
        <v>11066522</v>
      </c>
    </row>
    <row r="46" spans="3:13">
      <c r="C46" s="509">
        <f t="shared" si="10"/>
        <v>0.10868000000000005</v>
      </c>
      <c r="E46" s="107">
        <f t="shared" si="14"/>
        <v>0.57000000000000006</v>
      </c>
      <c r="G46" s="107">
        <f t="shared" si="15"/>
        <v>0.42999999999999994</v>
      </c>
      <c r="H46" s="486"/>
      <c r="I46" s="250">
        <f t="shared" si="16"/>
        <v>8.0607000000000012E-2</v>
      </c>
      <c r="J46" s="486"/>
      <c r="K46" s="104">
        <f ca="1">('Sch 2'!$E$8*I46-'Sch 2'!$E$14)*'Sch 2'!$E$18</f>
        <v>87466419.160359323</v>
      </c>
      <c r="M46" s="104">
        <f ca="1">ROUND(K46-'Sch 2'!$E$20,0)</f>
        <v>12196730</v>
      </c>
    </row>
    <row r="47" spans="3:13">
      <c r="C47" s="509">
        <f t="shared" si="10"/>
        <v>0.11868000000000006</v>
      </c>
      <c r="E47" s="107">
        <f t="shared" si="14"/>
        <v>0.58000000000000007</v>
      </c>
      <c r="G47" s="107">
        <f t="shared" si="15"/>
        <v>0.41999999999999993</v>
      </c>
      <c r="H47" s="486"/>
      <c r="I47" s="250">
        <f t="shared" si="16"/>
        <v>8.1058000000000005E-2</v>
      </c>
      <c r="J47" s="486"/>
      <c r="K47" s="104">
        <f ca="1">('Sch 2'!$E$8*I47-'Sch 2'!$E$14)*'Sch 2'!$E$18</f>
        <v>88596627.781573653</v>
      </c>
      <c r="M47" s="104">
        <f ca="1">ROUND(K47-'Sch 2'!$E$20,0)</f>
        <v>13326939</v>
      </c>
    </row>
    <row r="48" spans="3:13">
      <c r="C48" s="509">
        <f t="shared" si="10"/>
        <v>0.12868000000000007</v>
      </c>
      <c r="E48" s="107">
        <f t="shared" ref="E48:E49" si="17">E47+1%</f>
        <v>0.59000000000000008</v>
      </c>
      <c r="G48" s="107">
        <f t="shared" ref="G48:G49" si="18">100%-E48</f>
        <v>0.40999999999999992</v>
      </c>
      <c r="H48" s="486"/>
      <c r="I48" s="250">
        <f t="shared" ref="I48:I49" si="19">E48*$I$15+G48*$I$11</f>
        <v>8.1508999999999998E-2</v>
      </c>
      <c r="J48" s="486"/>
      <c r="K48" s="104">
        <f ca="1">('Sch 2'!$E$8*I48-'Sch 2'!$E$14)*'Sch 2'!$E$18</f>
        <v>89726836.402787983</v>
      </c>
      <c r="M48" s="104">
        <f ca="1">ROUND(K48-'Sch 2'!$E$20,0)</f>
        <v>14457147</v>
      </c>
    </row>
    <row r="49" spans="3:13">
      <c r="C49" s="509">
        <f t="shared" si="10"/>
        <v>0.13868000000000008</v>
      </c>
      <c r="E49" s="107">
        <f t="shared" si="17"/>
        <v>0.60000000000000009</v>
      </c>
      <c r="G49" s="107">
        <f t="shared" si="18"/>
        <v>0.39999999999999991</v>
      </c>
      <c r="H49" s="486"/>
      <c r="I49" s="250">
        <f t="shared" si="19"/>
        <v>8.1960000000000005E-2</v>
      </c>
      <c r="J49" s="486"/>
      <c r="K49" s="104">
        <f ca="1">('Sch 2'!$E$8*I49-'Sch 2'!$E$14)*'Sch 2'!$E$18</f>
        <v>90857045.024002358</v>
      </c>
      <c r="M49" s="104">
        <f ca="1">ROUND(K49-'Sch 2'!$E$20,0)</f>
        <v>15587356</v>
      </c>
    </row>
  </sheetData>
  <pageMargins left="0.7" right="0.7" top="0.75" bottom="0.75" header="0.3" footer="0.3"/>
  <pageSetup scale="82" orientation="portrait" r:id="rId1"/>
  <headerFooter>
    <oddHeader>&amp;RKPSC Case No. 2025-00257
SECTION V-Application
Exhibit 1
&amp;Pof&amp;N</oddHeader>
  </headerFooter>
  <ignoredErrors>
    <ignoredError sqref="G35 I3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57"/>
  <sheetViews>
    <sheetView view="pageBreakPreview" zoomScaleNormal="100" zoomScaleSheetLayoutView="100" workbookViewId="0">
      <pane ySplit="7" topLeftCell="A23" activePane="bottomLeft" state="frozen"/>
      <selection activeCell="C26" sqref="C26"/>
      <selection pane="bottomLeft" activeCell="D40" sqref="D40"/>
    </sheetView>
  </sheetViews>
  <sheetFormatPr defaultColWidth="9.1796875" defaultRowHeight="12.5"/>
  <cols>
    <col min="1" max="1" width="4.453125" style="384" bestFit="1" customWidth="1"/>
    <col min="2" max="2" width="2.26953125" style="83" customWidth="1"/>
    <col min="3" max="3" width="42.54296875" style="83" bestFit="1" customWidth="1"/>
    <col min="4" max="4" width="8.7265625" style="228" customWidth="1"/>
    <col min="5" max="5" width="12.7265625" style="83" bestFit="1" customWidth="1"/>
    <col min="6" max="6" width="2.26953125" style="83" customWidth="1"/>
    <col min="7" max="7" width="20.453125" style="83" bestFit="1" customWidth="1"/>
    <col min="8" max="8" width="2.26953125" style="83" customWidth="1"/>
    <col min="9" max="16384" width="9.1796875" style="83"/>
  </cols>
  <sheetData>
    <row r="1" spans="1:7">
      <c r="C1" s="518" t="s">
        <v>330</v>
      </c>
      <c r="D1" s="519"/>
      <c r="E1" s="519"/>
      <c r="F1" s="381"/>
      <c r="G1" s="95" t="s">
        <v>542</v>
      </c>
    </row>
    <row r="2" spans="1:7">
      <c r="C2" s="518" t="s">
        <v>859</v>
      </c>
      <c r="D2" s="519"/>
      <c r="E2" s="519"/>
      <c r="F2" s="381"/>
      <c r="G2" s="95" t="s">
        <v>553</v>
      </c>
    </row>
    <row r="3" spans="1:7">
      <c r="C3" s="518" t="s">
        <v>860</v>
      </c>
      <c r="D3" s="519"/>
      <c r="E3" s="519"/>
      <c r="F3" s="381"/>
      <c r="G3" s="95" t="s">
        <v>575</v>
      </c>
    </row>
    <row r="4" spans="1:7">
      <c r="C4" s="518" t="s">
        <v>1019</v>
      </c>
      <c r="D4" s="519"/>
      <c r="E4" s="519"/>
      <c r="F4" s="381"/>
    </row>
    <row r="5" spans="1:7">
      <c r="D5" s="380"/>
    </row>
    <row r="6" spans="1:7" ht="37.5">
      <c r="A6" s="98" t="s">
        <v>544</v>
      </c>
      <c r="C6" s="384" t="s">
        <v>7</v>
      </c>
      <c r="D6" s="380"/>
      <c r="E6" s="98"/>
      <c r="F6" s="98"/>
      <c r="G6" s="98" t="s">
        <v>545</v>
      </c>
    </row>
    <row r="7" spans="1:7">
      <c r="A7" s="248">
        <v>-1</v>
      </c>
      <c r="C7" s="102">
        <f>+A7-1</f>
        <v>-2</v>
      </c>
      <c r="D7" s="380"/>
      <c r="E7" s="102"/>
      <c r="F7" s="102"/>
      <c r="G7" s="102">
        <f>+C7-1</f>
        <v>-3</v>
      </c>
    </row>
    <row r="8" spans="1:7">
      <c r="A8" s="102"/>
    </row>
    <row r="9" spans="1:7">
      <c r="A9" s="102">
        <v>1</v>
      </c>
      <c r="C9" s="83" t="s">
        <v>523</v>
      </c>
      <c r="E9" s="104"/>
      <c r="F9" s="104"/>
      <c r="G9" s="107">
        <v>1</v>
      </c>
    </row>
    <row r="10" spans="1:7">
      <c r="A10" s="102"/>
      <c r="E10" s="104"/>
      <c r="F10" s="104"/>
      <c r="G10" s="107"/>
    </row>
    <row r="11" spans="1:7">
      <c r="A11" s="102">
        <f>+A9+1</f>
        <v>2</v>
      </c>
      <c r="C11" s="83" t="s">
        <v>576</v>
      </c>
      <c r="E11" s="104"/>
      <c r="F11" s="104"/>
      <c r="G11" s="250">
        <f>+'2 P3'!G19</f>
        <v>2.8220746511276396E-3</v>
      </c>
    </row>
    <row r="12" spans="1:7">
      <c r="A12" s="102">
        <f>+A11+1</f>
        <v>3</v>
      </c>
      <c r="C12" s="83" t="s">
        <v>577</v>
      </c>
      <c r="E12" s="104"/>
      <c r="F12" s="104"/>
      <c r="G12" s="250">
        <v>1.5950000000000001E-3</v>
      </c>
    </row>
    <row r="13" spans="1:7">
      <c r="A13" s="102"/>
      <c r="E13" s="104"/>
      <c r="F13" s="104"/>
      <c r="G13" s="249" t="s">
        <v>546</v>
      </c>
    </row>
    <row r="14" spans="1:7">
      <c r="A14" s="102">
        <f>+A12+1</f>
        <v>4</v>
      </c>
      <c r="C14" s="83" t="s">
        <v>578</v>
      </c>
      <c r="E14" s="104"/>
      <c r="F14" s="104"/>
      <c r="G14" s="250">
        <f>+G9-G11-G12</f>
        <v>0.99558292534887238</v>
      </c>
    </row>
    <row r="15" spans="1:7">
      <c r="A15" s="102"/>
      <c r="E15" s="105"/>
      <c r="F15" s="105"/>
      <c r="G15" s="249"/>
    </row>
    <row r="16" spans="1:7">
      <c r="A16" s="102">
        <f>+A14+1</f>
        <v>5</v>
      </c>
      <c r="C16" s="83" t="s">
        <v>1163</v>
      </c>
      <c r="E16" s="250">
        <f>+G43</f>
        <v>5.0097000000000003E-2</v>
      </c>
      <c r="F16" s="250"/>
      <c r="G16" s="250">
        <f>ROUND(G14*E16,6)</f>
        <v>4.9875999999999997E-2</v>
      </c>
    </row>
    <row r="17" spans="1:7">
      <c r="A17" s="102"/>
      <c r="E17" s="105"/>
      <c r="F17" s="105"/>
      <c r="G17" s="249" t="s">
        <v>546</v>
      </c>
    </row>
    <row r="18" spans="1:7">
      <c r="A18" s="102"/>
      <c r="E18" s="105"/>
      <c r="F18" s="105"/>
      <c r="G18" s="249"/>
    </row>
    <row r="19" spans="1:7">
      <c r="A19" s="102">
        <f>+A16+1</f>
        <v>6</v>
      </c>
      <c r="C19" s="83" t="s">
        <v>579</v>
      </c>
      <c r="E19" s="104"/>
      <c r="F19" s="104"/>
      <c r="G19" s="250">
        <f>+G14-G16</f>
        <v>0.94570692534887235</v>
      </c>
    </row>
    <row r="20" spans="1:7">
      <c r="A20" s="102"/>
      <c r="E20" s="105"/>
      <c r="F20" s="105"/>
      <c r="G20" s="249"/>
    </row>
    <row r="21" spans="1:7">
      <c r="A21" s="102">
        <f>+A19+1</f>
        <v>7</v>
      </c>
      <c r="C21" s="83" t="s">
        <v>1164</v>
      </c>
      <c r="E21" s="107">
        <v>0.21</v>
      </c>
      <c r="F21" s="107"/>
      <c r="G21" s="250">
        <f>ROUND(G19*E21,6)</f>
        <v>0.198598</v>
      </c>
    </row>
    <row r="22" spans="1:7">
      <c r="A22" s="102"/>
      <c r="E22" s="104"/>
      <c r="F22" s="104"/>
      <c r="G22" s="107"/>
    </row>
    <row r="23" spans="1:7">
      <c r="A23" s="102">
        <f>+A21+1</f>
        <v>8</v>
      </c>
      <c r="C23" s="83" t="s">
        <v>580</v>
      </c>
      <c r="E23" s="104"/>
      <c r="F23" s="104"/>
      <c r="G23" s="250">
        <f>+G19-G21</f>
        <v>0.7471089253488723</v>
      </c>
    </row>
    <row r="24" spans="1:7">
      <c r="A24" s="102"/>
      <c r="E24" s="104"/>
      <c r="F24" s="104"/>
      <c r="G24" s="249" t="s">
        <v>546</v>
      </c>
    </row>
    <row r="25" spans="1:7" ht="13">
      <c r="A25" s="102">
        <f>+A23+1</f>
        <v>9</v>
      </c>
      <c r="C25" s="83" t="s">
        <v>581</v>
      </c>
      <c r="E25" s="104"/>
      <c r="F25" s="104"/>
      <c r="G25" s="325">
        <f>ROUND(1/G23,8)</f>
        <v>1.33849291</v>
      </c>
    </row>
    <row r="26" spans="1:7">
      <c r="A26" s="102"/>
      <c r="E26" s="104"/>
      <c r="F26" s="104"/>
      <c r="G26" s="249" t="s">
        <v>552</v>
      </c>
    </row>
    <row r="27" spans="1:7">
      <c r="A27" s="102"/>
      <c r="E27" s="104"/>
      <c r="F27" s="104"/>
    </row>
    <row r="28" spans="1:7">
      <c r="A28" s="102"/>
      <c r="E28" s="104"/>
      <c r="F28" s="104"/>
    </row>
    <row r="29" spans="1:7">
      <c r="A29" s="102"/>
      <c r="C29" s="83" t="s">
        <v>582</v>
      </c>
      <c r="E29" s="104"/>
      <c r="F29" s="104"/>
    </row>
    <row r="30" spans="1:7">
      <c r="A30" s="102"/>
      <c r="E30" s="104"/>
      <c r="F30" s="104"/>
    </row>
    <row r="31" spans="1:7">
      <c r="A31" s="102"/>
      <c r="C31" s="83" t="s">
        <v>583</v>
      </c>
      <c r="E31" s="104"/>
      <c r="F31" s="104"/>
    </row>
    <row r="32" spans="1:7">
      <c r="A32" s="102"/>
      <c r="E32" s="107"/>
    </row>
    <row r="33" spans="1:7">
      <c r="A33" s="102"/>
      <c r="C33" s="83" t="s">
        <v>586</v>
      </c>
      <c r="E33" s="107">
        <v>0.05</v>
      </c>
    </row>
    <row r="34" spans="1:7">
      <c r="A34" s="102"/>
      <c r="C34" s="83" t="s">
        <v>584</v>
      </c>
      <c r="E34" s="250">
        <v>0.99180000000000001</v>
      </c>
    </row>
    <row r="35" spans="1:7">
      <c r="A35" s="102"/>
      <c r="E35" s="105" t="s">
        <v>585</v>
      </c>
    </row>
    <row r="36" spans="1:7" s="332" customFormat="1" ht="25.9" customHeight="1">
      <c r="A36" s="331"/>
      <c r="C36" s="332" t="s">
        <v>587</v>
      </c>
      <c r="G36" s="333">
        <f>ROUND(E33*E34,6)</f>
        <v>4.9590000000000002E-2</v>
      </c>
    </row>
    <row r="37" spans="1:7">
      <c r="A37" s="102"/>
    </row>
    <row r="38" spans="1:7">
      <c r="A38" s="102"/>
      <c r="C38" s="83" t="s">
        <v>588</v>
      </c>
      <c r="E38" s="107">
        <v>6.5000000000000002E-2</v>
      </c>
      <c r="F38" s="107"/>
      <c r="G38" s="250"/>
    </row>
    <row r="39" spans="1:7">
      <c r="A39" s="102"/>
      <c r="C39" s="83" t="s">
        <v>584</v>
      </c>
      <c r="E39" s="250">
        <v>7.7999999999999996E-3</v>
      </c>
      <c r="F39" s="250"/>
      <c r="G39" s="250"/>
    </row>
    <row r="40" spans="1:7">
      <c r="A40" s="102"/>
      <c r="E40" s="105" t="s">
        <v>585</v>
      </c>
      <c r="F40" s="105"/>
      <c r="G40" s="250"/>
    </row>
    <row r="41" spans="1:7" s="332" customFormat="1">
      <c r="A41" s="331"/>
      <c r="C41" s="332" t="s">
        <v>589</v>
      </c>
      <c r="G41" s="333">
        <f>ROUND(E38*E39,6)</f>
        <v>5.0699999999999996E-4</v>
      </c>
    </row>
    <row r="42" spans="1:7">
      <c r="E42" s="107"/>
      <c r="F42" s="107"/>
      <c r="G42" s="251" t="s">
        <v>585</v>
      </c>
    </row>
    <row r="43" spans="1:7" ht="13">
      <c r="A43" s="196"/>
      <c r="C43" s="83" t="s">
        <v>590</v>
      </c>
      <c r="E43" s="107"/>
      <c r="F43" s="107"/>
      <c r="G43" s="250">
        <f>SUM(G32:G41)</f>
        <v>5.0097000000000003E-2</v>
      </c>
    </row>
    <row r="44" spans="1:7" ht="13">
      <c r="A44" s="196"/>
      <c r="E44" s="107"/>
      <c r="F44" s="107"/>
      <c r="G44" s="105" t="s">
        <v>456</v>
      </c>
    </row>
    <row r="45" spans="1:7" ht="13">
      <c r="A45" s="196"/>
      <c r="E45" s="107"/>
      <c r="F45" s="107"/>
      <c r="G45" s="107"/>
    </row>
    <row r="46" spans="1:7" ht="13">
      <c r="A46" s="196"/>
      <c r="E46" s="107"/>
      <c r="F46" s="107"/>
      <c r="G46" s="107"/>
    </row>
    <row r="47" spans="1:7">
      <c r="E47" s="107"/>
      <c r="F47" s="107"/>
      <c r="G47" s="107"/>
    </row>
    <row r="48" spans="1:7">
      <c r="E48" s="107"/>
      <c r="F48" s="107"/>
      <c r="G48" s="107"/>
    </row>
    <row r="49" spans="5:7">
      <c r="E49" s="107"/>
      <c r="F49" s="107"/>
      <c r="G49" s="107"/>
    </row>
    <row r="50" spans="5:7">
      <c r="E50" s="107"/>
      <c r="F50" s="107"/>
      <c r="G50" s="107"/>
    </row>
    <row r="51" spans="5:7">
      <c r="E51" s="107"/>
      <c r="F51" s="107"/>
      <c r="G51" s="107"/>
    </row>
    <row r="52" spans="5:7">
      <c r="E52" s="107"/>
      <c r="F52" s="107"/>
      <c r="G52" s="107"/>
    </row>
    <row r="53" spans="5:7">
      <c r="E53" s="107"/>
      <c r="F53" s="107"/>
      <c r="G53" s="107"/>
    </row>
    <row r="54" spans="5:7">
      <c r="E54" s="107"/>
      <c r="F54" s="107"/>
      <c r="G54" s="107"/>
    </row>
    <row r="55" spans="5:7">
      <c r="E55" s="107"/>
      <c r="F55" s="107"/>
      <c r="G55" s="107"/>
    </row>
    <row r="56" spans="5:7">
      <c r="E56" s="107"/>
      <c r="F56" s="107"/>
      <c r="G56" s="107"/>
    </row>
    <row r="57" spans="5:7">
      <c r="E57" s="107"/>
      <c r="F57" s="107"/>
      <c r="G57" s="107"/>
    </row>
  </sheetData>
  <mergeCells count="4">
    <mergeCell ref="C1:E1"/>
    <mergeCell ref="C2:E2"/>
    <mergeCell ref="C3:E3"/>
    <mergeCell ref="C4:E4"/>
  </mergeCells>
  <pageMargins left="0.7" right="0.7" top="0.75" bottom="0.75" header="0.3" footer="0.3"/>
  <pageSetup scale="98" orientation="portrait" r:id="rId1"/>
  <headerFooter>
    <oddHeader>&amp;RKPSC Case No. 2025-00257
SECTION V-Application
Exhibit 1
&amp;Pof&amp;N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1"/>
  <sheetViews>
    <sheetView view="pageBreakPreview" zoomScale="120" zoomScaleNormal="110" zoomScaleSheetLayoutView="120" workbookViewId="0">
      <pane ySplit="9" topLeftCell="A10" activePane="bottomLeft" state="frozen"/>
      <selection activeCell="C26" sqref="C26"/>
      <selection pane="bottomLeft" activeCell="K14" sqref="K14:K15"/>
    </sheetView>
  </sheetViews>
  <sheetFormatPr defaultColWidth="9.1796875" defaultRowHeight="12.5"/>
  <cols>
    <col min="1" max="1" width="4.453125" style="384" bestFit="1" customWidth="1"/>
    <col min="2" max="2" width="2.26953125" style="83" customWidth="1"/>
    <col min="3" max="3" width="25.81640625" style="83" bestFit="1" customWidth="1"/>
    <col min="4" max="4" width="8.7265625" style="228" customWidth="1"/>
    <col min="5" max="5" width="15.453125" style="83" bestFit="1" customWidth="1"/>
    <col min="6" max="7" width="13.7265625" style="83" bestFit="1" customWidth="1"/>
    <col min="8" max="8" width="5.7265625" style="83" customWidth="1"/>
    <col min="9" max="9" width="2.26953125" style="83" customWidth="1"/>
    <col min="10" max="16384" width="9.1796875" style="83"/>
  </cols>
  <sheetData>
    <row r="1" spans="1:15">
      <c r="D1" s="380" t="s">
        <v>330</v>
      </c>
      <c r="G1" s="95" t="s">
        <v>542</v>
      </c>
      <c r="O1" s="327" t="s">
        <v>1156</v>
      </c>
    </row>
    <row r="2" spans="1:15">
      <c r="D2" s="380" t="s">
        <v>861</v>
      </c>
      <c r="G2" s="95" t="s">
        <v>553</v>
      </c>
    </row>
    <row r="3" spans="1:15">
      <c r="D3" s="380" t="s">
        <v>1165</v>
      </c>
      <c r="G3" s="95" t="s">
        <v>591</v>
      </c>
    </row>
    <row r="4" spans="1:15">
      <c r="D4" s="380" t="s">
        <v>862</v>
      </c>
    </row>
    <row r="5" spans="1:15">
      <c r="D5" s="380" t="s">
        <v>863</v>
      </c>
    </row>
    <row r="6" spans="1:15">
      <c r="D6" s="380" t="s">
        <v>1019</v>
      </c>
    </row>
    <row r="7" spans="1:15">
      <c r="D7" s="380"/>
    </row>
    <row r="8" spans="1:15" ht="37.5">
      <c r="A8" s="98" t="s">
        <v>544</v>
      </c>
      <c r="C8" s="384" t="s">
        <v>7</v>
      </c>
      <c r="D8" s="380"/>
      <c r="E8" s="98" t="s">
        <v>592</v>
      </c>
      <c r="F8" s="98" t="s">
        <v>593</v>
      </c>
      <c r="G8" s="98" t="s">
        <v>594</v>
      </c>
    </row>
    <row r="9" spans="1:15">
      <c r="A9" s="248">
        <v>-1</v>
      </c>
      <c r="C9" s="102">
        <f>+A9-1</f>
        <v>-2</v>
      </c>
      <c r="D9" s="380"/>
      <c r="E9" s="102">
        <f>+C9-1</f>
        <v>-3</v>
      </c>
      <c r="F9" s="102">
        <f>+E9-1</f>
        <v>-4</v>
      </c>
      <c r="G9" s="483" t="s">
        <v>1166</v>
      </c>
    </row>
    <row r="10" spans="1:15">
      <c r="A10" s="102"/>
    </row>
    <row r="11" spans="1:15">
      <c r="A11" s="102">
        <v>1</v>
      </c>
      <c r="C11" s="83" t="s">
        <v>1030</v>
      </c>
      <c r="E11" s="104">
        <v>673050415.58000004</v>
      </c>
      <c r="F11" s="104">
        <v>2711301.19</v>
      </c>
      <c r="G11" s="107">
        <f>ROUND(F11/E11,4)</f>
        <v>4.0000000000000001E-3</v>
      </c>
    </row>
    <row r="12" spans="1:15">
      <c r="A12" s="102"/>
      <c r="E12" s="104"/>
      <c r="F12" s="104"/>
    </row>
    <row r="13" spans="1:15">
      <c r="A13" s="102">
        <f>+A11+1</f>
        <v>2</v>
      </c>
      <c r="C13" s="83" t="s">
        <v>1031</v>
      </c>
      <c r="E13" s="104">
        <v>586099383.88999999</v>
      </c>
      <c r="F13" s="104">
        <v>1588138.6600000001</v>
      </c>
      <c r="G13" s="107">
        <f>ROUND(F13/E13,4)</f>
        <v>2.7000000000000001E-3</v>
      </c>
    </row>
    <row r="14" spans="1:15">
      <c r="A14" s="102"/>
      <c r="E14" s="104"/>
      <c r="F14" s="104"/>
    </row>
    <row r="15" spans="1:15">
      <c r="A15" s="102">
        <f>+A13+1</f>
        <v>3</v>
      </c>
      <c r="C15" s="83" t="s">
        <v>1032</v>
      </c>
      <c r="E15" s="104">
        <v>653489895.13</v>
      </c>
      <c r="F15" s="104">
        <v>1098171.2800000003</v>
      </c>
      <c r="G15" s="107">
        <f>ROUND(F15/E15,4)</f>
        <v>1.6999999999999999E-3</v>
      </c>
    </row>
    <row r="16" spans="1:15">
      <c r="A16" s="102"/>
      <c r="E16" s="105" t="s">
        <v>546</v>
      </c>
      <c r="F16" s="105" t="s">
        <v>546</v>
      </c>
      <c r="G16" s="105" t="s">
        <v>546</v>
      </c>
    </row>
    <row r="17" spans="1:7">
      <c r="A17" s="102">
        <f>+A15+1</f>
        <v>4</v>
      </c>
      <c r="C17" s="83" t="s">
        <v>432</v>
      </c>
      <c r="E17" s="104">
        <f>SUM(E11:E16)</f>
        <v>1912639694.5999999</v>
      </c>
      <c r="F17" s="104">
        <f>SUM(F11:F16)</f>
        <v>5397611.1299999999</v>
      </c>
      <c r="G17" s="107">
        <f>SUM(G11:G15)</f>
        <v>8.3999999999999995E-3</v>
      </c>
    </row>
    <row r="18" spans="1:7">
      <c r="A18" s="102"/>
      <c r="E18" s="105" t="s">
        <v>546</v>
      </c>
      <c r="F18" s="105" t="s">
        <v>546</v>
      </c>
      <c r="G18" s="105" t="s">
        <v>546</v>
      </c>
    </row>
    <row r="19" spans="1:7" ht="13">
      <c r="A19" s="102">
        <f>+A17+1</f>
        <v>5</v>
      </c>
      <c r="C19" s="83" t="s">
        <v>595</v>
      </c>
      <c r="E19" s="104">
        <f>ROUND(E17/3,0)</f>
        <v>637546565</v>
      </c>
      <c r="F19" s="104">
        <f>ROUND(F17/3,0)</f>
        <v>1799204</v>
      </c>
      <c r="G19" s="109">
        <f>(F19/E19)</f>
        <v>2.8220746511276396E-3</v>
      </c>
    </row>
    <row r="20" spans="1:7">
      <c r="A20" s="102"/>
      <c r="E20" s="105" t="s">
        <v>552</v>
      </c>
      <c r="F20" s="105" t="s">
        <v>552</v>
      </c>
      <c r="G20" s="105" t="s">
        <v>552</v>
      </c>
    </row>
    <row r="21" spans="1:7">
      <c r="A21" s="102"/>
      <c r="E21" s="104"/>
      <c r="F21" s="104"/>
    </row>
    <row r="22" spans="1:7">
      <c r="A22" s="102"/>
      <c r="E22" s="247"/>
      <c r="F22" s="247"/>
    </row>
    <row r="23" spans="1:7">
      <c r="A23" s="102"/>
      <c r="E23" s="104"/>
      <c r="F23" s="104"/>
    </row>
    <row r="24" spans="1:7">
      <c r="A24" s="102"/>
      <c r="E24" s="104"/>
      <c r="F24" s="104"/>
    </row>
    <row r="25" spans="1:7">
      <c r="A25" s="102"/>
      <c r="E25" s="104"/>
      <c r="F25" s="104"/>
    </row>
    <row r="26" spans="1:7">
      <c r="A26" s="102"/>
      <c r="E26" s="104"/>
      <c r="F26" s="104"/>
    </row>
    <row r="27" spans="1:7">
      <c r="A27" s="102"/>
      <c r="E27" s="104"/>
      <c r="F27" s="104"/>
    </row>
    <row r="28" spans="1:7">
      <c r="A28" s="102"/>
      <c r="E28" s="104"/>
      <c r="F28" s="104"/>
    </row>
    <row r="29" spans="1:7">
      <c r="A29" s="102"/>
      <c r="E29" s="104"/>
      <c r="F29" s="104"/>
    </row>
    <row r="30" spans="1:7">
      <c r="A30" s="102"/>
      <c r="E30" s="104"/>
      <c r="F30" s="104"/>
    </row>
    <row r="31" spans="1:7">
      <c r="A31" s="102"/>
      <c r="E31" s="104"/>
      <c r="F31" s="104"/>
    </row>
    <row r="32" spans="1:7">
      <c r="A32" s="102"/>
    </row>
    <row r="33" spans="1:1">
      <c r="A33" s="102"/>
    </row>
    <row r="34" spans="1:1">
      <c r="A34" s="102"/>
    </row>
    <row r="35" spans="1:1">
      <c r="A35" s="102"/>
    </row>
    <row r="36" spans="1:1">
      <c r="A36" s="102"/>
    </row>
    <row r="37" spans="1:1">
      <c r="A37" s="102"/>
    </row>
    <row r="38" spans="1:1">
      <c r="A38" s="102"/>
    </row>
    <row r="39" spans="1:1">
      <c r="A39" s="102"/>
    </row>
    <row r="40" spans="1:1">
      <c r="A40" s="102"/>
    </row>
    <row r="41" spans="1:1">
      <c r="A41" s="102"/>
    </row>
    <row r="42" spans="1:1">
      <c r="A42" s="102"/>
    </row>
    <row r="43" spans="1:1">
      <c r="A43" s="102"/>
    </row>
    <row r="44" spans="1:1">
      <c r="A44" s="102"/>
    </row>
    <row r="48" spans="1:1" ht="13">
      <c r="A48" s="196"/>
    </row>
    <row r="49" spans="1:1" ht="13">
      <c r="A49" s="196"/>
    </row>
    <row r="50" spans="1:1" ht="13">
      <c r="A50" s="196"/>
    </row>
    <row r="51" spans="1:1" ht="13">
      <c r="A51" s="196"/>
    </row>
  </sheetData>
  <pageMargins left="0.7" right="0.7" top="0.75" bottom="0.75" header="0.3" footer="0.3"/>
  <pageSetup scale="83" orientation="portrait" r:id="rId1"/>
  <headerFooter>
    <oddHeader>&amp;RKPSC Case No. 2025-00257
SECTION V-Application
Exhibit 1
&amp;Pof&amp;N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56"/>
  <sheetViews>
    <sheetView zoomScaleNormal="100" zoomScaleSheetLayoutView="80" workbookViewId="0">
      <pane xSplit="3" ySplit="10" topLeftCell="D11" activePane="bottomRight" state="frozen"/>
      <selection activeCell="C26" sqref="C26"/>
      <selection pane="topRight" activeCell="C26" sqref="C26"/>
      <selection pane="bottomLeft" activeCell="C26" sqref="C26"/>
      <selection pane="bottomRight" activeCell="F15" sqref="F15"/>
    </sheetView>
  </sheetViews>
  <sheetFormatPr defaultColWidth="9.1796875" defaultRowHeight="12.5"/>
  <cols>
    <col min="1" max="1" width="4.7265625" style="83" customWidth="1"/>
    <col min="2" max="2" width="2.7265625" style="83" customWidth="1"/>
    <col min="3" max="3" width="26.54296875" style="83" customWidth="1"/>
    <col min="4" max="4" width="2.7265625" style="83" customWidth="1"/>
    <col min="5" max="5" width="16" style="83" bestFit="1" customWidth="1"/>
    <col min="6" max="6" width="11.453125" style="83" customWidth="1"/>
    <col min="7" max="7" width="18.7265625" style="83" customWidth="1"/>
    <col min="8" max="8" width="8.54296875" style="83" customWidth="1"/>
    <col min="9" max="9" width="18.26953125" style="83" customWidth="1"/>
    <col min="10" max="11" width="2.7265625" style="83" customWidth="1"/>
    <col min="12" max="12" width="21.453125" style="83" bestFit="1" customWidth="1"/>
    <col min="13" max="13" width="2.7265625" style="83" customWidth="1"/>
    <col min="14" max="14" width="17" style="83" bestFit="1" customWidth="1"/>
    <col min="15" max="16" width="2.7265625" style="83" customWidth="1"/>
    <col min="17" max="17" width="17" style="83" customWidth="1"/>
    <col min="18" max="19" width="2.7265625" style="83" customWidth="1"/>
    <col min="20" max="20" width="20.26953125" style="83" customWidth="1"/>
    <col min="21" max="21" width="2.7265625" style="83" customWidth="1"/>
    <col min="22" max="22" width="13.7265625" style="83" customWidth="1"/>
    <col min="23" max="23" width="2.7265625" style="83" customWidth="1"/>
    <col min="24" max="24" width="13.453125" style="83" customWidth="1"/>
    <col min="25" max="26" width="2.7265625" style="83" customWidth="1"/>
    <col min="27" max="27" width="19.54296875" style="83" bestFit="1" customWidth="1"/>
    <col min="28" max="28" width="2.7265625" style="83" customWidth="1"/>
    <col min="29" max="29" width="19.54296875" style="83" customWidth="1"/>
    <col min="30" max="30" width="2.7265625" style="83" customWidth="1"/>
    <col min="31" max="31" width="17.1796875" style="83" customWidth="1"/>
    <col min="32" max="32" width="2.7265625" style="83" customWidth="1"/>
    <col min="33" max="16384" width="9.1796875" style="83"/>
  </cols>
  <sheetData>
    <row r="1" spans="1:32">
      <c r="O1" s="378" t="s">
        <v>330</v>
      </c>
      <c r="AE1" s="95" t="s">
        <v>542</v>
      </c>
    </row>
    <row r="2" spans="1:32">
      <c r="O2" s="378" t="s">
        <v>596</v>
      </c>
      <c r="AE2" s="95" t="s">
        <v>646</v>
      </c>
    </row>
    <row r="3" spans="1:32">
      <c r="O3" s="378" t="s">
        <v>1019</v>
      </c>
      <c r="AE3" s="95"/>
    </row>
    <row r="6" spans="1:32">
      <c r="I6" s="378" t="s">
        <v>836</v>
      </c>
    </row>
    <row r="7" spans="1:32" ht="30" customHeight="1">
      <c r="A7" s="378"/>
      <c r="B7" s="378"/>
      <c r="C7" s="378"/>
      <c r="D7" s="378"/>
      <c r="E7" s="378"/>
      <c r="F7" s="378"/>
      <c r="G7" s="378"/>
      <c r="H7" s="378"/>
      <c r="I7" s="378" t="s">
        <v>833</v>
      </c>
      <c r="J7" s="378"/>
      <c r="K7" s="378"/>
      <c r="L7" s="378" t="s">
        <v>771</v>
      </c>
      <c r="M7" s="378"/>
      <c r="N7" s="378" t="s">
        <v>771</v>
      </c>
      <c r="O7" s="378"/>
      <c r="P7" s="378"/>
      <c r="Q7" s="378" t="s">
        <v>885</v>
      </c>
      <c r="R7" s="378"/>
      <c r="S7" s="378"/>
      <c r="T7" s="378" t="s">
        <v>1082</v>
      </c>
      <c r="U7" s="378"/>
      <c r="V7" s="378" t="s">
        <v>597</v>
      </c>
      <c r="W7" s="378"/>
      <c r="X7" s="378" t="s">
        <v>598</v>
      </c>
      <c r="Y7" s="378"/>
      <c r="Z7" s="378"/>
      <c r="AA7" s="378" t="s">
        <v>834</v>
      </c>
      <c r="AB7" s="378"/>
      <c r="AC7" s="378" t="s">
        <v>557</v>
      </c>
      <c r="AD7" s="378"/>
      <c r="AE7" s="378"/>
    </row>
    <row r="8" spans="1:32" ht="26.25" customHeight="1">
      <c r="A8" s="378" t="s">
        <v>2</v>
      </c>
      <c r="B8" s="378"/>
      <c r="C8" s="378"/>
      <c r="D8" s="378"/>
      <c r="E8" s="378" t="s">
        <v>599</v>
      </c>
      <c r="F8" s="378"/>
      <c r="G8" s="378" t="s">
        <v>1</v>
      </c>
      <c r="H8" s="378"/>
      <c r="I8" s="378" t="s">
        <v>599</v>
      </c>
      <c r="J8" s="378"/>
      <c r="K8" s="378"/>
      <c r="L8" s="378" t="s">
        <v>830</v>
      </c>
      <c r="M8" s="378"/>
      <c r="N8" s="378" t="s">
        <v>772</v>
      </c>
      <c r="O8" s="378"/>
      <c r="P8" s="378"/>
      <c r="Q8" s="378" t="s">
        <v>886</v>
      </c>
      <c r="R8" s="378"/>
      <c r="S8" s="378"/>
      <c r="T8" s="378" t="s">
        <v>1083</v>
      </c>
      <c r="U8" s="378"/>
      <c r="V8" s="378" t="s">
        <v>600</v>
      </c>
      <c r="W8" s="378"/>
      <c r="X8" s="378" t="s">
        <v>601</v>
      </c>
      <c r="Y8" s="378"/>
      <c r="Z8" s="378"/>
      <c r="AA8" s="378" t="s">
        <v>835</v>
      </c>
      <c r="AB8" s="378"/>
      <c r="AC8" s="379" t="s">
        <v>561</v>
      </c>
      <c r="AD8" s="378"/>
      <c r="AE8" s="378"/>
    </row>
    <row r="9" spans="1:32">
      <c r="A9" s="379" t="s">
        <v>6</v>
      </c>
      <c r="B9" s="379"/>
      <c r="C9" s="379" t="s">
        <v>7</v>
      </c>
      <c r="D9" s="379"/>
      <c r="E9" s="379" t="s">
        <v>602</v>
      </c>
      <c r="F9" s="379"/>
      <c r="G9" s="379" t="s">
        <v>602</v>
      </c>
      <c r="H9" s="379"/>
      <c r="I9" s="379" t="s">
        <v>602</v>
      </c>
      <c r="J9" s="379"/>
      <c r="K9" s="379"/>
      <c r="L9" s="379" t="s">
        <v>778</v>
      </c>
      <c r="M9" s="379"/>
      <c r="N9" s="379" t="s">
        <v>773</v>
      </c>
      <c r="O9" s="379"/>
      <c r="P9" s="379"/>
      <c r="Q9" s="379" t="s">
        <v>778</v>
      </c>
      <c r="R9" s="379"/>
      <c r="S9" s="379"/>
      <c r="T9" s="379" t="s">
        <v>603</v>
      </c>
      <c r="U9" s="379"/>
      <c r="V9" s="379" t="s">
        <v>604</v>
      </c>
      <c r="W9" s="379"/>
      <c r="X9" s="379" t="s">
        <v>604</v>
      </c>
      <c r="Y9" s="379"/>
      <c r="Z9" s="379"/>
      <c r="AA9" s="379" t="s">
        <v>741</v>
      </c>
      <c r="AB9" s="379"/>
      <c r="AC9" s="379" t="s">
        <v>432</v>
      </c>
      <c r="AD9" s="379"/>
      <c r="AE9" s="379"/>
    </row>
    <row r="10" spans="1:32">
      <c r="A10" s="233">
        <v>-1</v>
      </c>
      <c r="B10" s="233"/>
      <c r="C10" s="233">
        <f>+A10-1</f>
        <v>-2</v>
      </c>
      <c r="D10" s="233"/>
      <c r="E10" s="233">
        <f>+C10-1</f>
        <v>-3</v>
      </c>
      <c r="F10" s="233"/>
      <c r="G10" s="233">
        <f>+E10-1</f>
        <v>-4</v>
      </c>
      <c r="H10" s="233"/>
      <c r="I10" s="233">
        <f>+G10-1</f>
        <v>-5</v>
      </c>
      <c r="J10" s="233"/>
      <c r="K10" s="233"/>
      <c r="L10" s="233">
        <f>I10-1</f>
        <v>-6</v>
      </c>
      <c r="M10" s="233"/>
      <c r="N10" s="233">
        <f>L10-1</f>
        <v>-7</v>
      </c>
      <c r="O10" s="233"/>
      <c r="P10" s="233"/>
      <c r="Q10" s="233">
        <f>N10-1</f>
        <v>-8</v>
      </c>
      <c r="R10" s="233"/>
      <c r="S10" s="233"/>
      <c r="T10" s="233">
        <f>Q10-1</f>
        <v>-9</v>
      </c>
      <c r="U10" s="233"/>
      <c r="V10" s="233">
        <f>+T10-1</f>
        <v>-10</v>
      </c>
      <c r="W10" s="233"/>
      <c r="X10" s="233">
        <f>V10-1</f>
        <v>-11</v>
      </c>
      <c r="Y10" s="233"/>
      <c r="Z10" s="233"/>
      <c r="AA10" s="233">
        <f>X10-1</f>
        <v>-12</v>
      </c>
      <c r="AB10" s="233"/>
      <c r="AC10" s="233">
        <f>AA10-1</f>
        <v>-13</v>
      </c>
      <c r="AD10" s="233"/>
      <c r="AE10" s="233"/>
      <c r="AF10" s="233"/>
    </row>
    <row r="11" spans="1:32">
      <c r="A11" s="233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 t="s">
        <v>1113</v>
      </c>
      <c r="AD11" s="233"/>
      <c r="AE11" s="233"/>
      <c r="AF11" s="233"/>
    </row>
    <row r="12" spans="1:32">
      <c r="A12" s="234"/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</row>
    <row r="13" spans="1:32">
      <c r="A13" s="378">
        <v>1</v>
      </c>
      <c r="C13" s="83" t="s">
        <v>567</v>
      </c>
      <c r="E13" s="104">
        <f>+'3 P1'!H37*1000</f>
        <v>1365000000</v>
      </c>
      <c r="F13" s="316">
        <f>+E13/$E$19</f>
        <v>0.55820048511337683</v>
      </c>
      <c r="G13" s="104">
        <f>+E13-300000000</f>
        <v>1065000000</v>
      </c>
      <c r="H13" s="316">
        <f>(G13+G15)/G22</f>
        <v>0.53867848897682657</v>
      </c>
      <c r="I13" s="104">
        <f>G13*$I$25</f>
        <v>1043700000</v>
      </c>
      <c r="J13" s="104"/>
      <c r="K13" s="104"/>
      <c r="L13" s="235">
        <f>L19*($G$13/($G$13+$G$17))</f>
        <v>-552177.77191058581</v>
      </c>
      <c r="M13" s="104"/>
      <c r="N13" s="235">
        <f>N19*($G$13/($G$13+$G$17))</f>
        <v>-60914124.986765653</v>
      </c>
      <c r="O13" s="104"/>
      <c r="P13" s="104"/>
      <c r="Q13" s="235">
        <f>Q19*($G$13/($G$13+$G$17))</f>
        <v>-1589112.711118222</v>
      </c>
      <c r="R13" s="104"/>
      <c r="S13" s="104"/>
      <c r="T13" s="235">
        <f>T19*($G$13/($G$13+$G$17))</f>
        <v>9696212.8015828785</v>
      </c>
      <c r="U13" s="104"/>
      <c r="V13" s="235">
        <f>V19*($G$13/($G$13+$G$17))</f>
        <v>-352925.10757701041</v>
      </c>
      <c r="W13" s="104"/>
      <c r="X13" s="235">
        <f>X19*($G$13/($G$13+$G$17))</f>
        <v>-270613.6069633555</v>
      </c>
      <c r="Y13" s="104"/>
      <c r="Z13" s="104"/>
      <c r="AA13" s="247">
        <f>(L13*$L$25)+(N13*$N$25)+(T13*$T$25)+(V13*$V$25)+(X13*$X$25)+(Q13*$Q$25)</f>
        <v>-53184575.224075064</v>
      </c>
      <c r="AB13" s="104"/>
      <c r="AC13" s="104">
        <f>I13+AA13</f>
        <v>990515424.77592492</v>
      </c>
      <c r="AD13" s="104"/>
      <c r="AE13" s="104"/>
    </row>
    <row r="14" spans="1:32">
      <c r="A14" s="378"/>
      <c r="E14" s="104"/>
      <c r="G14" s="104"/>
      <c r="H14" s="316"/>
      <c r="I14" s="104"/>
      <c r="J14" s="104"/>
      <c r="K14" s="104"/>
      <c r="L14" s="235"/>
      <c r="M14" s="104"/>
      <c r="N14" s="235"/>
      <c r="O14" s="104"/>
      <c r="P14" s="104"/>
      <c r="Q14" s="104"/>
      <c r="R14" s="104"/>
      <c r="S14" s="104"/>
      <c r="T14" s="235"/>
      <c r="U14" s="104"/>
      <c r="V14" s="235"/>
      <c r="W14" s="104"/>
      <c r="X14" s="235"/>
      <c r="Y14" s="104"/>
      <c r="Z14" s="104"/>
      <c r="AA14" s="104"/>
      <c r="AB14" s="104"/>
      <c r="AC14" s="104"/>
      <c r="AD14" s="104"/>
      <c r="AE14" s="104"/>
    </row>
    <row r="15" spans="1:32">
      <c r="A15" s="378">
        <v>2</v>
      </c>
      <c r="C15" s="83" t="s">
        <v>569</v>
      </c>
      <c r="E15" s="38">
        <f>+'3 P2'!F32</f>
        <v>85199813.670000002</v>
      </c>
      <c r="F15" s="316">
        <f>+E15/$E$19</f>
        <v>3.4841448587665434E-2</v>
      </c>
      <c r="G15" s="38">
        <f>+E15-E15</f>
        <v>0</v>
      </c>
      <c r="H15" s="107"/>
      <c r="I15" s="104">
        <f>G15*T25</f>
        <v>0</v>
      </c>
      <c r="J15" s="38"/>
      <c r="K15" s="38"/>
      <c r="L15" s="235">
        <v>0</v>
      </c>
      <c r="M15" s="38"/>
      <c r="N15" s="235">
        <v>0</v>
      </c>
      <c r="O15" s="38"/>
      <c r="P15" s="38"/>
      <c r="Q15" s="38"/>
      <c r="R15" s="38"/>
      <c r="S15" s="38"/>
      <c r="T15" s="235">
        <v>0</v>
      </c>
      <c r="U15" s="38"/>
      <c r="V15" s="235">
        <v>0</v>
      </c>
      <c r="W15" s="38"/>
      <c r="X15" s="235">
        <v>0</v>
      </c>
      <c r="Y15" s="38"/>
      <c r="Z15" s="38"/>
      <c r="AA15" s="247">
        <f>(L15*$L$25)+(N15*$N$25)+(T15*$T$25)+(V15*$V$25)+(X15*$X$25)+(Q15*$Q$25)</f>
        <v>0</v>
      </c>
      <c r="AB15" s="104"/>
      <c r="AC15" s="104">
        <f>I15+AA15</f>
        <v>0</v>
      </c>
      <c r="AD15" s="38"/>
      <c r="AE15" s="38"/>
    </row>
    <row r="16" spans="1:32">
      <c r="A16" s="378"/>
      <c r="E16" s="38"/>
      <c r="G16" s="38"/>
      <c r="H16" s="107"/>
      <c r="I16" s="38"/>
      <c r="J16" s="38"/>
      <c r="K16" s="38"/>
      <c r="L16" s="235"/>
      <c r="M16" s="38"/>
      <c r="N16" s="235"/>
      <c r="O16" s="38"/>
      <c r="P16" s="38"/>
      <c r="Q16" s="38"/>
      <c r="R16" s="38"/>
      <c r="S16" s="38"/>
      <c r="T16" s="235"/>
      <c r="U16" s="38"/>
      <c r="V16" s="235"/>
      <c r="W16" s="38"/>
      <c r="X16" s="235"/>
      <c r="Y16" s="38"/>
      <c r="Z16" s="38"/>
      <c r="AA16" s="38"/>
      <c r="AB16" s="38"/>
      <c r="AC16" s="38"/>
      <c r="AD16" s="38"/>
      <c r="AE16" s="38"/>
    </row>
    <row r="17" spans="1:31">
      <c r="A17" s="378">
        <v>3</v>
      </c>
      <c r="C17" s="83" t="s">
        <v>571</v>
      </c>
      <c r="E17" s="104">
        <v>995158147.13999999</v>
      </c>
      <c r="F17" s="316">
        <f>+E17/$E$19</f>
        <v>0.4069580662989577</v>
      </c>
      <c r="G17" s="235">
        <f>995158147.14-G29</f>
        <v>912060569.13999999</v>
      </c>
      <c r="H17" s="316">
        <f>G17/G19</f>
        <v>0.46132151102317343</v>
      </c>
      <c r="I17" s="104">
        <f>G17*$I$25</f>
        <v>893819357.7572</v>
      </c>
      <c r="J17" s="38"/>
      <c r="K17" s="38"/>
      <c r="L17" s="235">
        <f>L19*($G$17/($G$17+$G$13))</f>
        <v>-472882.22808941413</v>
      </c>
      <c r="M17" s="38"/>
      <c r="N17" s="235">
        <f>N19*($G$17/($G$17+$G$13))</f>
        <v>-52166546.013234347</v>
      </c>
      <c r="O17" s="38"/>
      <c r="P17" s="38"/>
      <c r="Q17" s="235">
        <f>Q19*($G$17/($G$17+$G$13))</f>
        <v>-1360908.0222817783</v>
      </c>
      <c r="R17" s="38"/>
      <c r="S17" s="38"/>
      <c r="T17" s="235">
        <f>T19*($G$17/($G$17+$G$13))</f>
        <v>8303787.1984171215</v>
      </c>
      <c r="U17" s="38"/>
      <c r="V17" s="235">
        <f>V19*($G$17/($G$17+$G$13))</f>
        <v>-302243.26242298959</v>
      </c>
      <c r="W17" s="38"/>
      <c r="X17" s="235">
        <f>X19*($G$17/($G$17+$G$13))</f>
        <v>-231752.11303664444</v>
      </c>
      <c r="Y17" s="38"/>
      <c r="Z17" s="38"/>
      <c r="AA17" s="247">
        <f>(L17*$L$25)+(N17*$N$25)+(T17*$T$25)+(V17*$V$25)+(X17*$X$25)+(Q17*$Q$25)</f>
        <v>-45546999.012524933</v>
      </c>
      <c r="AB17" s="104"/>
      <c r="AC17" s="104">
        <f>I17+AA17</f>
        <v>848272358.74467504</v>
      </c>
      <c r="AD17" s="38"/>
      <c r="AE17" s="38"/>
    </row>
    <row r="18" spans="1:31">
      <c r="A18" s="378"/>
      <c r="E18" s="105" t="s">
        <v>572</v>
      </c>
      <c r="G18" s="105" t="s">
        <v>572</v>
      </c>
      <c r="H18" s="105"/>
      <c r="I18" s="105" t="s">
        <v>572</v>
      </c>
      <c r="J18" s="377"/>
      <c r="K18" s="377"/>
      <c r="L18" s="377" t="s">
        <v>572</v>
      </c>
      <c r="M18" s="377"/>
      <c r="N18" s="377" t="s">
        <v>572</v>
      </c>
      <c r="O18" s="377"/>
      <c r="P18" s="377"/>
      <c r="Q18" s="377" t="s">
        <v>572</v>
      </c>
      <c r="R18" s="377"/>
      <c r="S18" s="377"/>
      <c r="T18" s="377" t="s">
        <v>572</v>
      </c>
      <c r="U18" s="377"/>
      <c r="V18" s="377" t="s">
        <v>572</v>
      </c>
      <c r="W18" s="232"/>
      <c r="X18" s="105" t="s">
        <v>651</v>
      </c>
      <c r="Y18" s="232"/>
      <c r="Z18" s="232"/>
      <c r="AA18" s="105" t="s">
        <v>572</v>
      </c>
      <c r="AB18" s="105"/>
      <c r="AC18" s="105" t="s">
        <v>572</v>
      </c>
      <c r="AD18" s="232"/>
      <c r="AE18" s="105"/>
    </row>
    <row r="19" spans="1:31">
      <c r="A19" s="378">
        <v>4</v>
      </c>
      <c r="C19" s="83" t="s">
        <v>605</v>
      </c>
      <c r="E19" s="38">
        <f>SUM(E13:E17)</f>
        <v>2445357960.8099999</v>
      </c>
      <c r="F19" s="107">
        <f>SUM(F13:F17)</f>
        <v>1</v>
      </c>
      <c r="G19" s="235">
        <f>SUM(G13:G17)</f>
        <v>1977060569.1399999</v>
      </c>
      <c r="H19" s="107">
        <f>SUM(H13:H17)</f>
        <v>1</v>
      </c>
      <c r="I19" s="38">
        <f>SUM(I13:I17)</f>
        <v>1937519357.7572</v>
      </c>
      <c r="J19" s="38"/>
      <c r="K19" s="38"/>
      <c r="L19" s="38">
        <v>-1025060</v>
      </c>
      <c r="M19" s="38"/>
      <c r="N19" s="38">
        <v>-113080671</v>
      </c>
      <c r="O19" s="38"/>
      <c r="P19" s="38"/>
      <c r="Q19" s="38">
        <v>-2950020.7334000003</v>
      </c>
      <c r="R19" s="38"/>
      <c r="S19" s="38"/>
      <c r="T19" s="38">
        <v>18000000</v>
      </c>
      <c r="U19" s="38"/>
      <c r="V19" s="38">
        <v>-655168.37</v>
      </c>
      <c r="W19" s="38"/>
      <c r="X19" s="38">
        <v>-502365.72</v>
      </c>
      <c r="Y19" s="38"/>
      <c r="Z19" s="38"/>
      <c r="AA19" s="38">
        <f>SUM(AA13:AA17)</f>
        <v>-98731574.236599997</v>
      </c>
      <c r="AB19" s="38"/>
      <c r="AC19" s="38">
        <f>SUM(AC13:AC17)</f>
        <v>1838787783.5205998</v>
      </c>
      <c r="AD19" s="38"/>
      <c r="AE19" s="38"/>
    </row>
    <row r="20" spans="1:31">
      <c r="A20" s="378"/>
      <c r="E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>
      <c r="A21" s="378"/>
      <c r="E21" s="105" t="s">
        <v>572</v>
      </c>
      <c r="F21" s="105"/>
      <c r="G21" s="105"/>
      <c r="H21" s="105"/>
      <c r="I21" s="105"/>
      <c r="J21" s="377"/>
      <c r="K21" s="377"/>
      <c r="L21" s="377" t="s">
        <v>572</v>
      </c>
      <c r="M21" s="377"/>
      <c r="N21" s="377" t="s">
        <v>572</v>
      </c>
      <c r="O21" s="377"/>
      <c r="P21" s="377"/>
      <c r="Q21" s="377" t="s">
        <v>572</v>
      </c>
      <c r="R21" s="377"/>
      <c r="S21" s="377"/>
      <c r="T21" s="377" t="s">
        <v>572</v>
      </c>
      <c r="U21" s="377"/>
      <c r="V21" s="377" t="s">
        <v>572</v>
      </c>
      <c r="W21" s="232"/>
      <c r="X21" s="377" t="s">
        <v>681</v>
      </c>
      <c r="Y21" s="232"/>
      <c r="Z21" s="232"/>
      <c r="AA21" s="105" t="s">
        <v>572</v>
      </c>
      <c r="AB21" s="105"/>
      <c r="AC21" s="105" t="s">
        <v>572</v>
      </c>
      <c r="AD21" s="232"/>
      <c r="AE21" s="105"/>
    </row>
    <row r="22" spans="1:31">
      <c r="A22" s="378">
        <v>5</v>
      </c>
      <c r="C22" s="83" t="s">
        <v>432</v>
      </c>
      <c r="E22" s="104">
        <f>SUM(E19:E20)</f>
        <v>2445357960.8099999</v>
      </c>
      <c r="F22" s="104"/>
      <c r="G22" s="104">
        <f>SUM(G19:G20)</f>
        <v>1977060569.1399999</v>
      </c>
      <c r="H22" s="104"/>
      <c r="I22" s="104">
        <f>SUM(I19:I20)</f>
        <v>1937519357.7572</v>
      </c>
      <c r="J22" s="104"/>
      <c r="K22" s="108"/>
      <c r="L22" s="104">
        <f>SUM(L19:L20)</f>
        <v>-1025060</v>
      </c>
      <c r="M22" s="108"/>
      <c r="N22" s="104">
        <f>SUM(N19:N20)</f>
        <v>-113080671</v>
      </c>
      <c r="O22" s="108"/>
      <c r="P22" s="108"/>
      <c r="Q22" s="104">
        <f>SUM(Q19:Q20)</f>
        <v>-2950020.7334000003</v>
      </c>
      <c r="R22" s="108"/>
      <c r="S22" s="108"/>
      <c r="T22" s="104">
        <f>SUM(T19:T20)</f>
        <v>18000000</v>
      </c>
      <c r="U22" s="108"/>
      <c r="V22" s="104">
        <f>SUM(V19:V20)</f>
        <v>-655168.37</v>
      </c>
      <c r="W22" s="108"/>
      <c r="X22" s="104">
        <f>SUM(X19:X20)</f>
        <v>-502365.72</v>
      </c>
      <c r="Y22" s="108"/>
      <c r="Z22" s="108"/>
      <c r="AA22" s="108">
        <f>SUM(AA19:AA20)</f>
        <v>-98731574.236599997</v>
      </c>
      <c r="AB22" s="108"/>
      <c r="AC22" s="108">
        <f>SUM(AC19:AC20)</f>
        <v>1838787783.5205998</v>
      </c>
      <c r="AD22" s="108"/>
      <c r="AE22" s="108"/>
    </row>
    <row r="23" spans="1:31">
      <c r="A23" s="378"/>
      <c r="E23" s="105" t="s">
        <v>747</v>
      </c>
      <c r="F23" s="105"/>
      <c r="G23" s="105" t="s">
        <v>747</v>
      </c>
      <c r="H23" s="105"/>
      <c r="I23" s="105"/>
      <c r="J23" s="377"/>
      <c r="K23" s="105"/>
      <c r="L23" s="105" t="s">
        <v>538</v>
      </c>
      <c r="M23" s="105"/>
      <c r="N23" s="105" t="s">
        <v>538</v>
      </c>
      <c r="O23" s="105"/>
      <c r="P23" s="105"/>
      <c r="Q23" s="105" t="s">
        <v>538</v>
      </c>
      <c r="R23" s="105"/>
      <c r="S23" s="105"/>
      <c r="T23" s="105" t="s">
        <v>538</v>
      </c>
      <c r="U23" s="105"/>
      <c r="V23" s="105" t="s">
        <v>538</v>
      </c>
      <c r="W23" s="95"/>
      <c r="X23" s="105" t="s">
        <v>552</v>
      </c>
      <c r="Y23" s="95"/>
      <c r="Z23" s="95"/>
      <c r="AA23" s="105" t="s">
        <v>538</v>
      </c>
      <c r="AB23" s="105"/>
      <c r="AC23" s="105" t="s">
        <v>538</v>
      </c>
      <c r="AD23" s="95"/>
      <c r="AE23" s="105"/>
    </row>
    <row r="24" spans="1:31">
      <c r="A24" s="378"/>
      <c r="E24" s="377"/>
      <c r="F24" s="377"/>
      <c r="G24" s="377"/>
      <c r="H24" s="377"/>
      <c r="I24" s="377"/>
      <c r="J24" s="377"/>
      <c r="K24" s="377"/>
      <c r="L24" s="377"/>
      <c r="M24" s="377"/>
      <c r="N24" s="377"/>
      <c r="O24" s="377"/>
      <c r="P24" s="377"/>
      <c r="Q24" s="377"/>
      <c r="R24" s="377"/>
      <c r="S24" s="377"/>
      <c r="T24" s="377"/>
      <c r="U24" s="377"/>
      <c r="V24" s="377"/>
      <c r="W24" s="378"/>
      <c r="X24" s="377"/>
      <c r="Y24" s="378"/>
      <c r="Z24" s="378"/>
      <c r="AA24" s="377"/>
      <c r="AB24" s="377"/>
      <c r="AC24" s="377"/>
      <c r="AD24" s="378"/>
      <c r="AE24" s="105"/>
    </row>
    <row r="25" spans="1:31" ht="13">
      <c r="A25" s="378">
        <v>6</v>
      </c>
      <c r="C25" s="83" t="s">
        <v>725</v>
      </c>
      <c r="F25" s="223"/>
      <c r="G25" s="223"/>
      <c r="H25" s="223"/>
      <c r="I25" s="388">
        <f>'Allocation Factors'!$G$24</f>
        <v>0.98</v>
      </c>
      <c r="J25" s="388"/>
      <c r="K25" s="378"/>
      <c r="L25" s="388">
        <f>'Allocation Factors'!G14</f>
        <v>0.98599999999999999</v>
      </c>
      <c r="M25" s="378"/>
      <c r="N25" s="388">
        <f>'Allocation Factors'!$G$10</f>
        <v>0.98499999999999999</v>
      </c>
      <c r="O25" s="378"/>
      <c r="P25" s="378"/>
      <c r="Q25" s="388">
        <v>1</v>
      </c>
      <c r="R25" s="378"/>
      <c r="S25" s="378"/>
      <c r="T25" s="388">
        <f>'Allocation Factors'!G14</f>
        <v>0.98599999999999999</v>
      </c>
      <c r="U25" s="378"/>
      <c r="V25" s="388">
        <f>'Allocation Factors'!$G$24</f>
        <v>0.98</v>
      </c>
      <c r="W25" s="378"/>
      <c r="X25" s="388">
        <f>'Allocation Factors'!$G$24</f>
        <v>0.98</v>
      </c>
      <c r="AA25" s="235"/>
      <c r="AB25" s="235"/>
      <c r="AC25" s="235"/>
    </row>
    <row r="26" spans="1:31">
      <c r="A26" s="378"/>
      <c r="AA26" s="104"/>
      <c r="AB26" s="104"/>
      <c r="AC26" s="104"/>
    </row>
    <row r="27" spans="1:31">
      <c r="A27" s="378"/>
      <c r="E27" s="378"/>
      <c r="F27" s="378"/>
      <c r="G27" s="378"/>
      <c r="H27" s="378"/>
      <c r="I27" s="378" t="s">
        <v>350</v>
      </c>
      <c r="J27" s="378"/>
      <c r="K27" s="378"/>
      <c r="L27" s="378" t="s">
        <v>340</v>
      </c>
      <c r="M27" s="378"/>
      <c r="N27" s="378" t="s">
        <v>337</v>
      </c>
      <c r="O27" s="378"/>
      <c r="P27" s="378"/>
      <c r="Q27" s="378" t="s">
        <v>358</v>
      </c>
      <c r="R27" s="378"/>
      <c r="S27" s="378"/>
      <c r="T27" s="378" t="s">
        <v>340</v>
      </c>
      <c r="U27" s="378"/>
      <c r="V27" s="378" t="s">
        <v>350</v>
      </c>
      <c r="W27" s="378"/>
      <c r="X27" s="378" t="s">
        <v>350</v>
      </c>
    </row>
    <row r="29" spans="1:31">
      <c r="E29" s="83" t="s">
        <v>1115</v>
      </c>
      <c r="G29" s="350">
        <v>83097578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31">
      <c r="G30" s="350"/>
    </row>
    <row r="31" spans="1:31" ht="13">
      <c r="C31" s="3" t="s">
        <v>1094</v>
      </c>
      <c r="D31" s="236"/>
      <c r="G31" s="104"/>
      <c r="I31" s="104"/>
      <c r="T31" s="252"/>
      <c r="AC31" s="38"/>
    </row>
    <row r="32" spans="1:31">
      <c r="C32" s="83" t="s">
        <v>1095</v>
      </c>
      <c r="G32" s="38">
        <v>477749000</v>
      </c>
      <c r="N32" s="83" t="s">
        <v>48</v>
      </c>
      <c r="AC32" s="14"/>
    </row>
    <row r="33" spans="3:20">
      <c r="C33" s="83" t="s">
        <v>1096</v>
      </c>
      <c r="G33" s="38">
        <v>-9451608.6099999994</v>
      </c>
      <c r="T33" s="252"/>
    </row>
    <row r="34" spans="3:20" ht="13">
      <c r="C34" s="386" t="s">
        <v>1112</v>
      </c>
      <c r="D34" s="386"/>
      <c r="E34" s="386"/>
      <c r="F34" s="386"/>
      <c r="G34" s="375">
        <f>SUM(G32:G33)</f>
        <v>468297391.38999999</v>
      </c>
    </row>
    <row r="35" spans="3:20">
      <c r="G35" s="38"/>
    </row>
    <row r="36" spans="3:20">
      <c r="C36" s="83" t="s">
        <v>1097</v>
      </c>
      <c r="G36" s="38">
        <v>-300000000</v>
      </c>
    </row>
    <row r="37" spans="3:20">
      <c r="C37" s="83" t="s">
        <v>1098</v>
      </c>
      <c r="G37" s="38">
        <f>-E15</f>
        <v>-85199813.670000002</v>
      </c>
    </row>
    <row r="38" spans="3:20" ht="13">
      <c r="C38" s="386" t="s">
        <v>1099</v>
      </c>
      <c r="D38" s="387"/>
      <c r="E38" s="387"/>
      <c r="F38" s="387"/>
      <c r="G38" s="375">
        <f>+G34+G36+G37</f>
        <v>83097577.719999984</v>
      </c>
    </row>
    <row r="51" spans="31:31" ht="24" customHeight="1">
      <c r="AE51" s="520"/>
    </row>
    <row r="52" spans="31:31" ht="24" customHeight="1">
      <c r="AE52" s="520"/>
    </row>
    <row r="53" spans="31:31">
      <c r="AE53" s="520"/>
    </row>
    <row r="54" spans="31:31">
      <c r="AE54" s="520"/>
    </row>
    <row r="55" spans="31:31">
      <c r="AE55" s="520"/>
    </row>
    <row r="56" spans="31:31">
      <c r="AE56" s="520"/>
    </row>
  </sheetData>
  <mergeCells count="1">
    <mergeCell ref="AE51:AE56"/>
  </mergeCells>
  <pageMargins left="0.7" right="0.7" top="0.75" bottom="0.75" header="0.3" footer="0.3"/>
  <pageSetup scale="30" orientation="portrait" r:id="rId1"/>
  <headerFooter>
    <oddHeader>&amp;RKPSC Case No. 2025-00257
SECTION V-Application
Exhibit 1
&amp;Pof&amp;N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3"/>
  <sheetViews>
    <sheetView view="pageBreakPreview" zoomScale="90" zoomScaleNormal="110" zoomScaleSheetLayoutView="90" workbookViewId="0">
      <pane xSplit="2" ySplit="13" topLeftCell="C14" activePane="bottomRight" state="frozen"/>
      <selection activeCell="C26" sqref="C26"/>
      <selection pane="topRight" activeCell="C26" sqref="C26"/>
      <selection pane="bottomLeft" activeCell="C26" sqref="C26"/>
      <selection pane="bottomRight" activeCell="K33" sqref="K33"/>
    </sheetView>
  </sheetViews>
  <sheetFormatPr defaultColWidth="9.1796875" defaultRowHeight="12.5"/>
  <cols>
    <col min="1" max="1" width="3.26953125" style="324" bestFit="1" customWidth="1"/>
    <col min="2" max="2" width="23.7265625" style="89" customWidth="1"/>
    <col min="3" max="3" width="2.26953125" style="89" customWidth="1"/>
    <col min="4" max="4" width="14.26953125" style="89" customWidth="1"/>
    <col min="5" max="5" width="12.81640625" style="89" customWidth="1"/>
    <col min="6" max="6" width="14" style="89" customWidth="1"/>
    <col min="7" max="7" width="8.1796875" style="89" bestFit="1" customWidth="1"/>
    <col min="8" max="8" width="15" style="89" customWidth="1"/>
    <col min="9" max="9" width="2.26953125" style="40" customWidth="1"/>
    <col min="10" max="10" width="10.7265625" style="89" customWidth="1"/>
    <col min="11" max="11" width="2.26953125" style="40" customWidth="1"/>
    <col min="12" max="12" width="14.26953125" style="89" bestFit="1" customWidth="1"/>
    <col min="13" max="14" width="9.26953125" style="89" bestFit="1" customWidth="1"/>
    <col min="15" max="15" width="14.26953125" style="89" bestFit="1" customWidth="1"/>
    <col min="16" max="16" width="2.26953125" style="40" customWidth="1"/>
    <col min="17" max="17" width="11.7265625" style="89" bestFit="1" customWidth="1"/>
    <col min="18" max="18" width="2.26953125" style="89" customWidth="1"/>
    <col min="19" max="19" width="9" style="89" bestFit="1" customWidth="1"/>
    <col min="20" max="20" width="8.7265625" style="324" customWidth="1"/>
    <col min="21" max="21" width="2.26953125" style="89" customWidth="1"/>
    <col min="22" max="16384" width="9.1796875" style="89"/>
  </cols>
  <sheetData>
    <row r="1" spans="1:20" ht="13">
      <c r="B1" s="521" t="s">
        <v>330</v>
      </c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S1" s="253"/>
      <c r="T1" s="95" t="s">
        <v>542</v>
      </c>
    </row>
    <row r="2" spans="1:20" ht="13">
      <c r="B2" s="521" t="s">
        <v>864</v>
      </c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S2" s="254"/>
      <c r="T2" s="95" t="s">
        <v>646</v>
      </c>
    </row>
    <row r="3" spans="1:20" ht="13">
      <c r="B3" s="521" t="s">
        <v>1019</v>
      </c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S3" s="254"/>
      <c r="T3" s="95" t="s">
        <v>647</v>
      </c>
    </row>
    <row r="4" spans="1:20" ht="13">
      <c r="B4" s="521" t="s">
        <v>606</v>
      </c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3"/>
      <c r="S4" s="3"/>
      <c r="T4" s="196"/>
    </row>
    <row r="7" spans="1:20">
      <c r="B7" s="324"/>
      <c r="C7" s="324"/>
      <c r="D7" s="324"/>
      <c r="E7" s="324"/>
      <c r="F7" s="324"/>
      <c r="G7" s="324"/>
      <c r="H7" s="324"/>
      <c r="I7" s="255"/>
      <c r="J7" s="324"/>
      <c r="K7" s="255"/>
      <c r="L7" s="324"/>
      <c r="M7" s="324"/>
      <c r="N7" s="324"/>
      <c r="O7" s="324"/>
      <c r="P7" s="255"/>
      <c r="Q7" s="324" t="s">
        <v>560</v>
      </c>
      <c r="R7" s="324"/>
      <c r="S7" s="324"/>
    </row>
    <row r="8" spans="1:20">
      <c r="B8" s="324"/>
      <c r="C8" s="324"/>
      <c r="D8" s="324"/>
      <c r="E8" s="324"/>
      <c r="F8" s="324"/>
      <c r="G8" s="324"/>
      <c r="H8" s="324"/>
      <c r="I8" s="255"/>
      <c r="J8" s="324" t="s">
        <v>432</v>
      </c>
      <c r="K8" s="255"/>
      <c r="L8" s="324" t="s">
        <v>607</v>
      </c>
      <c r="M8" s="324"/>
      <c r="N8" s="324"/>
      <c r="O8" s="324"/>
      <c r="P8" s="255"/>
      <c r="Q8" s="324" t="s">
        <v>608</v>
      </c>
      <c r="R8" s="324"/>
      <c r="S8" s="324"/>
    </row>
    <row r="9" spans="1:20">
      <c r="B9" s="324"/>
      <c r="C9" s="324"/>
      <c r="D9" s="324"/>
      <c r="E9" s="324"/>
      <c r="F9" s="324"/>
      <c r="G9" s="324"/>
      <c r="H9" s="324"/>
      <c r="I9" s="255"/>
      <c r="J9" s="324" t="s">
        <v>609</v>
      </c>
      <c r="K9" s="255"/>
      <c r="L9" s="324" t="s">
        <v>610</v>
      </c>
      <c r="M9" s="324"/>
      <c r="N9" s="324"/>
      <c r="O9" s="324"/>
      <c r="P9" s="255"/>
      <c r="Q9" s="384" t="s">
        <v>611</v>
      </c>
      <c r="R9" s="384"/>
      <c r="S9" s="384"/>
    </row>
    <row r="10" spans="1:20">
      <c r="B10" s="324"/>
      <c r="C10" s="324"/>
      <c r="D10" s="324"/>
      <c r="E10" s="324"/>
      <c r="F10" s="324"/>
      <c r="G10" s="324" t="s">
        <v>612</v>
      </c>
      <c r="H10" s="324" t="s">
        <v>613</v>
      </c>
      <c r="I10" s="255"/>
      <c r="J10" s="324" t="s">
        <v>614</v>
      </c>
      <c r="K10" s="255"/>
      <c r="L10" s="324" t="s">
        <v>615</v>
      </c>
      <c r="M10" s="324" t="s">
        <v>616</v>
      </c>
      <c r="N10" s="324" t="s">
        <v>617</v>
      </c>
      <c r="O10" s="324" t="s">
        <v>618</v>
      </c>
      <c r="P10" s="255"/>
      <c r="Q10" s="324" t="s">
        <v>619</v>
      </c>
      <c r="R10" s="324"/>
      <c r="S10" s="324" t="s">
        <v>560</v>
      </c>
      <c r="T10" s="324" t="s">
        <v>620</v>
      </c>
    </row>
    <row r="11" spans="1:20">
      <c r="A11" s="324" t="s">
        <v>621</v>
      </c>
      <c r="B11" s="324"/>
      <c r="C11" s="324"/>
      <c r="D11" s="324" t="s">
        <v>622</v>
      </c>
      <c r="E11" s="324" t="s">
        <v>623</v>
      </c>
      <c r="F11" s="324" t="s">
        <v>623</v>
      </c>
      <c r="G11" s="324" t="s">
        <v>624</v>
      </c>
      <c r="H11" s="324" t="s">
        <v>625</v>
      </c>
      <c r="I11" s="255"/>
      <c r="J11" s="324" t="s">
        <v>626</v>
      </c>
      <c r="K11" s="255"/>
      <c r="L11" s="324" t="s">
        <v>627</v>
      </c>
      <c r="M11" s="324" t="s">
        <v>628</v>
      </c>
      <c r="N11" s="324" t="s">
        <v>559</v>
      </c>
      <c r="O11" s="324" t="s">
        <v>625</v>
      </c>
      <c r="P11" s="255"/>
      <c r="Q11" s="324" t="s">
        <v>629</v>
      </c>
      <c r="R11" s="324"/>
      <c r="S11" s="324" t="s">
        <v>630</v>
      </c>
      <c r="T11" s="324" t="s">
        <v>562</v>
      </c>
    </row>
    <row r="12" spans="1:20">
      <c r="A12" s="385" t="s">
        <v>631</v>
      </c>
      <c r="B12" s="385" t="s">
        <v>7</v>
      </c>
      <c r="C12" s="385"/>
      <c r="D12" s="385" t="s">
        <v>632</v>
      </c>
      <c r="E12" s="385" t="s">
        <v>633</v>
      </c>
      <c r="F12" s="385" t="s">
        <v>634</v>
      </c>
      <c r="G12" s="385" t="s">
        <v>1157</v>
      </c>
      <c r="H12" s="385" t="s">
        <v>635</v>
      </c>
      <c r="I12" s="256"/>
      <c r="J12" s="385" t="s">
        <v>390</v>
      </c>
      <c r="K12" s="256"/>
      <c r="L12" s="385" t="s">
        <v>636</v>
      </c>
      <c r="M12" s="385" t="s">
        <v>637</v>
      </c>
      <c r="N12" s="385" t="s">
        <v>564</v>
      </c>
      <c r="O12" s="385" t="s">
        <v>638</v>
      </c>
      <c r="P12" s="256"/>
      <c r="Q12" s="385" t="s">
        <v>639</v>
      </c>
      <c r="R12" s="385"/>
      <c r="S12" s="385" t="s">
        <v>611</v>
      </c>
      <c r="T12" s="385" t="s">
        <v>640</v>
      </c>
    </row>
    <row r="13" spans="1:20">
      <c r="A13" s="257">
        <v>-1</v>
      </c>
      <c r="B13" s="257">
        <f>+A13-1</f>
        <v>-2</v>
      </c>
      <c r="C13" s="257"/>
      <c r="D13" s="257">
        <f>+B13-1</f>
        <v>-3</v>
      </c>
      <c r="E13" s="257">
        <f>+D13-1</f>
        <v>-4</v>
      </c>
      <c r="F13" s="257">
        <f t="shared" ref="F13:T13" si="0">+E13-1</f>
        <v>-5</v>
      </c>
      <c r="G13" s="257">
        <f t="shared" si="0"/>
        <v>-6</v>
      </c>
      <c r="H13" s="257">
        <f t="shared" si="0"/>
        <v>-7</v>
      </c>
      <c r="I13" s="258"/>
      <c r="J13" s="257">
        <f>+H13-1</f>
        <v>-8</v>
      </c>
      <c r="K13" s="258"/>
      <c r="L13" s="257">
        <f>+J13-1</f>
        <v>-9</v>
      </c>
      <c r="M13" s="257">
        <f t="shared" si="0"/>
        <v>-10</v>
      </c>
      <c r="N13" s="257">
        <f t="shared" si="0"/>
        <v>-11</v>
      </c>
      <c r="O13" s="257">
        <f t="shared" si="0"/>
        <v>-12</v>
      </c>
      <c r="P13" s="258"/>
      <c r="Q13" s="257">
        <f>+O13-1</f>
        <v>-13</v>
      </c>
      <c r="R13" s="257"/>
      <c r="S13" s="257">
        <f>+Q13-1</f>
        <v>-14</v>
      </c>
      <c r="T13" s="257">
        <f t="shared" si="0"/>
        <v>-15</v>
      </c>
    </row>
    <row r="15" spans="1:20" ht="13">
      <c r="B15" s="259" t="s">
        <v>643</v>
      </c>
      <c r="D15" s="260"/>
      <c r="E15" s="261"/>
      <c r="F15" s="261"/>
      <c r="G15" s="262"/>
      <c r="H15" s="263"/>
      <c r="I15" s="264"/>
      <c r="J15" s="263"/>
      <c r="K15" s="264"/>
      <c r="L15" s="263"/>
      <c r="M15" s="265"/>
      <c r="N15" s="260"/>
      <c r="O15" s="263"/>
      <c r="P15" s="264"/>
    </row>
    <row r="16" spans="1:20">
      <c r="A16" s="324">
        <v>1</v>
      </c>
      <c r="B16" s="89" t="s">
        <v>644</v>
      </c>
      <c r="D16" s="260">
        <v>4.1799999999999997E-2</v>
      </c>
      <c r="E16" s="389">
        <v>41912</v>
      </c>
      <c r="F16" s="389">
        <v>46295</v>
      </c>
      <c r="G16" s="390">
        <v>1.413888888888889</v>
      </c>
      <c r="H16" s="263">
        <v>120000</v>
      </c>
      <c r="I16" s="264"/>
      <c r="J16" s="263">
        <v>638.46400000000006</v>
      </c>
      <c r="K16" s="264"/>
      <c r="L16" s="263">
        <f>+H16-J16</f>
        <v>119361.53599999999</v>
      </c>
      <c r="M16" s="266">
        <f>L16/H16*100</f>
        <v>99.467946666666663</v>
      </c>
      <c r="N16" s="260">
        <f>YIELD(E16,F16,D16,M16,100,2)</f>
        <v>4.237018604935102E-2</v>
      </c>
      <c r="O16" s="263">
        <v>120000</v>
      </c>
      <c r="P16" s="264"/>
      <c r="Q16" s="267">
        <f t="shared" ref="Q16:Q24" si="1">ROUND(O16*N16,0)</f>
        <v>5084</v>
      </c>
      <c r="R16" s="267"/>
      <c r="T16" s="324" t="s">
        <v>641</v>
      </c>
    </row>
    <row r="17" spans="1:20">
      <c r="A17" s="324">
        <v>2</v>
      </c>
      <c r="B17" s="89" t="s">
        <v>644</v>
      </c>
      <c r="D17" s="260">
        <v>8.0299999999999996E-2</v>
      </c>
      <c r="E17" s="389">
        <v>39982</v>
      </c>
      <c r="F17" s="389">
        <v>47287</v>
      </c>
      <c r="G17" s="390">
        <v>4.1305555555555555</v>
      </c>
      <c r="H17" s="263">
        <v>30000</v>
      </c>
      <c r="I17" s="264"/>
      <c r="J17" s="263">
        <v>148.03200000000001</v>
      </c>
      <c r="K17" s="264"/>
      <c r="L17" s="263">
        <f t="shared" ref="L17:L24" si="2">+H17-J17</f>
        <v>29851.968000000001</v>
      </c>
      <c r="M17" s="266">
        <f t="shared" ref="M17:M24" si="3">L17/H17*100</f>
        <v>99.506559999999993</v>
      </c>
      <c r="N17" s="260">
        <f t="shared" ref="N17:N24" si="4">YIELD(E17,F17,D17,M17,100,2)</f>
        <v>8.0801583951206277E-2</v>
      </c>
      <c r="O17" s="263">
        <v>30000</v>
      </c>
      <c r="P17" s="264"/>
      <c r="Q17" s="267">
        <f t="shared" si="1"/>
        <v>2424</v>
      </c>
      <c r="R17" s="267"/>
      <c r="T17" s="324" t="s">
        <v>641</v>
      </c>
    </row>
    <row r="18" spans="1:20">
      <c r="A18" s="324">
        <v>3</v>
      </c>
      <c r="B18" s="89" t="s">
        <v>644</v>
      </c>
      <c r="D18" s="260">
        <v>4.3299999999999998E-2</v>
      </c>
      <c r="E18" s="389">
        <v>42003</v>
      </c>
      <c r="F18" s="389">
        <v>46386</v>
      </c>
      <c r="G18" s="390">
        <v>1.663888888888889</v>
      </c>
      <c r="H18" s="263">
        <v>80000</v>
      </c>
      <c r="I18" s="264"/>
      <c r="J18" s="263">
        <v>414.94099999999997</v>
      </c>
      <c r="K18" s="264"/>
      <c r="L18" s="263">
        <f t="shared" si="2"/>
        <v>79585.058999999994</v>
      </c>
      <c r="M18" s="266">
        <f t="shared" si="3"/>
        <v>99.481323750000001</v>
      </c>
      <c r="N18" s="260">
        <f t="shared" si="4"/>
        <v>4.3860525468707098E-2</v>
      </c>
      <c r="O18" s="263">
        <v>80000</v>
      </c>
      <c r="P18" s="264"/>
      <c r="Q18" s="267">
        <f t="shared" si="1"/>
        <v>3509</v>
      </c>
      <c r="R18" s="267"/>
      <c r="T18" s="324" t="s">
        <v>641</v>
      </c>
    </row>
    <row r="19" spans="1:20">
      <c r="A19" s="324">
        <f t="shared" ref="A19:A24" si="5">A18+1</f>
        <v>4</v>
      </c>
      <c r="B19" s="89" t="s">
        <v>644</v>
      </c>
      <c r="D19" s="260">
        <v>8.1299999999999997E-2</v>
      </c>
      <c r="E19" s="389">
        <v>39982</v>
      </c>
      <c r="F19" s="389">
        <v>50939</v>
      </c>
      <c r="G19" s="390">
        <v>14.130555555555556</v>
      </c>
      <c r="H19" s="263">
        <v>60000</v>
      </c>
      <c r="I19" s="264"/>
      <c r="J19" s="263">
        <v>342.28500000000003</v>
      </c>
      <c r="K19" s="264"/>
      <c r="L19" s="263">
        <f t="shared" si="2"/>
        <v>59657.714999999997</v>
      </c>
      <c r="M19" s="266">
        <f t="shared" si="3"/>
        <v>99.429524999999998</v>
      </c>
      <c r="N19" s="260">
        <f t="shared" si="4"/>
        <v>8.1813005441215558E-2</v>
      </c>
      <c r="O19" s="263">
        <v>60000</v>
      </c>
      <c r="P19" s="264"/>
      <c r="Q19" s="267">
        <f t="shared" si="1"/>
        <v>4909</v>
      </c>
      <c r="R19" s="267"/>
      <c r="T19" s="324" t="s">
        <v>641</v>
      </c>
    </row>
    <row r="20" spans="1:20">
      <c r="A20" s="324">
        <f t="shared" si="5"/>
        <v>5</v>
      </c>
      <c r="B20" s="89" t="s">
        <v>644</v>
      </c>
      <c r="D20" s="260">
        <v>5.6250000000000001E-2</v>
      </c>
      <c r="E20" s="389">
        <v>37785</v>
      </c>
      <c r="F20" s="389">
        <v>48549</v>
      </c>
      <c r="G20" s="390">
        <v>7.583333333333333</v>
      </c>
      <c r="H20" s="263">
        <v>75000</v>
      </c>
      <c r="I20" s="264"/>
      <c r="J20" s="263">
        <v>736.57500000000005</v>
      </c>
      <c r="K20" s="264"/>
      <c r="L20" s="263">
        <f t="shared" si="2"/>
        <v>74263.425000000003</v>
      </c>
      <c r="M20" s="266">
        <f t="shared" si="3"/>
        <v>99.017899999999997</v>
      </c>
      <c r="N20" s="260">
        <f t="shared" si="4"/>
        <v>5.6939686730081547E-2</v>
      </c>
      <c r="O20" s="263">
        <v>75000</v>
      </c>
      <c r="P20" s="264"/>
      <c r="Q20" s="267">
        <f t="shared" si="1"/>
        <v>4270</v>
      </c>
      <c r="R20" s="267"/>
      <c r="T20" s="324" t="s">
        <v>641</v>
      </c>
    </row>
    <row r="21" spans="1:20">
      <c r="A21" s="324">
        <f t="shared" si="5"/>
        <v>6</v>
      </c>
      <c r="B21" s="89" t="s">
        <v>644</v>
      </c>
      <c r="D21" s="260">
        <v>3.3500000000000002E-2</v>
      </c>
      <c r="E21" s="389">
        <v>42990</v>
      </c>
      <c r="F21" s="389">
        <v>46642</v>
      </c>
      <c r="G21" s="390">
        <v>2.3638888888888889</v>
      </c>
      <c r="H21" s="263">
        <v>40000</v>
      </c>
      <c r="I21" s="264"/>
      <c r="J21" s="263">
        <v>129.70099999999999</v>
      </c>
      <c r="K21" s="264"/>
      <c r="L21" s="263">
        <f t="shared" si="2"/>
        <v>39870.298999999999</v>
      </c>
      <c r="M21" s="266">
        <f t="shared" si="3"/>
        <v>99.6757475</v>
      </c>
      <c r="N21" s="260">
        <f t="shared" si="4"/>
        <v>3.3884998839074414E-2</v>
      </c>
      <c r="O21" s="263">
        <v>40000</v>
      </c>
      <c r="P21" s="264"/>
      <c r="Q21" s="267">
        <f t="shared" si="1"/>
        <v>1355</v>
      </c>
      <c r="R21" s="267"/>
      <c r="T21" s="324" t="s">
        <v>641</v>
      </c>
    </row>
    <row r="22" spans="1:20">
      <c r="A22" s="324">
        <f t="shared" si="5"/>
        <v>7</v>
      </c>
      <c r="B22" s="89" t="s">
        <v>644</v>
      </c>
      <c r="D22" s="260">
        <v>3.4500000000000003E-2</v>
      </c>
      <c r="E22" s="389">
        <v>42990</v>
      </c>
      <c r="F22" s="389">
        <v>47373</v>
      </c>
      <c r="G22" s="390">
        <v>4.3638888888888889</v>
      </c>
      <c r="H22" s="263">
        <v>165000</v>
      </c>
      <c r="I22" s="264"/>
      <c r="J22" s="263">
        <v>535.01700000000005</v>
      </c>
      <c r="K22" s="264"/>
      <c r="L22" s="263">
        <f t="shared" si="2"/>
        <v>164464.98300000001</v>
      </c>
      <c r="M22" s="266">
        <f t="shared" si="3"/>
        <v>99.675747272727278</v>
      </c>
      <c r="N22" s="260">
        <f t="shared" si="4"/>
        <v>3.4832919427011416E-2</v>
      </c>
      <c r="O22" s="263">
        <v>165000</v>
      </c>
      <c r="P22" s="264"/>
      <c r="Q22" s="267">
        <f t="shared" si="1"/>
        <v>5747</v>
      </c>
      <c r="R22" s="267"/>
      <c r="T22" s="324" t="s">
        <v>641</v>
      </c>
    </row>
    <row r="23" spans="1:20">
      <c r="A23" s="324">
        <f t="shared" si="5"/>
        <v>8</v>
      </c>
      <c r="B23" s="89" t="s">
        <v>644</v>
      </c>
      <c r="D23" s="260">
        <v>4.1200000000000001E-2</v>
      </c>
      <c r="E23" s="389">
        <v>42990</v>
      </c>
      <c r="F23" s="389">
        <v>53947</v>
      </c>
      <c r="G23" s="390">
        <v>22.363888888888887</v>
      </c>
      <c r="H23" s="263">
        <v>55000</v>
      </c>
      <c r="I23" s="264"/>
      <c r="J23" s="263">
        <v>178.339</v>
      </c>
      <c r="K23" s="264"/>
      <c r="L23" s="263">
        <f t="shared" si="2"/>
        <v>54821.661</v>
      </c>
      <c r="M23" s="266">
        <f t="shared" si="3"/>
        <v>99.675747272727278</v>
      </c>
      <c r="N23" s="260">
        <f t="shared" si="4"/>
        <v>4.1389713673920497E-2</v>
      </c>
      <c r="O23" s="263">
        <v>55000</v>
      </c>
      <c r="P23" s="264"/>
      <c r="Q23" s="267">
        <f t="shared" si="1"/>
        <v>2276</v>
      </c>
      <c r="R23" s="267"/>
      <c r="T23" s="324" t="s">
        <v>641</v>
      </c>
    </row>
    <row r="24" spans="1:20">
      <c r="A24" s="324">
        <f t="shared" si="5"/>
        <v>9</v>
      </c>
      <c r="B24" s="89" t="s">
        <v>644</v>
      </c>
      <c r="D24" s="260">
        <v>7.0000000000000007E-2</v>
      </c>
      <c r="E24" s="389">
        <v>45240</v>
      </c>
      <c r="F24" s="389">
        <v>48898</v>
      </c>
      <c r="G24" s="390">
        <v>8.5388888888888896</v>
      </c>
      <c r="H24" s="263">
        <v>375000</v>
      </c>
      <c r="I24" s="264"/>
      <c r="J24" s="263">
        <v>671.25</v>
      </c>
      <c r="K24" s="264"/>
      <c r="L24" s="263">
        <f t="shared" si="2"/>
        <v>374328.75</v>
      </c>
      <c r="M24" s="266">
        <f t="shared" si="3"/>
        <v>99.820999999999998</v>
      </c>
      <c r="N24" s="260">
        <f t="shared" si="4"/>
        <v>7.0249625639618077E-2</v>
      </c>
      <c r="O24" s="263">
        <v>375000</v>
      </c>
      <c r="P24" s="264"/>
      <c r="Q24" s="267">
        <f t="shared" si="1"/>
        <v>26344</v>
      </c>
      <c r="R24" s="267"/>
      <c r="T24" s="324" t="s">
        <v>641</v>
      </c>
    </row>
    <row r="25" spans="1:20">
      <c r="D25" s="260"/>
      <c r="E25" s="268"/>
      <c r="F25" s="268"/>
      <c r="G25" s="269"/>
      <c r="H25" s="263"/>
      <c r="I25" s="264"/>
      <c r="L25" s="263"/>
      <c r="M25" s="265"/>
      <c r="N25" s="260"/>
      <c r="O25" s="263"/>
      <c r="P25" s="264"/>
      <c r="Q25" s="270"/>
      <c r="R25" s="40"/>
    </row>
    <row r="26" spans="1:20">
      <c r="A26" s="324">
        <v>10</v>
      </c>
      <c r="B26" s="89" t="s">
        <v>642</v>
      </c>
      <c r="D26" s="383"/>
      <c r="E26" s="383"/>
      <c r="F26" s="383"/>
      <c r="G26" s="269"/>
      <c r="H26" s="271">
        <f>SUM(H16:H25)</f>
        <v>1000000</v>
      </c>
      <c r="I26" s="264"/>
      <c r="J26" s="271">
        <f>SUM(J16:J25)</f>
        <v>3794.6040000000003</v>
      </c>
      <c r="K26" s="264"/>
      <c r="L26" s="271">
        <f>SUM(L16:L25)</f>
        <v>996205.39599999983</v>
      </c>
      <c r="M26" s="272"/>
      <c r="N26" s="264"/>
      <c r="O26" s="271">
        <f>SUM(O16:O25)</f>
        <v>1000000</v>
      </c>
      <c r="P26" s="264"/>
      <c r="Q26" s="271">
        <f>SUM(Q16:Q25)</f>
        <v>55918</v>
      </c>
      <c r="R26" s="264"/>
    </row>
    <row r="28" spans="1:20" ht="13">
      <c r="B28" s="273" t="s">
        <v>746</v>
      </c>
    </row>
    <row r="29" spans="1:20">
      <c r="A29" s="324">
        <f>A26+1</f>
        <v>11</v>
      </c>
      <c r="B29" s="83" t="s">
        <v>746</v>
      </c>
      <c r="D29" s="391">
        <v>4.7E-2</v>
      </c>
      <c r="E29" s="392">
        <v>45097</v>
      </c>
      <c r="F29" s="392">
        <v>49766</v>
      </c>
      <c r="G29" s="393">
        <v>3</v>
      </c>
      <c r="H29" s="263">
        <v>65000</v>
      </c>
      <c r="J29" s="263">
        <v>340</v>
      </c>
      <c r="L29" s="263">
        <f t="shared" ref="L29" si="6">+H29-J29</f>
        <v>64660</v>
      </c>
      <c r="M29" s="266">
        <f>L29/H29*100</f>
        <v>99.476923076923072</v>
      </c>
      <c r="N29" s="260">
        <f t="shared" ref="N29" si="7">YIELD(E29,F29,D29,M29,100,2)</f>
        <v>4.7543681910086774E-2</v>
      </c>
      <c r="O29" s="394">
        <v>65000</v>
      </c>
      <c r="Q29" s="267">
        <f>ROUND(O29*N29,0)</f>
        <v>3090</v>
      </c>
      <c r="T29" s="324" t="s">
        <v>641</v>
      </c>
    </row>
    <row r="30" spans="1:20">
      <c r="G30" s="324"/>
      <c r="H30" s="372">
        <f>SUM(H29)</f>
        <v>65000</v>
      </c>
      <c r="J30" s="372">
        <f>SUM(J29)</f>
        <v>340</v>
      </c>
      <c r="L30" s="372">
        <f>SUM(L29)</f>
        <v>64660</v>
      </c>
      <c r="O30" s="274">
        <f>SUM(O29)</f>
        <v>65000</v>
      </c>
      <c r="Q30" s="271">
        <f>SUM(Q29)</f>
        <v>3090</v>
      </c>
    </row>
    <row r="31" spans="1:20">
      <c r="G31" s="324"/>
    </row>
    <row r="32" spans="1:20" ht="13">
      <c r="A32" s="236"/>
      <c r="B32" s="275" t="s">
        <v>884</v>
      </c>
      <c r="C32" s="236"/>
      <c r="D32" s="236"/>
      <c r="E32" s="236"/>
      <c r="F32" s="236"/>
      <c r="G32" s="27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</row>
    <row r="33" spans="1:20">
      <c r="A33" s="276">
        <v>12</v>
      </c>
      <c r="B33" s="193" t="s">
        <v>988</v>
      </c>
      <c r="C33" s="236"/>
      <c r="D33" s="395">
        <v>5.37867E-2</v>
      </c>
      <c r="E33" s="396">
        <v>45469</v>
      </c>
      <c r="F33" s="396">
        <v>45833</v>
      </c>
      <c r="G33" s="393">
        <v>3.9750000000000001</v>
      </c>
      <c r="H33" s="263">
        <v>150000</v>
      </c>
      <c r="I33" s="236"/>
      <c r="J33" s="397">
        <v>0</v>
      </c>
      <c r="K33" s="236"/>
      <c r="L33" s="263">
        <f t="shared" ref="L33:L34" si="8">+H33-J33</f>
        <v>150000</v>
      </c>
      <c r="M33" s="266">
        <f>L33/H33*100</f>
        <v>100</v>
      </c>
      <c r="N33" s="260">
        <f t="shared" ref="N33:N34" si="9">YIELD(E33,F33,D33,M33,100,2)</f>
        <v>5.3784652148593307E-2</v>
      </c>
      <c r="O33" s="398">
        <v>150000</v>
      </c>
      <c r="P33" s="236"/>
      <c r="Q33" s="267">
        <f>ROUND(O33*N33,0)</f>
        <v>8068</v>
      </c>
      <c r="R33" s="236"/>
      <c r="S33" s="236"/>
      <c r="T33" s="276" t="s">
        <v>641</v>
      </c>
    </row>
    <row r="34" spans="1:20">
      <c r="A34" s="276">
        <v>13</v>
      </c>
      <c r="B34" s="193" t="s">
        <v>988</v>
      </c>
      <c r="C34" s="236"/>
      <c r="D34" s="395">
        <v>5.2878799999999997E-2</v>
      </c>
      <c r="E34" s="396">
        <v>45659</v>
      </c>
      <c r="F34" s="396">
        <v>46055</v>
      </c>
      <c r="G34" s="393">
        <v>2.0027777777777778</v>
      </c>
      <c r="H34" s="263">
        <v>150000</v>
      </c>
      <c r="I34" s="236"/>
      <c r="J34" s="397">
        <v>0</v>
      </c>
      <c r="K34" s="236"/>
      <c r="L34" s="263">
        <f t="shared" si="8"/>
        <v>150000</v>
      </c>
      <c r="M34" s="266">
        <f t="shared" ref="M34" si="10">L34/H34*100</f>
        <v>100</v>
      </c>
      <c r="N34" s="260">
        <f t="shared" si="9"/>
        <v>5.2832619195712173E-2</v>
      </c>
      <c r="O34" s="398">
        <v>150000</v>
      </c>
      <c r="P34" s="236"/>
      <c r="Q34" s="267">
        <f t="shared" ref="Q34" si="11">ROUND(O34*N34,0)</f>
        <v>7925</v>
      </c>
      <c r="R34" s="236"/>
      <c r="S34" s="236"/>
      <c r="T34" s="276" t="s">
        <v>641</v>
      </c>
    </row>
    <row r="35" spans="1:20">
      <c r="A35" s="236"/>
      <c r="B35" s="236"/>
      <c r="C35" s="236"/>
      <c r="D35" s="236"/>
      <c r="E35" s="236"/>
      <c r="F35" s="236"/>
      <c r="G35" s="276"/>
      <c r="H35" s="373">
        <f>SUM(H33:H34)</f>
        <v>300000</v>
      </c>
      <c r="I35" s="236"/>
      <c r="J35" s="277">
        <f>SUM(J33:J34)</f>
        <v>0</v>
      </c>
      <c r="K35" s="236"/>
      <c r="L35" s="277">
        <f>SUM(L33:L34)</f>
        <v>300000</v>
      </c>
      <c r="M35" s="236"/>
      <c r="N35" s="236"/>
      <c r="O35" s="278">
        <f>SUM(O33:O34)</f>
        <v>300000</v>
      </c>
      <c r="P35" s="236"/>
      <c r="Q35" s="278">
        <f>SUM(Q33:Q34)</f>
        <v>15993</v>
      </c>
      <c r="R35" s="236"/>
      <c r="S35" s="236"/>
      <c r="T35" s="236"/>
    </row>
    <row r="36" spans="1:20">
      <c r="O36" s="263"/>
      <c r="P36" s="264"/>
      <c r="T36" s="89"/>
    </row>
    <row r="37" spans="1:20" ht="13.5" customHeight="1" thickBot="1">
      <c r="A37" s="324">
        <v>14</v>
      </c>
      <c r="B37" s="89" t="s">
        <v>645</v>
      </c>
      <c r="H37" s="374">
        <f>H35+H30+H26</f>
        <v>1365000</v>
      </c>
      <c r="I37" s="264"/>
      <c r="J37" s="374">
        <f>J35+J30+J26</f>
        <v>4134.6040000000003</v>
      </c>
      <c r="K37" s="264"/>
      <c r="L37" s="374">
        <f>L35+L30+L26</f>
        <v>1360865.3959999997</v>
      </c>
      <c r="O37" s="374">
        <f>O35+O30+O26</f>
        <v>1365000</v>
      </c>
      <c r="P37" s="264"/>
      <c r="Q37" s="374">
        <f>Q35+Q30+Q26</f>
        <v>75001</v>
      </c>
      <c r="R37" s="264"/>
      <c r="S37" s="279">
        <f>ROUND(Q37/O37,4)</f>
        <v>5.4899999999999997E-2</v>
      </c>
      <c r="T37" s="89"/>
    </row>
    <row r="38" spans="1:20" ht="13.5" customHeight="1" thickTop="1">
      <c r="T38" s="89"/>
    </row>
    <row r="39" spans="1:20" ht="14.25" customHeight="1">
      <c r="A39" s="280"/>
      <c r="T39" s="89"/>
    </row>
    <row r="40" spans="1:20">
      <c r="B40" s="236"/>
      <c r="T40" s="89"/>
    </row>
    <row r="41" spans="1:20">
      <c r="T41" s="89"/>
    </row>
    <row r="42" spans="1:20" ht="18" customHeight="1">
      <c r="T42" s="89"/>
    </row>
    <row r="43" spans="1:20" ht="16.5" customHeight="1">
      <c r="T43" s="222"/>
    </row>
  </sheetData>
  <mergeCells count="4">
    <mergeCell ref="B1:Q1"/>
    <mergeCell ref="B2:Q2"/>
    <mergeCell ref="B3:Q3"/>
    <mergeCell ref="B4:Q4"/>
  </mergeCells>
  <pageMargins left="0.7" right="0.7" top="0.75" bottom="0.75" header="0.3" footer="0.3"/>
  <pageSetup scale="48" orientation="portrait" r:id="rId1"/>
  <headerFooter>
    <oddHeader>&amp;RKPSC Case No. 2025-00257
SECTION V-Application
Exhibit 1
&amp;Pof&amp;N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61"/>
  <sheetViews>
    <sheetView view="pageBreakPreview" zoomScaleNormal="120" zoomScaleSheetLayoutView="100" workbookViewId="0">
      <pane ySplit="8" topLeftCell="A11" activePane="bottomLeft" state="frozen"/>
      <selection activeCell="C26" sqref="C26"/>
      <selection pane="bottomLeft" activeCell="F41" sqref="F41"/>
    </sheetView>
  </sheetViews>
  <sheetFormatPr defaultColWidth="9.1796875" defaultRowHeight="12.5"/>
  <cols>
    <col min="1" max="1" width="7.7265625" style="255" customWidth="1"/>
    <col min="2" max="2" width="2.26953125" style="40" customWidth="1"/>
    <col min="3" max="3" width="12.26953125" style="335" customWidth="1"/>
    <col min="4" max="4" width="7" style="40" customWidth="1"/>
    <col min="5" max="5" width="39.54296875" style="40" bestFit="1" customWidth="1"/>
    <col min="6" max="6" width="17" style="40" customWidth="1"/>
    <col min="7" max="7" width="3.7265625" style="40" customWidth="1"/>
    <col min="8" max="16384" width="9.1796875" style="40"/>
  </cols>
  <sheetData>
    <row r="1" spans="1:6">
      <c r="B1" s="522" t="s">
        <v>330</v>
      </c>
      <c r="C1" s="522"/>
      <c r="D1" s="522"/>
      <c r="E1" s="522"/>
      <c r="F1" s="186" t="s">
        <v>542</v>
      </c>
    </row>
    <row r="2" spans="1:6">
      <c r="B2" s="522" t="s">
        <v>865</v>
      </c>
      <c r="C2" s="522"/>
      <c r="D2" s="522"/>
      <c r="E2" s="522"/>
      <c r="F2" s="186" t="s">
        <v>646</v>
      </c>
    </row>
    <row r="3" spans="1:6">
      <c r="B3" s="522" t="s">
        <v>1019</v>
      </c>
      <c r="C3" s="522"/>
      <c r="D3" s="522"/>
      <c r="E3" s="522"/>
      <c r="F3" s="186" t="s">
        <v>850</v>
      </c>
    </row>
    <row r="4" spans="1:6">
      <c r="E4" s="382"/>
    </row>
    <row r="5" spans="1:6">
      <c r="E5" s="382"/>
    </row>
    <row r="6" spans="1:6">
      <c r="E6" s="336"/>
    </row>
    <row r="7" spans="1:6" ht="37.5">
      <c r="A7" s="337" t="s">
        <v>544</v>
      </c>
      <c r="C7" s="255" t="s">
        <v>648</v>
      </c>
      <c r="D7" s="255" t="s">
        <v>649</v>
      </c>
      <c r="E7" s="338"/>
      <c r="F7" s="337" t="s">
        <v>650</v>
      </c>
    </row>
    <row r="8" spans="1:6">
      <c r="A8" s="339">
        <v>-1</v>
      </c>
      <c r="C8" s="340">
        <f>+A8-1</f>
        <v>-2</v>
      </c>
      <c r="D8" s="340">
        <f>+C8-1</f>
        <v>-3</v>
      </c>
      <c r="E8" s="338"/>
      <c r="F8" s="340">
        <f>+D8-1</f>
        <v>-4</v>
      </c>
    </row>
    <row r="9" spans="1:6">
      <c r="A9" s="340"/>
      <c r="C9" s="341"/>
      <c r="D9" s="336"/>
      <c r="E9" s="336"/>
    </row>
    <row r="10" spans="1:6">
      <c r="A10" s="340">
        <v>1</v>
      </c>
      <c r="C10" s="281" t="s">
        <v>443</v>
      </c>
      <c r="D10" s="324">
        <v>2024</v>
      </c>
      <c r="E10" s="336"/>
      <c r="F10" s="264">
        <v>67816420.239999995</v>
      </c>
    </row>
    <row r="11" spans="1:6">
      <c r="A11" s="340"/>
      <c r="C11" s="89"/>
      <c r="D11" s="324"/>
      <c r="E11" s="336"/>
      <c r="F11" s="264"/>
    </row>
    <row r="12" spans="1:6">
      <c r="A12" s="340">
        <f>+A10+1</f>
        <v>2</v>
      </c>
      <c r="C12" s="281" t="s">
        <v>444</v>
      </c>
      <c r="D12" s="324">
        <v>2024</v>
      </c>
      <c r="E12" s="336"/>
      <c r="F12" s="264">
        <v>61202687.890000001</v>
      </c>
    </row>
    <row r="13" spans="1:6">
      <c r="A13" s="340"/>
      <c r="C13" s="89"/>
      <c r="D13" s="324"/>
      <c r="E13" s="336"/>
      <c r="F13" s="264"/>
    </row>
    <row r="14" spans="1:6">
      <c r="A14" s="340">
        <f>+A12+1</f>
        <v>3</v>
      </c>
      <c r="C14" s="281" t="s">
        <v>445</v>
      </c>
      <c r="D14" s="324">
        <v>2024</v>
      </c>
      <c r="E14" s="336"/>
      <c r="F14" s="264">
        <v>73432524.120000005</v>
      </c>
    </row>
    <row r="15" spans="1:6">
      <c r="A15" s="340"/>
      <c r="C15" s="89"/>
      <c r="D15" s="324"/>
      <c r="E15" s="336"/>
      <c r="F15" s="264"/>
    </row>
    <row r="16" spans="1:6">
      <c r="A16" s="340">
        <f>+A14+1</f>
        <v>4</v>
      </c>
      <c r="C16" s="281" t="s">
        <v>446</v>
      </c>
      <c r="D16" s="324">
        <v>2024</v>
      </c>
      <c r="E16" s="336"/>
      <c r="F16" s="264">
        <v>148530434.91999999</v>
      </c>
    </row>
    <row r="17" spans="1:6">
      <c r="A17" s="340"/>
      <c r="C17" s="89"/>
      <c r="D17" s="324"/>
      <c r="E17" s="336"/>
      <c r="F17" s="264"/>
    </row>
    <row r="18" spans="1:6">
      <c r="A18" s="340">
        <f>+A16+1</f>
        <v>5</v>
      </c>
      <c r="C18" s="281" t="s">
        <v>447</v>
      </c>
      <c r="D18" s="324">
        <v>2024</v>
      </c>
      <c r="E18" s="336"/>
      <c r="F18" s="264">
        <v>147344428.91999999</v>
      </c>
    </row>
    <row r="19" spans="1:6">
      <c r="A19" s="340"/>
      <c r="C19" s="89"/>
      <c r="D19" s="89"/>
      <c r="E19" s="336"/>
      <c r="F19" s="264"/>
    </row>
    <row r="20" spans="1:6">
      <c r="A20" s="340">
        <f>+A18+1</f>
        <v>6</v>
      </c>
      <c r="C20" s="281" t="s">
        <v>448</v>
      </c>
      <c r="D20" s="324">
        <v>2024</v>
      </c>
      <c r="E20" s="336"/>
      <c r="F20" s="264">
        <v>182640130.13</v>
      </c>
    </row>
    <row r="21" spans="1:6">
      <c r="A21" s="340"/>
      <c r="C21" s="89"/>
      <c r="D21" s="89"/>
      <c r="E21" s="336"/>
      <c r="F21" s="264"/>
    </row>
    <row r="22" spans="1:6">
      <c r="A22" s="340">
        <f>+A20+1</f>
        <v>7</v>
      </c>
      <c r="C22" s="281" t="s">
        <v>449</v>
      </c>
      <c r="D22" s="324">
        <v>2024</v>
      </c>
      <c r="E22" s="336"/>
      <c r="F22" s="264">
        <v>183212284</v>
      </c>
    </row>
    <row r="23" spans="1:6">
      <c r="A23" s="340"/>
      <c r="C23" s="89"/>
      <c r="D23" s="89"/>
      <c r="E23" s="336"/>
      <c r="F23" s="264"/>
    </row>
    <row r="24" spans="1:6">
      <c r="A24" s="340">
        <f>+A22+1</f>
        <v>8</v>
      </c>
      <c r="C24" s="95" t="s">
        <v>450</v>
      </c>
      <c r="D24" s="324">
        <v>2025</v>
      </c>
      <c r="E24" s="336"/>
      <c r="F24" s="264">
        <v>19007280.670000002</v>
      </c>
    </row>
    <row r="25" spans="1:6">
      <c r="A25" s="340"/>
      <c r="C25" s="89"/>
      <c r="D25" s="89"/>
      <c r="E25" s="336"/>
      <c r="F25" s="264"/>
    </row>
    <row r="26" spans="1:6">
      <c r="A26" s="340">
        <f>+A24+1</f>
        <v>9</v>
      </c>
      <c r="C26" s="281" t="s">
        <v>451</v>
      </c>
      <c r="D26" s="324">
        <v>2025</v>
      </c>
      <c r="E26" s="336"/>
      <c r="F26" s="264">
        <v>15586052.51</v>
      </c>
    </row>
    <row r="27" spans="1:6">
      <c r="A27" s="340"/>
      <c r="C27" s="89"/>
      <c r="D27" s="89"/>
      <c r="E27" s="336"/>
      <c r="F27" s="264"/>
    </row>
    <row r="28" spans="1:6">
      <c r="A28" s="340">
        <f>+A26+1</f>
        <v>10</v>
      </c>
      <c r="C28" s="281" t="s">
        <v>452</v>
      </c>
      <c r="D28" s="324">
        <v>2025</v>
      </c>
      <c r="F28" s="264">
        <v>28174926.079999998</v>
      </c>
    </row>
    <row r="29" spans="1:6">
      <c r="A29" s="340"/>
      <c r="C29" s="89"/>
      <c r="D29" s="89"/>
      <c r="E29" s="336"/>
      <c r="F29" s="264"/>
    </row>
    <row r="30" spans="1:6">
      <c r="A30" s="340">
        <f>+A28+1</f>
        <v>11</v>
      </c>
      <c r="C30" s="95" t="s">
        <v>440</v>
      </c>
      <c r="D30" s="324">
        <v>2025</v>
      </c>
      <c r="E30" s="336"/>
      <c r="F30" s="264">
        <v>63965567.310000002</v>
      </c>
    </row>
    <row r="31" spans="1:6">
      <c r="A31" s="340"/>
      <c r="C31" s="89"/>
      <c r="D31" s="89"/>
      <c r="E31" s="336"/>
      <c r="F31" s="264"/>
    </row>
    <row r="32" spans="1:6">
      <c r="A32" s="340">
        <f>+A30+1</f>
        <v>12</v>
      </c>
      <c r="C32" s="281" t="s">
        <v>442</v>
      </c>
      <c r="D32" s="324">
        <v>2025</v>
      </c>
      <c r="F32" s="264">
        <v>85199813.670000002</v>
      </c>
    </row>
    <row r="33" spans="1:7">
      <c r="A33" s="340"/>
      <c r="D33" s="336"/>
      <c r="F33" s="342" t="s">
        <v>651</v>
      </c>
    </row>
    <row r="34" spans="1:7">
      <c r="A34" s="340">
        <f>+A32+1</f>
        <v>13</v>
      </c>
      <c r="C34" s="335" t="s">
        <v>432</v>
      </c>
      <c r="F34" s="264">
        <f>SUM(F10:F33)</f>
        <v>1076112550.46</v>
      </c>
    </row>
    <row r="35" spans="1:7">
      <c r="A35" s="340"/>
      <c r="F35" s="342" t="s">
        <v>651</v>
      </c>
    </row>
    <row r="36" spans="1:7">
      <c r="A36" s="340">
        <f>+A34+1</f>
        <v>14</v>
      </c>
      <c r="C36" s="335" t="s">
        <v>652</v>
      </c>
      <c r="F36" s="264">
        <f>ROUND(F34/12,0)</f>
        <v>89676046</v>
      </c>
    </row>
    <row r="37" spans="1:7">
      <c r="A37" s="340"/>
      <c r="F37" s="342" t="s">
        <v>651</v>
      </c>
    </row>
    <row r="38" spans="1:7" ht="13">
      <c r="A38" s="340">
        <f>+A36+1</f>
        <v>15</v>
      </c>
      <c r="C38" s="41" t="s">
        <v>1065</v>
      </c>
      <c r="F38" s="264">
        <v>4932777.0600000005</v>
      </c>
      <c r="G38" s="343"/>
    </row>
    <row r="39" spans="1:7">
      <c r="A39" s="340"/>
      <c r="F39" s="342" t="s">
        <v>651</v>
      </c>
    </row>
    <row r="40" spans="1:7">
      <c r="C40" s="335" t="s">
        <v>653</v>
      </c>
      <c r="F40" s="1"/>
    </row>
    <row r="41" spans="1:7">
      <c r="A41" s="340">
        <f>+A38+1</f>
        <v>16</v>
      </c>
      <c r="C41" s="335" t="s">
        <v>654</v>
      </c>
      <c r="F41" s="344">
        <f>ROUND(F38/F36,4)</f>
        <v>5.5E-2</v>
      </c>
    </row>
    <row r="42" spans="1:7">
      <c r="F42" s="342" t="s">
        <v>655</v>
      </c>
    </row>
    <row r="43" spans="1:7">
      <c r="F43" s="342"/>
    </row>
    <row r="44" spans="1:7">
      <c r="F44" s="1"/>
    </row>
    <row r="45" spans="1:7">
      <c r="F45" s="1"/>
    </row>
    <row r="46" spans="1:7" ht="13">
      <c r="A46" s="343"/>
      <c r="C46" s="345"/>
      <c r="F46" s="1"/>
    </row>
    <row r="47" spans="1:7" ht="13">
      <c r="A47" s="343"/>
      <c r="C47" s="345"/>
      <c r="F47" s="1"/>
    </row>
    <row r="48" spans="1:7" ht="13">
      <c r="A48" s="343"/>
      <c r="C48" s="346"/>
      <c r="F48" s="1"/>
    </row>
    <row r="49" spans="1:6" ht="13">
      <c r="A49" s="343"/>
      <c r="C49" s="346"/>
      <c r="F49" s="1"/>
    </row>
    <row r="50" spans="1:6">
      <c r="F50" s="318"/>
    </row>
    <row r="51" spans="1:6">
      <c r="F51" s="382"/>
    </row>
    <row r="52" spans="1:6">
      <c r="F52" s="318"/>
    </row>
    <row r="53" spans="1:6">
      <c r="F53" s="382"/>
    </row>
    <row r="54" spans="1:6">
      <c r="F54" s="318"/>
    </row>
    <row r="56" spans="1:6">
      <c r="F56" s="318"/>
    </row>
    <row r="57" spans="1:6">
      <c r="F57" s="318"/>
    </row>
    <row r="58" spans="1:6">
      <c r="F58" s="318"/>
    </row>
    <row r="59" spans="1:6">
      <c r="F59" s="382"/>
    </row>
    <row r="60" spans="1:6">
      <c r="F60" s="318"/>
    </row>
    <row r="61" spans="1:6">
      <c r="F61" s="382"/>
    </row>
  </sheetData>
  <mergeCells count="3">
    <mergeCell ref="B1:E1"/>
    <mergeCell ref="B2:E2"/>
    <mergeCell ref="B3:E3"/>
  </mergeCells>
  <pageMargins left="0.7" right="0.7" top="0.75" bottom="0.75" header="0.3" footer="0.3"/>
  <pageSetup scale="98" orientation="portrait" r:id="rId1"/>
  <headerFooter>
    <oddHeader>&amp;RKPSC Case No. 2025-00257
SECTION V-Application
Exhibit 1
&amp;Pof&amp;N</oddHeader>
  </headerFooter>
  <rowBreaks count="1" manualBreakCount="1">
    <brk id="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YyMzY4PC9Vc2VyTmFtZT48RGF0ZVRpbWU+NC80LzIwMjMgNjozNjozNCBQTTwvRGF0ZVRpbWU+PExhYmVsU3RyaW5nPkFFUCBJbnRlcm5hbDwvTGFiZWxTdHJpbmc+PC9pdGVtPjwvbGFiZWxIaXN0b3J5Pg==</Value>
</WrappedLabelHistor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ADCF1AEB-7610-405D-821E-D935F17E8F3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D7E09676-2D87-4733-828F-2F14C17C2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B44B17-9E03-494E-A721-91B3DC791ED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02E1588-88A0-45C5-836B-6FF6B7A78E05}">
  <ds:schemaRefs>
    <ds:schemaRef ds:uri="http://schemas.microsoft.com/office/infopath/2007/PartnerControls"/>
    <ds:schemaRef ds:uri="http://purl.org/dc/terms/"/>
    <ds:schemaRef ds:uri="http://www.w3.org/XML/1998/namespace"/>
    <ds:schemaRef ds:uri="b6888f76-1100-40b0-929b-1efe9044426d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88ffb1c-9230-4705-a789-27bae69f5829"/>
  </ds:schemaRefs>
</ds:datastoreItem>
</file>

<file path=customXml/itemProps5.xml><?xml version="1.0" encoding="utf-8"?>
<ds:datastoreItem xmlns:ds="http://schemas.openxmlformats.org/officeDocument/2006/customXml" ds:itemID="{9EDB5B5E-F066-4C41-8124-655784305C0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Summary</vt:lpstr>
      <vt:lpstr>Sch 1</vt:lpstr>
      <vt:lpstr>Sch 2</vt:lpstr>
      <vt:lpstr>2 P1</vt:lpstr>
      <vt:lpstr>2 P2</vt:lpstr>
      <vt:lpstr>2 P3</vt:lpstr>
      <vt:lpstr>Sch 3</vt:lpstr>
      <vt:lpstr>3 P1</vt:lpstr>
      <vt:lpstr>3 P2</vt:lpstr>
      <vt:lpstr>Sch 4</vt:lpstr>
      <vt:lpstr>Sch 5</vt:lpstr>
      <vt:lpstr>Sch 6</vt:lpstr>
      <vt:lpstr>Sch 7</vt:lpstr>
      <vt:lpstr>Sch 8</vt:lpstr>
      <vt:lpstr>Sch 9</vt:lpstr>
      <vt:lpstr>Sch 10</vt:lpstr>
      <vt:lpstr>Allocation Factors</vt:lpstr>
      <vt:lpstr>Olive Hill - Vanceburg</vt:lpstr>
      <vt:lpstr>CWC</vt:lpstr>
      <vt:lpstr>'2 P1'!Print_Area</vt:lpstr>
      <vt:lpstr>'2 P3'!Print_Area</vt:lpstr>
      <vt:lpstr>'3 P1'!Print_Area</vt:lpstr>
      <vt:lpstr>'3 P2'!Print_Area</vt:lpstr>
      <vt:lpstr>'Allocation Factors'!Print_Area</vt:lpstr>
      <vt:lpstr>CWC!Print_Area</vt:lpstr>
      <vt:lpstr>'Sch 1'!Print_Area</vt:lpstr>
      <vt:lpstr>'Sch 10'!Print_Area</vt:lpstr>
      <vt:lpstr>'Sch 3'!Print_Area</vt:lpstr>
      <vt:lpstr>'Sch 4'!Print_Area</vt:lpstr>
      <vt:lpstr>'Sch 5'!Print_Area</vt:lpstr>
      <vt:lpstr>'Sch 6'!Print_Area</vt:lpstr>
      <vt:lpstr>'Sch 8'!Print_Area</vt:lpstr>
      <vt:lpstr>'Sch 9'!Print_Area</vt:lpstr>
      <vt:lpstr>Summary!Print_Area</vt:lpstr>
      <vt:lpstr>'3 P2'!Print_Titles</vt:lpstr>
      <vt:lpstr>'Sch 1'!Print_Titles</vt:lpstr>
      <vt:lpstr>'Sch 4'!Print_Titles</vt:lpstr>
      <vt:lpstr>'Sch 5'!Print_Titles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AEP</dc:creator>
  <cp:keywords/>
  <cp:lastModifiedBy>Michelle Caldwell</cp:lastModifiedBy>
  <cp:lastPrinted>2025-08-06T20:25:31Z</cp:lastPrinted>
  <dcterms:created xsi:type="dcterms:W3CDTF">2014-01-30T18:45:48Z</dcterms:created>
  <dcterms:modified xsi:type="dcterms:W3CDTF">2025-10-09T00:23:18Z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8b4e2ba8-a6a6-40a5-9a94-964064bf47c5</vt:lpwstr>
  </property>
  <property fmtid="{D5CDD505-2E9C-101B-9397-08002B2CF9AE}" pid="3" name="bjSaver">
    <vt:lpwstr>xZzrf02Aubzx74tgVp24Vul5jA7mQze+</vt:lpwstr>
  </property>
  <property fmtid="{D5CDD505-2E9C-101B-9397-08002B2CF9AE}" pid="4" name="bjDocumentSecurityLabel">
    <vt:lpwstr>AEP Internal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/&gt;&lt;/sisl&gt;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{ADCF1AEB-7610-405D-821E-D935F17E8F37}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