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Section V\"/>
    </mc:Choice>
  </mc:AlternateContent>
  <xr:revisionPtr revIDLastSave="0" documentId="8_{53BDB339-1B2E-4881-BF37-B66767454A6B}" xr6:coauthVersionLast="47" xr6:coauthVersionMax="47" xr10:uidLastSave="{00000000-0000-0000-0000-000000000000}"/>
  <bookViews>
    <workbookView xWindow="-28920" yWindow="-120" windowWidth="29040" windowHeight="15720" tabRatio="716" firstSheet="38" xr2:uid="{00000000-000D-0000-FFFF-FFFF00000000}"/>
  </bookViews>
  <sheets>
    <sheet name="Index 2025" sheetId="67" r:id="rId1"/>
    <sheet name="W01" sheetId="69" r:id="rId2"/>
    <sheet name="W02" sheetId="110" r:id="rId3"/>
    <sheet name="W03" sheetId="111" r:id="rId4"/>
    <sheet name="W04" sheetId="125" r:id="rId5"/>
    <sheet name="W05" sheetId="171" r:id="rId6"/>
    <sheet name="W06" sheetId="158" r:id="rId7"/>
    <sheet name="W07" sheetId="71" r:id="rId8"/>
    <sheet name="W08" sheetId="135" r:id="rId9"/>
    <sheet name="W09" sheetId="115" r:id="rId10"/>
    <sheet name="W10" sheetId="72" r:id="rId11"/>
    <sheet name="W11" sheetId="73" r:id="rId12"/>
    <sheet name="W12" sheetId="74" r:id="rId13"/>
    <sheet name="W13" sheetId="75" r:id="rId14"/>
    <sheet name="W14" sheetId="112" r:id="rId15"/>
    <sheet name="W15" sheetId="113" r:id="rId16"/>
    <sheet name="W16" sheetId="87" r:id="rId17"/>
    <sheet name="W17" sheetId="117" r:id="rId18"/>
    <sheet name="W18" sheetId="159" r:id="rId19"/>
    <sheet name="W19" sheetId="77" r:id="rId20"/>
    <sheet name="W20" sheetId="76" r:id="rId21"/>
    <sheet name="W21" sheetId="172" r:id="rId22"/>
    <sheet name="W22" sheetId="169" r:id="rId23"/>
    <sheet name="W23" sheetId="80" r:id="rId24"/>
    <sheet name="W24" sheetId="114" r:id="rId25"/>
    <sheet name="W25" sheetId="136" r:id="rId26"/>
    <sheet name="W26" sheetId="85" r:id="rId27"/>
    <sheet name="W27" sheetId="86" r:id="rId28"/>
    <sheet name="W28" sheetId="90" r:id="rId29"/>
    <sheet name="W29" sheetId="91" r:id="rId30"/>
    <sheet name="W30" sheetId="93" r:id="rId31"/>
    <sheet name="W31" sheetId="94" r:id="rId32"/>
    <sheet name="W32" sheetId="95" r:id="rId33"/>
    <sheet name="W33" sheetId="96" r:id="rId34"/>
    <sheet name="W34" sheetId="97" r:id="rId35"/>
    <sheet name="W35" sheetId="98" r:id="rId36"/>
    <sheet name="Payroll Adjustment W30-W35" sheetId="170" r:id="rId37"/>
    <sheet name="W36" sheetId="100" r:id="rId38"/>
    <sheet name="W37" sheetId="132" r:id="rId39"/>
    <sheet name="W38" sheetId="137" r:id="rId40"/>
    <sheet name="W39" sheetId="138" r:id="rId41"/>
    <sheet name="W40" sheetId="109" r:id="rId42"/>
    <sheet name="W41" sheetId="133" r:id="rId43"/>
    <sheet name="W42" sheetId="130" r:id="rId44"/>
    <sheet name="W43" sheetId="89" r:id="rId45"/>
    <sheet name="W44" sheetId="88" r:id="rId46"/>
    <sheet name="W45" sheetId="107" r:id="rId47"/>
    <sheet name="W46" sheetId="149" r:id="rId48"/>
    <sheet name="W47" sheetId="150" r:id="rId49"/>
    <sheet name="W48" sheetId="152" r:id="rId50"/>
    <sheet name="W49" sheetId="153" r:id="rId51"/>
    <sheet name="W50" sheetId="144" r:id="rId52"/>
    <sheet name="W50 RB &amp; Capitalization" sheetId="168" r:id="rId53"/>
    <sheet name="W51-A &amp; W51-B" sheetId="160" r:id="rId54"/>
    <sheet name="W52" sheetId="167" r:id="rId55"/>
    <sheet name="W53" sheetId="141" r:id="rId56"/>
    <sheet name="W54" sheetId="139" r:id="rId57"/>
    <sheet name="W55" sheetId="142" r:id="rId58"/>
    <sheet name="W56" sheetId="140" r:id="rId59"/>
    <sheet name="W57" sheetId="78" r:id="rId60"/>
    <sheet name="W58 Rate Base" sheetId="134" r:id="rId61"/>
    <sheet name="W58 Capitalization" sheetId="122" r:id="rId62"/>
    <sheet name="W59" sheetId="163" r:id="rId63"/>
  </sheets>
  <externalReferences>
    <externalReference r:id="rId64"/>
    <externalReference r:id="rId65"/>
    <externalReference r:id="rId66"/>
  </externalReferences>
  <definedNames>
    <definedName name="\A" localSheetId="51">#REF!</definedName>
    <definedName name="\A">#REF!</definedName>
    <definedName name="\B" localSheetId="51">#REF!</definedName>
    <definedName name="\B">#REF!</definedName>
    <definedName name="\C" localSheetId="51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TBC95" localSheetId="51" hidden="1">{#N/A,#N/A,FALSE,"Co_BalSht";#N/A,#N/A,FALSE,"Co_IncStmt";#N/A,#N/A,FALSE,"Cons_BalSht";#N/A,#N/A,FALSE,"Cons_IncStmt";#N/A,#N/A,FALSE,"Cashflow"}</definedName>
    <definedName name="__________TBC95" hidden="1">{#N/A,#N/A,FALSE,"Co_BalSht";#N/A,#N/A,FALSE,"Co_IncStmt";#N/A,#N/A,FALSE,"Cons_BalSht";#N/A,#N/A,FALSE,"Cons_IncStmt";#N/A,#N/A,FALSE,"Cashflow"}</definedName>
    <definedName name="_________TBC95" localSheetId="51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localSheetId="51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localSheetId="51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localSheetId="51" hidden="1">{#N/A,#N/A,FALSE,"Finanzplan";#N/A,#N/A,FALSE,"Bilanz";#N/A,#N/A,FALSE,"GuV"}</definedName>
    <definedName name="______a1" hidden="1">{#N/A,#N/A,FALSE,"Finanzplan";#N/A,#N/A,FALSE,"Bilanz";#N/A,#N/A,FALSE,"GuV"}</definedName>
    <definedName name="______e1" localSheetId="51" hidden="1">{#N/A,#N/A,FALSE,"Summary";#N/A,#N/A,FALSE,"CF";#N/A,#N/A,FALSE,"P&amp;L";"summary",#N/A,FALSE,"Returns";#N/A,#N/A,FALSE,"BS";"summary",#N/A,FALSE,"Analysis";#N/A,#N/A,FALSE,"Assumptions"}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localSheetId="51" hidden="1">{#N/A,#N/A,FALSE,"Finanzplan";#N/A,#N/A,FALSE,"Bilanz";#N/A,#N/A,FALSE,"GuV"}</definedName>
    <definedName name="______o1" hidden="1">{#N/A,#N/A,FALSE,"Finanzplan";#N/A,#N/A,FALSE,"Bilanz";#N/A,#N/A,FALSE,"GuV"}</definedName>
    <definedName name="______TBC95" localSheetId="51" hidden="1">{#N/A,#N/A,FALSE,"Co_BalSht";#N/A,#N/A,FALSE,"Co_IncStmt";#N/A,#N/A,FALSE,"Cons_BalSht";#N/A,#N/A,FALSE,"Cons_IncStmt";#N/A,#N/A,FALSE,"Cashflow"}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localSheetId="51" hidden="1">{#N/A,#N/A,FALSE,"Finanzplan";#N/A,#N/A,FALSE,"Bilanz";#N/A,#N/A,FALSE,"GuV"}</definedName>
    <definedName name="_____a1" hidden="1">{#N/A,#N/A,FALSE,"Finanzplan";#N/A,#N/A,FALSE,"Bilanz";#N/A,#N/A,FALSE,"GuV"}</definedName>
    <definedName name="_____e1" localSheetId="51" hidden="1">{#N/A,#N/A,FALSE,"Summary";#N/A,#N/A,FALSE,"CF";#N/A,#N/A,FALSE,"P&amp;L";"summary",#N/A,FALSE,"Returns";#N/A,#N/A,FALSE,"BS";"summary",#N/A,FALSE,"Analysis";#N/A,#N/A,FALSE,"Assumptions"}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localSheetId="51" hidden="1">{#N/A,#N/A,FALSE,"Finanzplan";#N/A,#N/A,FALSE,"Bilanz";#N/A,#N/A,FALSE,"GuV"}</definedName>
    <definedName name="_____o1" hidden="1">{#N/A,#N/A,FALSE,"Finanzplan";#N/A,#N/A,FALSE,"Bilanz";#N/A,#N/A,FALSE,"GuV"}</definedName>
    <definedName name="_____TBC95" localSheetId="51" hidden="1">{#N/A,#N/A,FALSE,"Co_BalSht";#N/A,#N/A,FALSE,"Co_IncStmt";#N/A,#N/A,FALSE,"Cons_BalSht";#N/A,#N/A,FALSE,"Cons_IncStmt";#N/A,#N/A,FALSE,"Cashflow"}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localSheetId="51" hidden="1">{#N/A,#N/A,FALSE,"Co_BalSht";#N/A,#N/A,FALSE,"Co_IncStmt";#N/A,#N/A,FALSE,"Cons_BalSht";#N/A,#N/A,FALSE,"Cons_IncStmt";#N/A,#N/A,FALSE,"Cashflow"}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localSheetId="51" hidden="1">{#N/A,#N/A,FALSE,"Finanzplan";#N/A,#N/A,FALSE,"Bilanz";#N/A,#N/A,FALSE,"GuV"}</definedName>
    <definedName name="___a1" hidden="1">{#N/A,#N/A,FALSE,"Finanzplan";#N/A,#N/A,FALSE,"Bilanz";#N/A,#N/A,FALSE,"GuV"}</definedName>
    <definedName name="___e1" localSheetId="51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localSheetId="51" hidden="1">{#N/A,#N/A,FALSE,"Finanzplan";#N/A,#N/A,FALSE,"Bilanz";#N/A,#N/A,FALSE,"GuV"}</definedName>
    <definedName name="___o1" hidden="1">{#N/A,#N/A,FALSE,"Finanzplan";#N/A,#N/A,FALSE,"Bilanz";#N/A,#N/A,FALSE,"GuV"}</definedName>
    <definedName name="___RH1">#REF!</definedName>
    <definedName name="___RH2">#REF!</definedName>
    <definedName name="___TBC95" localSheetId="51" hidden="1">{#N/A,#N/A,FALSE,"Co_BalSht";#N/A,#N/A,FALSE,"Co_IncStmt";#N/A,#N/A,FALSE,"Cons_BalSht";#N/A,#N/A,FALSE,"Cons_IncStmt";#N/A,#N/A,FALSE,"Cashflow"}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localSheetId="51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localSheetId="51" hidden="1">#REF!</definedName>
    <definedName name="__123Graph_FGROWTH2" hidden="1">#REF!</definedName>
    <definedName name="__123Graph_FOVERHAUL" localSheetId="51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localSheetId="51" hidden="1">{#N/A,#N/A,FALSE,"Finanzplan";#N/A,#N/A,FALSE,"Bilanz";#N/A,#N/A,FALSE,"GuV"}</definedName>
    <definedName name="__a1" hidden="1">{#N/A,#N/A,FALSE,"Finanzplan";#N/A,#N/A,FALSE,"Bilanz";#N/A,#N/A,FALSE,"GuV"}</definedName>
    <definedName name="__a2_1" localSheetId="51" hidden="1">{#N/A,#N/A,FALSE,"Sheet1"}</definedName>
    <definedName name="__a2_1" hidden="1">{#N/A,#N/A,FALSE,"Sheet1"}</definedName>
    <definedName name="__a3" localSheetId="51" hidden="1">{#N/A,#N/A,FALSE,"Sheet1"}</definedName>
    <definedName name="__a3" hidden="1">{#N/A,#N/A,FALSE,"Sheet1"}</definedName>
    <definedName name="__a3_1" localSheetId="51" hidden="1">{#N/A,#N/A,FALSE,"Sheet1"}</definedName>
    <definedName name="__a3_1" hidden="1">{#N/A,#N/A,FALSE,"Sheet1"}</definedName>
    <definedName name="__e1" localSheetId="51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localSheetId="51" hidden="1">{#N/A,#N/A,FALSE,"Finanzplan";#N/A,#N/A,FALSE,"Bilanz";#N/A,#N/A,FALSE,"GuV"}</definedName>
    <definedName name="__o1" hidden="1">{#N/A,#N/A,FALSE,"Finanzplan";#N/A,#N/A,FALSE,"Bilanz";#N/A,#N/A,FALSE,"GuV"}</definedName>
    <definedName name="__RH1" localSheetId="51">#REF!</definedName>
    <definedName name="__RH1">#REF!</definedName>
    <definedName name="__RH2" localSheetId="51">#REF!</definedName>
    <definedName name="__RH2">#REF!</definedName>
    <definedName name="__TBC95" localSheetId="51" hidden="1">{#N/A,#N/A,FALSE,"Co_BalSht";#N/A,#N/A,FALSE,"Co_IncStmt";#N/A,#N/A,FALSE,"Cons_BalSht";#N/A,#N/A,FALSE,"Cons_IncStmt";#N/A,#N/A,FALSE,"Cashflow"}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localSheetId="51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localSheetId="51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localSheetId="51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localSheetId="51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localSheetId="51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localSheetId="51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localSheetId="51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localSheetId="51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localSheetId="51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localSheetId="51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localSheetId="51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localSheetId="51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localSheetId="51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localSheetId="51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localSheetId="51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localSheetId="51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localSheetId="51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localSheetId="51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localSheetId="51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localSheetId="51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localSheetId="51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localSheetId="51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localSheetId="51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localSheetId="51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localSheetId="51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localSheetId="51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localSheetId="51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localSheetId="51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localSheetId="51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localSheetId="51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localSheetId="51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localSheetId="51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localSheetId="51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localSheetId="51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localSheetId="51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localSheetId="51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localSheetId="51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localSheetId="51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localSheetId="51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localSheetId="51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localSheetId="51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localSheetId="51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localSheetId="51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localSheetId="51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localSheetId="51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localSheetId="51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localSheetId="51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localSheetId="51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localSheetId="51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localSheetId="51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localSheetId="51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localSheetId="51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localSheetId="51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localSheetId="51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localSheetId="51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localSheetId="51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localSheetId="51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localSheetId="51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localSheetId="51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localSheetId="51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localSheetId="51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localSheetId="51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localSheetId="51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localSheetId="51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localSheetId="51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localSheetId="51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localSheetId="51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localSheetId="51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localSheetId="51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localSheetId="51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localSheetId="51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localSheetId="51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localSheetId="51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localSheetId="51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localSheetId="51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localSheetId="51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localSheetId="51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localSheetId="51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localSheetId="51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localSheetId="51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localSheetId="51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localSheetId="51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localSheetId="51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localSheetId="51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localSheetId="51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localSheetId="51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localSheetId="51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localSheetId="51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localSheetId="51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localSheetId="51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localSheetId="51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localSheetId="51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localSheetId="51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localSheetId="51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localSheetId="51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localSheetId="51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localSheetId="51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localSheetId="51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localSheetId="51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localSheetId="51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localSheetId="51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localSheetId="51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localSheetId="51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localSheetId="51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localSheetId="51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localSheetId="51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localSheetId="51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localSheetId="51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localSheetId="51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localSheetId="51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localSheetId="51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localSheetId="51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localSheetId="51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localSheetId="51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localSheetId="51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localSheetId="51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localSheetId="51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localSheetId="51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localSheetId="51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localSheetId="51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localSheetId="51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localSheetId="51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localSheetId="51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localSheetId="51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localSheetId="51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localSheetId="51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localSheetId="51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localSheetId="51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localSheetId="51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localSheetId="51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localSheetId="51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localSheetId="51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localSheetId="51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localSheetId="51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localSheetId="51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localSheetId="51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localSheetId="51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localSheetId="51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localSheetId="51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localSheetId="51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localSheetId="51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localSheetId="51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localSheetId="51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localSheetId="51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localSheetId="51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localSheetId="51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localSheetId="51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localSheetId="51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localSheetId="51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localSheetId="51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localSheetId="51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localSheetId="51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localSheetId="51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localSheetId="51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localSheetId="51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localSheetId="51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localSheetId="51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localSheetId="51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localSheetId="51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localSheetId="51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localSheetId="51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localSheetId="51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localSheetId="51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localSheetId="51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localSheetId="51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localSheetId="51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localSheetId="51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localSheetId="51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localSheetId="51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localSheetId="51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localSheetId="51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localSheetId="51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localSheetId="51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localSheetId="51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localSheetId="51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localSheetId="51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localSheetId="51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localSheetId="51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localSheetId="51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localSheetId="51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localSheetId="51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localSheetId="51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localSheetId="51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localSheetId="51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localSheetId="51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localSheetId="51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localSheetId="51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localSheetId="51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localSheetId="51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localSheetId="51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localSheetId="51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localSheetId="51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localSheetId="51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localSheetId="51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localSheetId="51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localSheetId="51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localSheetId="51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localSheetId="51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localSheetId="51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localSheetId="51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localSheetId="51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localSheetId="51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localSheetId="51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localSheetId="51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localSheetId="51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localSheetId="51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localSheetId="51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localSheetId="51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localSheetId="51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localSheetId="51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localSheetId="51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localSheetId="51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localSheetId="51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localSheetId="51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localSheetId="51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localSheetId="51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localSheetId="51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localSheetId="51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localSheetId="51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localSheetId="51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localSheetId="51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localSheetId="51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localSheetId="51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localSheetId="51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localSheetId="51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localSheetId="51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localSheetId="51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localSheetId="51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localSheetId="51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localSheetId="51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localSheetId="51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localSheetId="51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localSheetId="51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localSheetId="51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localSheetId="51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localSheetId="51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localSheetId="51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localSheetId="51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localSheetId="51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localSheetId="51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localSheetId="51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localSheetId="51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localSheetId="51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localSheetId="51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localSheetId="51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localSheetId="51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localSheetId="51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localSheetId="51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localSheetId="51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localSheetId="51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localSheetId="51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localSheetId="51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localSheetId="51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localSheetId="51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localSheetId="51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localSheetId="51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localSheetId="51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localSheetId="51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localSheetId="51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localSheetId="51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localSheetId="51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localSheetId="51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localSheetId="51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localSheetId="51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localSheetId="51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localSheetId="51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localSheetId="51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localSheetId="51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localSheetId="51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localSheetId="51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localSheetId="51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localSheetId="51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localSheetId="51" hidden="1">{#N/A,#N/A,FALSE,"Sheet1"}</definedName>
    <definedName name="_a2_1" hidden="1">{#N/A,#N/A,FALSE,"Sheet1"}</definedName>
    <definedName name="_a3" localSheetId="51" hidden="1">{#N/A,#N/A,FALSE,"Sheet1"}</definedName>
    <definedName name="_a3" hidden="1">{#N/A,#N/A,FALSE,"Sheet1"}</definedName>
    <definedName name="_a3_1" localSheetId="51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 localSheetId="51">#REF!</definedName>
    <definedName name="_anc1">#REF!</definedName>
    <definedName name="_anc2" localSheetId="51">#REF!</definedName>
    <definedName name="_anc2">#REF!</definedName>
    <definedName name="_anc3" localSheetId="51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hidden="1">#REF!</definedName>
    <definedName name="_xlnm._FilterDatabase" localSheetId="0" hidden="1">'Index 2025'!$A$1:$D$60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localSheetId="51" hidden="1">#REF!</definedName>
    <definedName name="_Key1" hidden="1">#REF!</definedName>
    <definedName name="_Key2" localSheetId="51" hidden="1">#REF!</definedName>
    <definedName name="_Key2" hidden="1">#REF!</definedName>
    <definedName name="_ml1" localSheetId="51" hidden="1">#REF!</definedName>
    <definedName name="_ml1" hidden="1">#REF!</definedName>
    <definedName name="_NC11" localSheetId="51">#REF!</definedName>
    <definedName name="_NC11">#REF!</definedName>
    <definedName name="_Order1" hidden="1">255</definedName>
    <definedName name="_Order1_1" hidden="1">255</definedName>
    <definedName name="_Order2" hidden="1">0</definedName>
    <definedName name="_PB1" localSheetId="51" hidden="1">#REF!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 localSheetId="51">#REF!</definedName>
    <definedName name="_RH1">#REF!</definedName>
    <definedName name="_RH2">#REF!</definedName>
    <definedName name="_Sort" hidden="1">#REF!</definedName>
    <definedName name="_sort1" localSheetId="51" hidden="1">#REF!</definedName>
    <definedName name="_sort1" hidden="1">#REF!</definedName>
    <definedName name="_sort2" localSheetId="51" hidden="1">#REF!</definedName>
    <definedName name="_sort2" hidden="1">#REF!</definedName>
    <definedName name="_Table1_In1" localSheetId="5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localSheetId="51" hidden="1">{#N/A,#N/A,FALSE,"Co_BalSht";#N/A,#N/A,FALSE,"Co_IncStmt";#N/A,#N/A,FALSE,"Cons_BalSht";#N/A,#N/A,FALSE,"Cons_IncStmt";#N/A,#N/A,FALSE,"Cashflow"}</definedName>
    <definedName name="_TBC95" hidden="1">{#N/A,#N/A,FALSE,"Co_BalSht";#N/A,#N/A,FALSE,"Co_IncStmt";#N/A,#N/A,FALSE,"Cons_BalSht";#N/A,#N/A,FALSE,"Cons_IncStmt";#N/A,#N/A,FALSE,"Cashflow"}</definedName>
    <definedName name="_WRK1" localSheetId="21">#REF!</definedName>
    <definedName name="_WRK1">#REF!</definedName>
    <definedName name="_WRK2" localSheetId="2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localSheetId="51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51" hidden="1">{"inputs raw data",#N/A,TRUE,"INPUT"}</definedName>
    <definedName name="abc" hidden="1">{"inputs raw data",#N/A,TRUE,"INPUT"}</definedName>
    <definedName name="ABO_SC_SRP">#REF!</definedName>
    <definedName name="ABO_SRP">#REF!</definedName>
    <definedName name="Acadia" localSheetId="51" hidden="1">{"calspreads",#N/A,FALSE,"Sheet1";"curves",#N/A,FALSE,"Sheet1";"libor",#N/A,FALSE,"Sheet1"}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 localSheetId="51">#REF!</definedName>
    <definedName name="ActExcessAmt">#REF!</definedName>
    <definedName name="ActGrTaxAmt" localSheetId="51">#REF!</definedName>
    <definedName name="ActGrTaxAmt">#REF!</definedName>
    <definedName name="ActKWHExcess" localSheetId="51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>#REF!</definedName>
    <definedName name="ad" localSheetId="51" hidden="1">{"calspreads",#N/A,FALSE,"Sheet1";"curves",#N/A,FALSE,"Sheet1";"libor",#N/A,FALSE,"Sheet1"}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 localSheetId="51">#REF!</definedName>
    <definedName name="ADFIT">#REF!</definedName>
    <definedName name="ADFIT190" localSheetId="51">#REF!</definedName>
    <definedName name="ADFIT190">#REF!</definedName>
    <definedName name="ADFIT283" localSheetId="51">#REF!</definedName>
    <definedName name="ADFIT283">#REF!</definedName>
    <definedName name="adj_2017">#REF!</definedName>
    <definedName name="adj_2019">#REF!</definedName>
    <definedName name="AdminChg" localSheetId="51">#REF!</definedName>
    <definedName name="AdminChg">#REF!</definedName>
    <definedName name="AEP" localSheetId="51">#REF!</definedName>
    <definedName name="AEP">#REF!</definedName>
    <definedName name="AGLABOR" localSheetId="51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 localSheetId="21">#REF!</definedName>
    <definedName name="AllocFactors">#REF!</definedName>
    <definedName name="AllocTY" localSheetId="51">#REF!</definedName>
    <definedName name="AllocTY">#REF!</definedName>
    <definedName name="ALLOFACTINPUT" localSheetId="51">#REF!</definedName>
    <definedName name="ALLOFACTINPUT">#REF!</definedName>
    <definedName name="AMATSUP" localSheetId="51">#REF!</definedName>
    <definedName name="AMATSUP">#REF!</definedName>
    <definedName name="Amort">#REF!</definedName>
    <definedName name="Amort2">#REF!</definedName>
    <definedName name="Amort3">#REF!</definedName>
    <definedName name="ANETPLANT" localSheetId="51">#REF!</definedName>
    <definedName name="ANETPLANT">#REF!</definedName>
    <definedName name="ANFREV" localSheetId="51">#REF!</definedName>
    <definedName name="ANFREV">#REF!</definedName>
    <definedName name="ANMTAX" localSheetId="51">#REF!</definedName>
    <definedName name="ANMTAX">#REF!</definedName>
    <definedName name="anscount" hidden="1">3</definedName>
    <definedName name="ANTPLTXPV" localSheetId="51">#REF!</definedName>
    <definedName name="ANTPLTXPV">#REF!</definedName>
    <definedName name="APBO_Act">#REF!</definedName>
    <definedName name="APBO_Inact">#REF!</definedName>
    <definedName name="APCO" localSheetId="51">#REF!</definedName>
    <definedName name="APCO">#REF!</definedName>
    <definedName name="APLTXPV3CTR" localSheetId="51">#REF!</definedName>
    <definedName name="APLTXPV3CTR">#REF!</definedName>
    <definedName name="APLTXPVPROD" localSheetId="51">#REF!</definedName>
    <definedName name="APLTXPVPROD">#REF!</definedName>
    <definedName name="APR" localSheetId="51">#REF!</definedName>
    <definedName name="APR">#REF!</definedName>
    <definedName name="APREPAY" localSheetId="51">#REF!</definedName>
    <definedName name="APREPAY">#REF!</definedName>
    <definedName name="APRETAXINC" localSheetId="51">#REF!</definedName>
    <definedName name="APRETAXINC">#REF!</definedName>
    <definedName name="APRILFACTOR" localSheetId="51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 localSheetId="51">#REF!</definedName>
    <definedName name="ARATEBASE">#REF!</definedName>
    <definedName name="AS2DocOpenMode" hidden="1">"AS2DocumentEdit"</definedName>
    <definedName name="AS2NamedRange" hidden="1">41</definedName>
    <definedName name="ASD" localSheetId="21">#REF!</definedName>
    <definedName name="ASD">#REF!</definedName>
    <definedName name="asdf" localSheetId="51" hidden="1">#REF!</definedName>
    <definedName name="asdf" hidden="1">#REF!</definedName>
    <definedName name="asdf5" localSheetId="51" hidden="1">#REF!</definedName>
    <definedName name="asdf5" hidden="1">#REF!</definedName>
    <definedName name="asofdate">#REF!</definedName>
    <definedName name="ASSETS" localSheetId="51">#REF!</definedName>
    <definedName name="ASSETS">#REF!</definedName>
    <definedName name="assumptions" localSheetId="51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SEComb" localSheetId="51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 localSheetId="51">#REF!</definedName>
    <definedName name="ATRAN4CP">#REF!</definedName>
    <definedName name="Attach3" localSheetId="51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>#REF!</definedName>
    <definedName name="AUGUSTFACTOR" localSheetId="51">#REF!</definedName>
    <definedName name="AUGUSTFACTOR">#REF!</definedName>
    <definedName name="AUGUSTINTEREST" localSheetId="51">#REF!</definedName>
    <definedName name="AUGUSTINTEREST">#REF!</definedName>
    <definedName name="AUGUSTSURCHARGE" localSheetId="51">#REF!</definedName>
    <definedName name="AUGUSTSURCHARGE">#REF!</definedName>
    <definedName name="AVRGPWRFCTR">#REF!</definedName>
    <definedName name="AZTAX">#REF!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cbcbcbcc" localSheetId="51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51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eg_Bal">#REF!</definedName>
    <definedName name="Begin_Print1" localSheetId="8">#REF!</definedName>
    <definedName name="Begin_Print1" localSheetId="19">#REF!</definedName>
    <definedName name="Begin_Print1" localSheetId="21">#REF!</definedName>
    <definedName name="Begin_Print1" localSheetId="51">#REF!</definedName>
    <definedName name="Begin_Print1">#REF!</definedName>
    <definedName name="Begin_Print2" localSheetId="8">#REF!</definedName>
    <definedName name="Begin_Print2" localSheetId="19">#REF!</definedName>
    <definedName name="Begin_Print2" localSheetId="21">#REF!</definedName>
    <definedName name="Begin_Print2" localSheetId="51">#REF!</definedName>
    <definedName name="Begin_Print2">#REF!</definedName>
    <definedName name="Benefit">#REF!</definedName>
    <definedName name="BEx0017DGUEDPCFJUPUZOOLJCS2B" localSheetId="51" hidden="1">#REF!</definedName>
    <definedName name="BEx0017DGUEDPCFJUPUZOOLJCS2B" hidden="1">#REF!</definedName>
    <definedName name="BEx001CNWHJ5RULCSFM36ZCGJ1UH" localSheetId="51" hidden="1">#REF!</definedName>
    <definedName name="BEx001CNWHJ5RULCSFM36ZCGJ1UH" hidden="1">#REF!</definedName>
    <definedName name="BEx004791UAJIJSN57OT7YBLNP82" localSheetId="51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#REF!</definedName>
    <definedName name="BEx01HY6E3GJ66ABU5ABN26V6Q13" localSheetId="51" hidden="1">#REF!</definedName>
    <definedName name="BEx01HY6E3GJ66ABU5ABN26V6Q13" hidden="1">#REF!</definedName>
    <definedName name="BEx01PQPVA98GRAAKX3HEZZ0XK5C" localSheetId="51" hidden="1">#REF!</definedName>
    <definedName name="BEx01PQPVA98GRAAKX3HEZZ0XK5C" hidden="1">#REF!</definedName>
    <definedName name="BEx01PW5YQKEGAR8JDDI5OARYXDF" localSheetId="51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#REF!</definedName>
    <definedName name="BEx1I4QKTILCKZUSOJCVZN7SNHL5" localSheetId="51" hidden="1">#REF!</definedName>
    <definedName name="BEx1I4QKTILCKZUSOJCVZN7SNHL5" hidden="1">#REF!</definedName>
    <definedName name="BEx1IE0ZP7RIFM9FI24S9I6AAJ14" localSheetId="51" hidden="1">#REF!</definedName>
    <definedName name="BEx1IE0ZP7RIFM9FI24S9I6AAJ14" hidden="1">#REF!</definedName>
    <definedName name="BEx1IGQ5B697MNDOE06MVSR0H58E" localSheetId="51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#REF!</definedName>
    <definedName name="BEx1K95QRKBCQOHKAK00IAOF748I" localSheetId="51" hidden="1">#REF!</definedName>
    <definedName name="BEx1K95QRKBCQOHKAK00IAOF748I" hidden="1">#REF!</definedName>
    <definedName name="BEx1KGCOC0TV99C9CNDK7IZRHVGO" localSheetId="51" hidden="1">#REF!</definedName>
    <definedName name="BEx1KGCOC0TV99C9CNDK7IZRHVGO" hidden="1">#REF!</definedName>
    <definedName name="BEx1KGY9QEHZ9QSARMQUTQKRK4UX" localSheetId="51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#REF!</definedName>
    <definedName name="BEx1NO6TXZVOGCUWCCRTXRXWW0XL" localSheetId="51" hidden="1">#REF!</definedName>
    <definedName name="BEx1NO6TXZVOGCUWCCRTXRXWW0XL" hidden="1">#REF!</definedName>
    <definedName name="BEx1NS8EU5P9FQV3S0WRTXI5L361" localSheetId="51" hidden="1">#REF!</definedName>
    <definedName name="BEx1NS8EU5P9FQV3S0WRTXI5L361" hidden="1">#REF!</definedName>
    <definedName name="BEx1NUBX5VUYZFKQH69FN6BTLWCR" localSheetId="5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#REF!</definedName>
    <definedName name="BEx1Q21TG5PWZ4V504UC7VGQ9FEI" localSheetId="51" hidden="1">#REF!</definedName>
    <definedName name="BEx1Q21TG5PWZ4V504UC7VGQ9FEI" hidden="1">#REF!</definedName>
    <definedName name="BEx1QA54J2A4I7IBQR19BTY28ZMR" localSheetId="51" hidden="1">#REF!</definedName>
    <definedName name="BEx1QA54J2A4I7IBQR19BTY28ZMR" hidden="1">#REF!</definedName>
    <definedName name="BEx1QMKTAIQ9VGEWQ95YM98EUX0H" localSheetId="51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#REF!</definedName>
    <definedName name="BEx1SK3U02H0RGKEYXW7ZMCEOF3V" localSheetId="51" hidden="1">#REF!</definedName>
    <definedName name="BEx1SK3U02H0RGKEYXW7ZMCEOF3V" hidden="1">#REF!</definedName>
    <definedName name="BEx1SO5L68CL3H1IC2HQ6TPY8U6F" localSheetId="51" hidden="1">#REF!</definedName>
    <definedName name="BEx1SO5L68CL3H1IC2HQ6TPY8U6F" hidden="1">#REF!</definedName>
    <definedName name="BEx1SSNEZINBJT29QVS62VS1THT4" localSheetId="51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#REF!</definedName>
    <definedName name="BEx1U15M7LVVFZENH830B2BGWC04" localSheetId="51" hidden="1">#REF!</definedName>
    <definedName name="BEx1U15M7LVVFZENH830B2BGWC04" hidden="1">#REF!</definedName>
    <definedName name="BEx1U5NGVTXGL4CIPVT5O034KGGR" localSheetId="51" hidden="1">#REF!</definedName>
    <definedName name="BEx1U5NGVTXGL4CIPVT5O034KGGR" hidden="1">#REF!</definedName>
    <definedName name="BEx1U7WFO8OZKB1EBF4H386JW91L" localSheetId="51" hidden="1">#REF!</definedName>
    <definedName name="BEx1U7WFO8OZKB1EBF4H386JW91L" hidden="1">#REF!</definedName>
    <definedName name="BEx1U87938YR9N6HYI24KVBKLOS3" localSheetId="51" hidden="1">#REF!</definedName>
    <definedName name="BEx1U87938YR9N6HYI24KVBKLOS3" hidden="1">#REF!</definedName>
    <definedName name="BEx1UESH4KDWHYESQU2IE55RS3LI" localSheetId="51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#REF!</definedName>
    <definedName name="BEx3FX7EJL47JSLSWP3EOC265WAE" localSheetId="51" hidden="1">#REF!</definedName>
    <definedName name="BEx3FX7EJL47JSLSWP3EOC265WAE" hidden="1">#REF!</definedName>
    <definedName name="BEx3G201R8NLJ6FIHO2QS0SW9QVV" localSheetId="51" hidden="1">#REF!</definedName>
    <definedName name="BEx3G201R8NLJ6FIHO2QS0SW9QVV" hidden="1">#REF!</definedName>
    <definedName name="BEx3G2LL2II66XY5YCDPG4JE13A3" localSheetId="51" hidden="1">#REF!</definedName>
    <definedName name="BEx3G2LL2II66XY5YCDPG4JE13A3" hidden="1">#REF!</definedName>
    <definedName name="BEx3G2WA0DTYY9D8AGHHOBTPE2B2" hidden="1">#REF!</definedName>
    <definedName name="BEx3G3HT0ZM1BO84RTJMXZ1842C6" hidden="1">#REF!</definedName>
    <definedName name="BEx3GCXR6IAS0B6WJ03GJVH7CO52" localSheetId="51" hidden="1">#REF!</definedName>
    <definedName name="BEx3GCXR6IAS0B6WJ03GJVH7CO52" hidden="1">#REF!</definedName>
    <definedName name="BEx3GEVV18SEQDI1JGY7EN6D1GT1" localSheetId="51" hidden="1">#REF!</definedName>
    <definedName name="BEx3GEVV18SEQDI1JGY7EN6D1GT1" hidden="1">#REF!</definedName>
    <definedName name="BEx3GKFH64MKQX61S7DYTZ15JCPY" localSheetId="5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#REF!</definedName>
    <definedName name="BEx3OFCGQH8N5QT3C8M44CX5CLHX" localSheetId="51" hidden="1">#REF!</definedName>
    <definedName name="BEx3OFCGQH8N5QT3C8M44CX5CLHX" hidden="1">#REF!</definedName>
    <definedName name="BEx3OJZSCGFRW7SVGBFI0X9DNVMM" localSheetId="51" hidden="1">#REF!</definedName>
    <definedName name="BEx3OJZSCGFRW7SVGBFI0X9DNVMM" hidden="1">#REF!</definedName>
    <definedName name="BEx3ORSBUXAF21MKEY90YJV9AY9A" localSheetId="51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#REF!</definedName>
    <definedName name="BEx3UIQ5B7PL8QJ6RI0LF7QJWLLO" localSheetId="51" hidden="1">#REF!</definedName>
    <definedName name="BEx3UIQ5B7PL8QJ6RI0LF7QJWLLO" hidden="1">#REF!</definedName>
    <definedName name="BEx3UIQ5WRJBGNTFCCLOR4N7B1OQ" localSheetId="51" hidden="1">#REF!</definedName>
    <definedName name="BEx3UIQ5WRJBGNTFCCLOR4N7B1OQ" hidden="1">#REF!</definedName>
    <definedName name="BEx3UJMIX2NUSSWGMSI25A5DM4CH" localSheetId="51" hidden="1">#REF!</definedName>
    <definedName name="BEx3UJMIX2NUSSWGMSI25A5DM4CH" hidden="1">#REF!</definedName>
    <definedName name="BEx3UKOCOQG7S1YQ436S997K1KWV" hidden="1">#REF!</definedName>
    <definedName name="BEx3UQ7WT8T56S476IYJBFTP1FBY" hidden="1">#REF!</definedName>
    <definedName name="BEx3UU46FGPB8C5GM6QZZZNI8FY1" localSheetId="51" hidden="1">#REF!</definedName>
    <definedName name="BEx3UU46FGPB8C5GM6QZZZNI8FY1" hidden="1">#REF!</definedName>
    <definedName name="BEx3UYM19VIXLA0EU7LB9NHA77PB" localSheetId="51" hidden="1">#REF!</definedName>
    <definedName name="BEx3UYM19VIXLA0EU7LB9NHA77PB" hidden="1">#REF!</definedName>
    <definedName name="BEx3V0EPR8DD44FA1TJFATXBJ5BA" localSheetId="51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#REF!</definedName>
    <definedName name="BEx5AUVDSQ35VO4BD9AKKGBM5S7D" localSheetId="51" hidden="1">#REF!</definedName>
    <definedName name="BEx5AUVDSQ35VO4BD9AKKGBM5S7D" hidden="1">#REF!</definedName>
    <definedName name="BEx5B4RHHX0J1BF2FZKEA0SPP29O" localSheetId="51" hidden="1">#REF!</definedName>
    <definedName name="BEx5B4RHHX0J1BF2FZKEA0SPP29O" hidden="1">#REF!</definedName>
    <definedName name="BEx5B5YMSWP0OVI5CIQRP5V18D0C" localSheetId="51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>#REF!</definedName>
    <definedName name="BEx5LZ9QXSWRX35EGBF4FB303PNE">#REF!</definedName>
    <definedName name="BEx5MB9BR71LZDG7XXQ2EO58JC5F" hidden="1">#REF!</definedName>
    <definedName name="BEx5MLQZM68YQSKARVWTTPINFQ2C" hidden="1">#REF!</definedName>
    <definedName name="BEx5MVXTKNBXHNWTL43C670E4KXC" localSheetId="51" hidden="1">#REF!</definedName>
    <definedName name="BEx5MVXTKNBXHNWTL43C670E4KXC" hidden="1">#REF!</definedName>
    <definedName name="BEx5N4XI4PWB1W9PMZ4O5R0HWTYD" localSheetId="51" hidden="1">#REF!</definedName>
    <definedName name="BEx5N4XI4PWB1W9PMZ4O5R0HWTYD" hidden="1">#REF!</definedName>
    <definedName name="BEx5N8TQPT9Q7AMBG5SNEYKR98Y8" localSheetId="51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#REF!</definedName>
    <definedName name="BEx5P9Y9RDXNUAJ6CZ2LHMM8IM7T" localSheetId="51" hidden="1">#REF!</definedName>
    <definedName name="BEx5P9Y9RDXNUAJ6CZ2LHMM8IM7T" hidden="1">#REF!</definedName>
    <definedName name="BEx5PF76KPATYJ4N41VA1D7CDWY4" localSheetId="51" hidden="1">#REF!</definedName>
    <definedName name="BEx5PF76KPATYJ4N41VA1D7CDWY4" hidden="1">#REF!</definedName>
    <definedName name="BEx5PHWB2C0D5QLP3BZIP3UO7DIZ" localSheetId="51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#REF!</definedName>
    <definedName name="BEx75PZT8TY5P13U978NVBUXKHT4" localSheetId="51" hidden="1">#REF!</definedName>
    <definedName name="BEx75PZT8TY5P13U978NVBUXKHT4" hidden="1">#REF!</definedName>
    <definedName name="BEx75T55F7GML8V1DMWL26WRT006" localSheetId="51" hidden="1">#REF!</definedName>
    <definedName name="BEx75T55F7GML8V1DMWL26WRT006" hidden="1">#REF!</definedName>
    <definedName name="BEx75VJGR07JY6UUWURQ4PJ29UKC" localSheetId="51" hidden="1">#REF!</definedName>
    <definedName name="BEx75VJGR07JY6UUWURQ4PJ29UKC" hidden="1">#REF!</definedName>
    <definedName name="BEx7696C3JFS7JTBL4CH2YB4GLHQ" hidden="1">#REF!</definedName>
    <definedName name="BEx76F0MJW2PS2LZH14RJZO14ARD" hidden="1">#REF!</definedName>
    <definedName name="BEx7741OUGLA0WJQLQRUJSL4DE00" localSheetId="51" hidden="1">#REF!</definedName>
    <definedName name="BEx7741OUGLA0WJQLQRUJSL4DE00" hidden="1">#REF!</definedName>
    <definedName name="BEx774N83DXLJZ54Q42PWIJZ2DN1" localSheetId="51" hidden="1">#REF!</definedName>
    <definedName name="BEx774N83DXLJZ54Q42PWIJZ2DN1" hidden="1">#REF!</definedName>
    <definedName name="BEx779QNIY3061ZV9BR462WKEGRW" localSheetId="51" hidden="1">#REF!</definedName>
    <definedName name="BEx779QNIY3061ZV9BR462WKEGRW" hidden="1">#REF!</definedName>
    <definedName name="BEx77G19QU9A95CNHE6QMVSQR2T3" hidden="1">#REF!</definedName>
    <definedName name="BEx77NIZM6XEWOV6EXQU2UG5MSUR" hidden="1">#REF!</definedName>
    <definedName name="BEx77P0S3GVMS7BJUL9OWUGJ1B02" localSheetId="51" hidden="1">#REF!</definedName>
    <definedName name="BEx77P0S3GVMS7BJUL9OWUGJ1B02" hidden="1">#REF!</definedName>
    <definedName name="BEx77P69SYJJ2S37W7MAD4IWKUO4" localSheetId="51" hidden="1">#REF!</definedName>
    <definedName name="BEx77P69SYJJ2S37W7MAD4IWKUO4" hidden="1">#REF!</definedName>
    <definedName name="BEx77QDESURI6WW5582YXSK3A972" localSheetId="51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APUP133FLMIO8AZJFIIYD1L">#REF!</definedName>
    <definedName name="BEx79JK3E6JO8MX4O35A5G8NZCC8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#REF!</definedName>
    <definedName name="BEx7A7DRZSSF2EG6JQH27X93U90I" localSheetId="51" hidden="1">#REF!</definedName>
    <definedName name="BEx7A7DRZSSF2EG6JQH27X93U90I" hidden="1">#REF!</definedName>
    <definedName name="BEx7A9S3JA1X7FH4CFSQLTZC4691" localSheetId="51" hidden="1">#REF!</definedName>
    <definedName name="BEx7A9S3JA1X7FH4CFSQLTZC4691" hidden="1">#REF!</definedName>
    <definedName name="BEx7ABA2C9IWH5VSLVLLLCY62161" localSheetId="51" hidden="1">#REF!</definedName>
    <definedName name="BEx7ABA2C9IWH5VSLVLLLCY62161" hidden="1">#REF!</definedName>
    <definedName name="BEx7AE4LPLX8N85BYB0WCO5S7ZPV" hidden="1">#REF!</definedName>
    <definedName name="BEx7AJ81S7N0ZOX5HWUXTT04D8KK" hidden="1">#REF!</definedName>
    <definedName name="BEx7AQKAXA50BVHLEWZFVHEFM6BR" localSheetId="51" hidden="1">#REF!</definedName>
    <definedName name="BEx7AQKAXA50BVHLEWZFVHEFM6BR" hidden="1">#REF!</definedName>
    <definedName name="BEx7ASD1I654MEDCO6GGWA95PXSC" localSheetId="51" hidden="1">#REF!</definedName>
    <definedName name="BEx7ASD1I654MEDCO6GGWA95PXSC" hidden="1">#REF!</definedName>
    <definedName name="BEx7AVCX9S5RJP3NSZ4QM4E6ERDT" localSheetId="51" hidden="1">#REF!</definedName>
    <definedName name="BEx7AVCX9S5RJP3NSZ4QM4E6ERDT" hidden="1">#REF!</definedName>
    <definedName name="BEx7AVT704ZMAOMB9JGPZ6LXHSQG" hidden="1">#REF!</definedName>
    <definedName name="BEx7AVYIGP0930MV5JEBWRYCJN68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#REF!</definedName>
    <definedName name="BEx7KR92AZ8OH3I7N51J8AU9LRP3" localSheetId="51" hidden="1">#REF!</definedName>
    <definedName name="BEx7KR92AZ8OH3I7N51J8AU9LRP3" hidden="1">#REF!</definedName>
    <definedName name="BEx7KSAS8BZT6H8OQCZ5DNSTMO07" localSheetId="51" hidden="1">#REF!</definedName>
    <definedName name="BEx7KSAS8BZT6H8OQCZ5DNSTMO07" hidden="1">#REF!</definedName>
    <definedName name="BEx7KWHTBD21COXVI4HNEQH0Z3L8" localSheetId="51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#REF!</definedName>
    <definedName name="BEx7MAUI1JJFDIJGDW4RWY5384LY" localSheetId="51" hidden="1">#REF!</definedName>
    <definedName name="BEx7MAUI1JJFDIJGDW4RWY5384LY" hidden="1">#REF!</definedName>
    <definedName name="BEx7MJZO3UKAMJ53UWOJ5ZD4GGMQ" localSheetId="51" hidden="1">#REF!</definedName>
    <definedName name="BEx7MJZO3UKAMJ53UWOJ5ZD4GGMQ" hidden="1">#REF!</definedName>
    <definedName name="BEx7MQ4RBQK32VUVPFRBYN76KSOD" localSheetId="51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#REF!</definedName>
    <definedName name="BEx9175B70QXYAU5A8DJPGZQ46L9" localSheetId="51" hidden="1">#REF!</definedName>
    <definedName name="BEx9175B70QXYAU5A8DJPGZQ46L9" hidden="1">#REF!</definedName>
    <definedName name="BEx917QTZAYKMWFVDPZEDX8FH1J3" localSheetId="51" hidden="1">#REF!</definedName>
    <definedName name="BEx917QTZAYKMWFVDPZEDX8FH1J3" hidden="1">#REF!</definedName>
    <definedName name="BEx91AQQRTV87AO27VWHSFZAD4ZR" localSheetId="51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#REF!</definedName>
    <definedName name="BEx96SUFKHHFE8XQ6UUO6ILDOXHO" localSheetId="51" hidden="1">#REF!</definedName>
    <definedName name="BEx96SUFKHHFE8XQ6UUO6ILDOXHO" hidden="1">#REF!</definedName>
    <definedName name="BEx96UN4YWXBDEZ1U1ZUIPP41Z7I" localSheetId="51" hidden="1">#REF!</definedName>
    <definedName name="BEx96UN4YWXBDEZ1U1ZUIPP41Z7I" hidden="1">#REF!</definedName>
    <definedName name="BEx970MYCPJ6DQ44TKLOIGZO5LHH" localSheetId="51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8N2R8QZSZ6MEH3L7U7U7D9GD">#REF!</definedName>
    <definedName name="BEx9915UVD4G7RA3IMLFZ0LG3UA2" hidden="1">#REF!</definedName>
    <definedName name="BEx992CZON8AO7U7V88VN1JBO0MG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NOPB6OZ2RH3FCDNJR38RJOS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#REF!</definedName>
    <definedName name="BEx9I38IOO8BH8XCE1W3NL31U1L9" localSheetId="51" hidden="1">#REF!</definedName>
    <definedName name="BEx9I38IOO8BH8XCE1W3NL31U1L9" hidden="1">#REF!</definedName>
    <definedName name="BEx9I8XIG7E5NB48QQHXP23FIN60" localSheetId="51" hidden="1">#REF!</definedName>
    <definedName name="BEx9I8XIG7E5NB48QQHXP23FIN60" hidden="1">#REF!</definedName>
    <definedName name="BEx9IHX7C0FG3M2R14H0SWIUGAOA" localSheetId="51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#REF!</definedName>
    <definedName name="BExB012NJ8GASTNNPBRRFTLHIOC9" localSheetId="51" hidden="1">#REF!</definedName>
    <definedName name="BExB012NJ8GASTNNPBRRFTLHIOC9" hidden="1">#REF!</definedName>
    <definedName name="BExB072HHXVMUC0VYNGG48GRSH5Q" localSheetId="51" hidden="1">#REF!</definedName>
    <definedName name="BExB072HHXVMUC0VYNGG48GRSH5Q" hidden="1">#REF!</definedName>
    <definedName name="BExB0FRDEYDEUEAB1W8KD6D965XA" localSheetId="51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F4UBVZKQCSRFRUQL2EE6VL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#REF!</definedName>
    <definedName name="BExBD4I559NXSV6J07Q343TKYMVJ" localSheetId="51" hidden="1">#REF!</definedName>
    <definedName name="BExBD4I559NXSV6J07Q343TKYMVJ" hidden="1">#REF!</definedName>
    <definedName name="BExBDBZQLTX3OGFYGULQFK5WEZU5" localSheetId="51" hidden="1">#REF!</definedName>
    <definedName name="BExBDBZQLTX3OGFYGULQFK5WEZU5" hidden="1">#REF!</definedName>
    <definedName name="BExBDJS9TUEU8Z84IV59E5V4T8K6" localSheetId="51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#REF!</definedName>
    <definedName name="BExBE162OSBKD30I7T1DKKPT3I9I" localSheetId="51" hidden="1">#REF!</definedName>
    <definedName name="BExBE162OSBKD30I7T1DKKPT3I9I" hidden="1">#REF!</definedName>
    <definedName name="BExBE5YPUY1T7N7DHMMIGGXK8TMP" localSheetId="51" hidden="1">#REF!</definedName>
    <definedName name="BExBE5YPUY1T7N7DHMMIGGXK8TMP" hidden="1">#REF!</definedName>
    <definedName name="BExBE827OBMEXJZS59TKFQS6FC0Z" localSheetId="51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#REF!</definedName>
    <definedName name="BExCUW1QXVMEP3B9SFPNEEWCG9I0" hidden="1">#REF!</definedName>
    <definedName name="BExCUWN57J3KE1LMYFY8FAMDD57T" localSheetId="51" hidden="1">#REF!</definedName>
    <definedName name="BExCUWN57J3KE1LMYFY8FAMDD57T" hidden="1">#REF!</definedName>
    <definedName name="BExCV4VXZA9HAYPSLTWYK66MGS3Y" localSheetId="51" hidden="1">#REF!</definedName>
    <definedName name="BExCV4VXZA9HAYPSLTWYK66MGS3Y" hidden="1">#REF!</definedName>
    <definedName name="BExCV634L7SVHGB0UDDTRRQ2Q72H" localSheetId="51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#REF!</definedName>
    <definedName name="BExD4BLRYNKM0GO3B3KP6590EN75" localSheetId="51" hidden="1">#REF!</definedName>
    <definedName name="BExD4BLRYNKM0GO3B3KP6590EN75" hidden="1">#REF!</definedName>
    <definedName name="BExD4BR9HJ3MWWZ5KLVZWX9FJAUS" localSheetId="51" hidden="1">#REF!</definedName>
    <definedName name="BExD4BR9HJ3MWWZ5KLVZWX9FJAUS" hidden="1">#REF!</definedName>
    <definedName name="BExD4CYDIFKUQ00ORL8MH1G8AEOH" localSheetId="51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#REF!</definedName>
    <definedName name="BExD50MT3M6XZLNUP9JL93EG6D9R" localSheetId="51" hidden="1">#REF!</definedName>
    <definedName name="BExD50MT3M6XZLNUP9JL93EG6D9R" hidden="1">#REF!</definedName>
    <definedName name="BExD58FB2E94KZRKVS2HR2X2RPON" localSheetId="51" hidden="1">#REF!</definedName>
    <definedName name="BExD58FB2E94KZRKVS2HR2X2RPON" hidden="1">#REF!</definedName>
    <definedName name="BExD5EV7KDSVF1CJT38M4IBPFLPY" localSheetId="51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23C9LRX18BE0W2V6SZLQUXX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#REF!</definedName>
    <definedName name="BExD9L0ID3VSOU609GKWYTA5BFMA" localSheetId="51" hidden="1">#REF!</definedName>
    <definedName name="BExD9L0ID3VSOU609GKWYTA5BFMA" hidden="1">#REF!</definedName>
    <definedName name="BExD9M7SEMG0JK2FUTTZXWIEBTKB" localSheetId="51" hidden="1">#REF!</definedName>
    <definedName name="BExD9M7SEMG0JK2FUTTZXWIEBTKB" hidden="1">#REF!</definedName>
    <definedName name="BExD9MNYBYB1AICQL5165G472IE2" localSheetId="51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#REF!</definedName>
    <definedName name="BExES1QK2RJM42AWEVW7RIMFEW0F" localSheetId="51" hidden="1">#REF!</definedName>
    <definedName name="BExES1QK2RJM42AWEVW7RIMFEW0F" hidden="1">#REF!</definedName>
    <definedName name="BExES44RHHDL3V7FLV6M20834WF1" localSheetId="51" hidden="1">#REF!</definedName>
    <definedName name="BExES44RHHDL3V7FLV6M20834WF1" hidden="1">#REF!</definedName>
    <definedName name="BExES4A7VE2X3RYYTVRLKZD4I7WU" localSheetId="5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#REF!</definedName>
    <definedName name="BExEV2TP7NA3ZR6RJGH5ER370OUM" localSheetId="51" hidden="1">#REF!</definedName>
    <definedName name="BExEV2TP7NA3ZR6RJGH5ER370OUM" hidden="1">#REF!</definedName>
    <definedName name="BExEV69USLNYO2QRJRC0J92XUF00" localSheetId="51" hidden="1">#REF!</definedName>
    <definedName name="BExEV69USLNYO2QRJRC0J92XUF00" hidden="1">#REF!</definedName>
    <definedName name="BExEV6KNTQOCFD7GV726XQEVQ7R6" localSheetId="51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#REF!</definedName>
    <definedName name="BExEW68M9WL8214QH9C7VCK7BN08" localSheetId="51" hidden="1">#REF!</definedName>
    <definedName name="BExEW68M9WL8214QH9C7VCK7BN08" hidden="1">#REF!</definedName>
    <definedName name="BExEW8C5SY1NQL4BKYZVXQ6JPR0W" localSheetId="51" hidden="1">#REF!</definedName>
    <definedName name="BExEW8C5SY1NQL4BKYZVXQ6JPR0W" hidden="1">#REF!</definedName>
    <definedName name="BExEW8HFKH6F47KIHYBDRUEFZ2ZZ" localSheetId="51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#REF!</definedName>
    <definedName name="BExF3NTC4BGZEM6B87TCFX277QCS" localSheetId="51" hidden="1">#REF!</definedName>
    <definedName name="BExF3NTC4BGZEM6B87TCFX277QCS" hidden="1">#REF!</definedName>
    <definedName name="BExF3Q7NI90WT31QHYSJDIG0LLLJ" localSheetId="51" hidden="1">#REF!</definedName>
    <definedName name="BExF3Q7NI90WT31QHYSJDIG0LLLJ" hidden="1">#REF!</definedName>
    <definedName name="BExF3QD55TIY1MSBSRK9TUJKBEWO" localSheetId="51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EV7I35NVMIJGYTB6E24YVPA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#REF!</definedName>
    <definedName name="BExGL97US0Y3KXXASUTVR26XLT70" localSheetId="51" hidden="1">#REF!</definedName>
    <definedName name="BExGL97US0Y3KXXASUTVR26XLT70" hidden="1">#REF!</definedName>
    <definedName name="BExGLA47VYPH5Q19X9DS7CT55B4I" localSheetId="51" hidden="1">#REF!</definedName>
    <definedName name="BExGLA47VYPH5Q19X9DS7CT55B4I" hidden="1">#REF!</definedName>
    <definedName name="BExGLC7R4C33RO0PID97ZPPVCW4M" localSheetId="51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#REF!</definedName>
    <definedName name="BExGOB25QJMQCQE76MRW9X58OIOO" localSheetId="51" hidden="1">#REF!</definedName>
    <definedName name="BExGOB25QJMQCQE76MRW9X58OIOO" hidden="1">#REF!</definedName>
    <definedName name="BExGOD5OOOBUBIMGTY10CMMLMXNN" localSheetId="51" hidden="1">#REF!</definedName>
    <definedName name="BExGOD5OOOBUBIMGTY10CMMLMXNN" hidden="1">#REF!</definedName>
    <definedName name="BExGODAZKJ9EXMQZNQR5YDBSS525" localSheetId="51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#REF!</definedName>
    <definedName name="BExGQPO7ENFEQC0NC6MC9OZR2LHY" localSheetId="51" hidden="1">#REF!</definedName>
    <definedName name="BExGQPO7ENFEQC0NC6MC9OZR2LHY" hidden="1">#REF!</definedName>
    <definedName name="BExGQX0H4EZMXBJTKJJE4ICJWN5O" localSheetId="51" hidden="1">#REF!</definedName>
    <definedName name="BExGQX0H4EZMXBJTKJJE4ICJWN5O" hidden="1">#REF!</definedName>
    <definedName name="BExGR4CW3WRIID17GGX4MI9ZDHFE" localSheetId="51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#REF!</definedName>
    <definedName name="BExH2EARUVJ0LN7IJXI0S3UWLQB2" localSheetId="51" hidden="1">#REF!</definedName>
    <definedName name="BExH2EARUVJ0LN7IJXI0S3UWLQB2" hidden="1">#REF!</definedName>
    <definedName name="BExH2GJQR4JALNB314RY0LDI49VH" localSheetId="51" hidden="1">#REF!</definedName>
    <definedName name="BExH2GJQR4JALNB314RY0LDI49VH" hidden="1">#REF!</definedName>
    <definedName name="BExH2JZR49T7644JFVE7B3N7RZM9" localSheetId="51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#REF!</definedName>
    <definedName name="BExIJV22J0QA7286KNPMHO1ZUCB3" localSheetId="51" hidden="1">#REF!</definedName>
    <definedName name="BExIJV22J0QA7286KNPMHO1ZUCB3" hidden="1">#REF!</definedName>
    <definedName name="BExIJVI6OC7B6ZE9V4PAOYZXKNER" localSheetId="51" hidden="1">#REF!</definedName>
    <definedName name="BExIJVI6OC7B6ZE9V4PAOYZXKNER" hidden="1">#REF!</definedName>
    <definedName name="BExIJWK0NGTGQ4X7D5VIVXD14JHI" localSheetId="51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#REF!</definedName>
    <definedName name="BExIM2RXHXBO63HBPUTHF775IIRY" localSheetId="51" hidden="1">#REF!</definedName>
    <definedName name="BExIM2RXHXBO63HBPUTHF775IIRY" hidden="1">#REF!</definedName>
    <definedName name="BExIM2RXYS5BGYBDMFLU1RE8039Z" localSheetId="51" hidden="1">#REF!</definedName>
    <definedName name="BExIM2RXYS5BGYBDMFLU1RE8039Z" hidden="1">#REF!</definedName>
    <definedName name="BExIM2X90EG7J3TG4STQ3J1OK4O0" localSheetId="51" hidden="1">#REF!</definedName>
    <definedName name="BExIM2X90EG7J3TG4STQ3J1OK4O0" hidden="1">#REF!</definedName>
    <definedName name="BExIM9DBUB7ZGF4B20FVUO9QGOX2" localSheetId="51" hidden="1">#REF!</definedName>
    <definedName name="BExIM9DBUB7ZGF4B20FVUO9QGOX2" hidden="1">#REF!</definedName>
    <definedName name="BExIMGK9Z94TFPWWZFMD10HV0IF6" localSheetId="51" hidden="1">#REF!</definedName>
    <definedName name="BExIMGK9Z94TFPWWZFMD10HV0IF6" hidden="1">#REF!</definedName>
    <definedName name="BExIMPEGKG18TELVC33T4OQTNBWC" localSheetId="51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#REF!</definedName>
    <definedName name="BExINZELBUXH0OXC3SAGC2RI7DXI" localSheetId="51" hidden="1">#REF!</definedName>
    <definedName name="BExINZELBUXH0OXC3SAGC2RI7DXI" hidden="1">#REF!</definedName>
    <definedName name="BExINZELVWYGU876QUUZCIMXPBQC" localSheetId="51" hidden="1">#REF!</definedName>
    <definedName name="BExINZELVWYGU876QUUZCIMXPBQC" hidden="1">#REF!</definedName>
    <definedName name="BExIOCQUQHKUU1KONGSDOLQTQEIC" localSheetId="51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#REF!</definedName>
    <definedName name="BExIS4T0DRF57HYO7OGG72KBOFOI" localSheetId="51" hidden="1">#REF!</definedName>
    <definedName name="BExIS4T0DRF57HYO7OGG72KBOFOI" hidden="1">#REF!</definedName>
    <definedName name="BExIS77BJDDK18PGI9DSEYZPIL7P" localSheetId="51" hidden="1">#REF!</definedName>
    <definedName name="BExIS77BJDDK18PGI9DSEYZPIL7P" hidden="1">#REF!</definedName>
    <definedName name="BExIS8UME1A94FJH5YHFVEO8E03Z" localSheetId="51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#REF!</definedName>
    <definedName name="BExIYV9IMIVVVSZNL48E412WN7ZF" localSheetId="51" hidden="1">#REF!</definedName>
    <definedName name="BExIYV9IMIVVVSZNL48E412WN7ZF" hidden="1">#REF!</definedName>
    <definedName name="BExIYWWSSNFJ49218D4EO9QWKL69" localSheetId="51" hidden="1">#REF!</definedName>
    <definedName name="BExIYWWSSNFJ49218D4EO9QWKL69" hidden="1">#REF!</definedName>
    <definedName name="BExIYZGLDQ1TN7BIIN4RLDP31GIM" localSheetId="51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#REF!</definedName>
    <definedName name="BExKMM52P2JTD826GL7EUFZ2GOWA" localSheetId="51" hidden="1">#REF!</definedName>
    <definedName name="BExKMM52P2JTD826GL7EUFZ2GOWA" hidden="1">#REF!</definedName>
    <definedName name="BExKMWBX4EH3EYJ07UFEM08NB40Z" localSheetId="51" hidden="1">#REF!</definedName>
    <definedName name="BExKMWBX4EH3EYJ07UFEM08NB40Z" hidden="1">#REF!</definedName>
    <definedName name="BExKNBGV2IR3S7M0BX4810KZB4V3" localSheetId="51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#REF!</definedName>
    <definedName name="BExKPEZP0QTKOTLIMMIFSVTHQEEK" localSheetId="51" hidden="1">#REF!</definedName>
    <definedName name="BExKPEZP0QTKOTLIMMIFSVTHQEEK" hidden="1">#REF!</definedName>
    <definedName name="BExKPJXT3SWOS15NRMD9RAD4AXOC" localSheetId="51" hidden="1">#REF!</definedName>
    <definedName name="BExKPJXT3SWOS15NRMD9RAD4AXOC" hidden="1">#REF!</definedName>
    <definedName name="BExKPLFRCAYNO7ZNGISMPGFFXB00" localSheetId="51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#REF!</definedName>
    <definedName name="BExKV08R85MKI3MAX9E2HERNQUNL" localSheetId="51" hidden="1">#REF!</definedName>
    <definedName name="BExKV08R85MKI3MAX9E2HERNQUNL" hidden="1">#REF!</definedName>
    <definedName name="BExKV334XOSQSXAYPE1ZFCWHR4J8" localSheetId="51" hidden="1">#REF!</definedName>
    <definedName name="BExKV334XOSQSXAYPE1ZFCWHR4J8" hidden="1">#REF!</definedName>
    <definedName name="BExKV4AAUNNJL5JWD7PX6BFKVS6O" localSheetId="51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#REF!</definedName>
    <definedName name="BExMBZ5YTPW7PFDUD2A9VUJ4HTNH" localSheetId="51" hidden="1">#REF!</definedName>
    <definedName name="BExMBZ5YTPW7PFDUD2A9VUJ4HTNH" hidden="1">#REF!</definedName>
    <definedName name="BExMBZM2XYYERB8X75SWZCZRQTT3" localSheetId="51" hidden="1">#REF!</definedName>
    <definedName name="BExMBZM2XYYERB8X75SWZCZRQTT3" hidden="1">#REF!</definedName>
    <definedName name="BExMC8AZUTX8LG89K2JJR7ZG62XX" localSheetId="51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#REF!</definedName>
    <definedName name="BExMNDR4V2VG5RFZDGTAGD3Q9PPG" localSheetId="51" hidden="1">#REF!</definedName>
    <definedName name="BExMNDR4V2VG5RFZDGTAGD3Q9PPG" hidden="1">#REF!</definedName>
    <definedName name="BExMNJLFWZBRN9PZF1IO9CYWV1B2" localSheetId="51" hidden="1">#REF!</definedName>
    <definedName name="BExMNJLFWZBRN9PZF1IO9CYWV1B2" hidden="1">#REF!</definedName>
    <definedName name="BExMNKCJ0FA57YEUUAJE43U1QN5P" localSheetId="51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#REF!</definedName>
    <definedName name="BExO55G2KVZ7MIJ30N827CLH0I2A" localSheetId="51" hidden="1">#REF!</definedName>
    <definedName name="BExO55G2KVZ7MIJ30N827CLH0I2A" hidden="1">#REF!</definedName>
    <definedName name="BExO5A8PZD9EUHC5CMPU6N3SQ15L" localSheetId="51" hidden="1">#REF!</definedName>
    <definedName name="BExO5A8PZD9EUHC5CMPU6N3SQ15L" hidden="1">#REF!</definedName>
    <definedName name="BExO5XMAHL7CY3X0B1OPKZ28DCJ5" localSheetId="51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#REF!</definedName>
    <definedName name="BExOFEDNCYI2TPTMQ8SJN3AW4YMF" localSheetId="51" hidden="1">#REF!</definedName>
    <definedName name="BExOFEDNCYI2TPTMQ8SJN3AW4YMF" hidden="1">#REF!</definedName>
    <definedName name="BExOFGRSPF8UTG0K1OGA8LX12P37" localSheetId="51" hidden="1">#REF!</definedName>
    <definedName name="BExOFGRSPF8UTG0K1OGA8LX12P37" hidden="1">#REF!</definedName>
    <definedName name="BExOFVLXVD6RVHSQO8KZOOACSV24" localSheetId="51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#REF!</definedName>
    <definedName name="BExOO1WWIZSGB0YTGKESB45TSVMZ" localSheetId="51" hidden="1">#REF!</definedName>
    <definedName name="BExOO1WWIZSGB0YTGKESB45TSVMZ" hidden="1">#REF!</definedName>
    <definedName name="BExOO4B8FPAFYPHCTYTX37P1TQM5" localSheetId="51" hidden="1">#REF!</definedName>
    <definedName name="BExOO4B8FPAFYPHCTYTX37P1TQM5" hidden="1">#REF!</definedName>
    <definedName name="BExOO5D2QZREOU0YQCGPBXBS4YQ1" localSheetId="51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#REF!</definedName>
    <definedName name="BExQ5IO89JL1G3PO02VX1LHZHLZ1" localSheetId="51" hidden="1">#REF!</definedName>
    <definedName name="BExQ5IO89JL1G3PO02VX1LHZHLZ1" hidden="1">#REF!</definedName>
    <definedName name="BExQ5KX3Z668H1KUCKZ9J24HUQ1F" localSheetId="51" hidden="1">#REF!</definedName>
    <definedName name="BExQ5KX3Z668H1KUCKZ9J24HUQ1F" hidden="1">#REF!</definedName>
    <definedName name="BExQ5SPMSOCJYLAY20NB5A6O32RE" localSheetId="51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#REF!</definedName>
    <definedName name="BExQ783XTMM2A9I3UKCFWJH1PP2N" localSheetId="51" hidden="1">#REF!</definedName>
    <definedName name="BExQ783XTMM2A9I3UKCFWJH1PP2N" hidden="1">#REF!</definedName>
    <definedName name="BExQ79LX01ZPQB8EGD1ZHR2VK2H3" localSheetId="51" hidden="1">#REF!</definedName>
    <definedName name="BExQ79LX01ZPQB8EGD1ZHR2VK2H3" hidden="1">#REF!</definedName>
    <definedName name="BExQ7AT1ON4L7W584EXCOXCQ8AF8" localSheetId="51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#REF!</definedName>
    <definedName name="BExQA324HSCK40ENJUT9CS9EC71B" localSheetId="51" hidden="1">#REF!</definedName>
    <definedName name="BExQA324HSCK40ENJUT9CS9EC71B" hidden="1">#REF!</definedName>
    <definedName name="BExQA55GY0STSNBWQCWN8E31ZXCS" localSheetId="51" hidden="1">#REF!</definedName>
    <definedName name="BExQA55GY0STSNBWQCWN8E31ZXCS" hidden="1">#REF!</definedName>
    <definedName name="BExQA6Y7SIFO3MVYCQACIZ6YV0WS" localSheetId="51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#REF!</definedName>
    <definedName name="BExS668EZXO8KT71OK13TBL2MYVF" localSheetId="51" hidden="1">#REF!</definedName>
    <definedName name="BExS668EZXO8KT71OK13TBL2MYVF" hidden="1">#REF!</definedName>
    <definedName name="BExS6GKQ96EHVLYWNJDWXZXUZW90" localSheetId="51" hidden="1">#REF!</definedName>
    <definedName name="BExS6GKQ96EHVLYWNJDWXZXUZW90" hidden="1">#REF!</definedName>
    <definedName name="BExS6ITKSZFRR01YD5B0F676SYN7" localSheetId="51" hidden="1">#REF!</definedName>
    <definedName name="BExS6ITKSZFRR01YD5B0F676SYN7" hidden="1">#REF!</definedName>
    <definedName name="BExS6M4AG8VGSMFGJXMMJ6YYATZI" localSheetId="51" hidden="1">#REF!</definedName>
    <definedName name="BExS6M4AG8VGSMFGJXMMJ6YYATZI" hidden="1">#REF!</definedName>
    <definedName name="BExS6N0LI574IAC89EFW6CLTCQ33" localSheetId="51" hidden="1">#REF!</definedName>
    <definedName name="BExS6N0LI574IAC89EFW6CLTCQ33" hidden="1">#REF!</definedName>
    <definedName name="BExS6WRDBF3ST86ZOBBUL3GTCR11" localSheetId="51" hidden="1">#REF!</definedName>
    <definedName name="BExS6WRDBF3ST86ZOBBUL3GTCR11" hidden="1">#REF!</definedName>
    <definedName name="BExS6XNRKR0C3MTA0LV5B60UB908" localSheetId="5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#REF!</definedName>
    <definedName name="BExSB4JYKQ3MINI7RAYK5M8BLJDC" localSheetId="51" hidden="1">#REF!</definedName>
    <definedName name="BExSB4JYKQ3MINI7RAYK5M8BLJDC" hidden="1">#REF!</definedName>
    <definedName name="BExSB6NLRVUI2GHH9VI5V6MY8ZL7" localSheetId="51" hidden="1">#REF!</definedName>
    <definedName name="BExSB6NLRVUI2GHH9VI5V6MY8ZL7" hidden="1">#REF!</definedName>
    <definedName name="BExSBMOS41ZRLWYLOU29V6Y7YORR" localSheetId="51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#REF!</definedName>
    <definedName name="BExSFYDRRTAZVPXRWUF5PDQ97WFF" localSheetId="51" hidden="1">#REF!</definedName>
    <definedName name="BExSFYDRRTAZVPXRWUF5PDQ97WFF" hidden="1">#REF!</definedName>
    <definedName name="BExSFZVPFTXA3F0IJ2NGH1GXX9R7" localSheetId="51" hidden="1">#REF!</definedName>
    <definedName name="BExSFZVPFTXA3F0IJ2NGH1GXX9R7" hidden="1">#REF!</definedName>
    <definedName name="BExSG90Q4ZUU2IPGDYOM169NJV9S" localSheetId="51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#REF!</definedName>
    <definedName name="BExSGR5JQVX2HQ0PKCGZNSSUM1RV" localSheetId="51" hidden="1">#REF!</definedName>
    <definedName name="BExSGR5JQVX2HQ0PKCGZNSSUM1RV" hidden="1">#REF!</definedName>
    <definedName name="BExSGVHX69GJZHD99DKE4RZ042B1" localSheetId="51" hidden="1">#REF!</definedName>
    <definedName name="BExSGVHX69GJZHD99DKE4RZ042B1" hidden="1">#REF!</definedName>
    <definedName name="BExSGZJO4J4ZO04E2N2ECVYS9DEZ" localSheetId="5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localSheetId="51" hidden="1">#REF!</definedName>
    <definedName name="BExTV67VIM8PV6KO253M4DUBJQLC" hidden="1">#REF!</definedName>
    <definedName name="BExTVELZCF2YA5L6F23BYZZR6WHF" localSheetId="51" hidden="1">#REF!</definedName>
    <definedName name="BExTVELZCF2YA5L6F23BYZZR6WHF" hidden="1">#REF!</definedName>
    <definedName name="BExTVGPIQZ99YFXUC8OONUX5BD42" localSheetId="51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#REF!</definedName>
    <definedName name="BExTYLUCLWGGQOEPH6W91DIYL3RQ" localSheetId="51" hidden="1">#REF!</definedName>
    <definedName name="BExTYLUCLWGGQOEPH6W91DIYL3RQ" hidden="1">#REF!</definedName>
    <definedName name="BExTYOZQGNRDMMFZOG8515WQDGU3" localSheetId="51" hidden="1">#REF!</definedName>
    <definedName name="BExTYOZQGNRDMMFZOG8515WQDGU3" hidden="1">#REF!</definedName>
    <definedName name="BExTYPLA9N640MFRJJQPKXT7P88M" localSheetId="51" hidden="1">#REF!</definedName>
    <definedName name="BExTYPLA9N640MFRJJQPKXT7P88M" hidden="1">#REF!</definedName>
    <definedName name="BExTYQMZFH06S0SMRP98OBQF34G8" localSheetId="51" hidden="1">#REF!</definedName>
    <definedName name="BExTYQMZFH06S0SMRP98OBQF34G8" hidden="1">#REF!</definedName>
    <definedName name="BExTZ7F71SNTOX4LLZCK5R9VUMIJ" localSheetId="51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#REF!</definedName>
    <definedName name="BExU4I148DA7PRCCISLWQ6ABXFK6" localSheetId="51" hidden="1">#REF!</definedName>
    <definedName name="BExU4I148DA7PRCCISLWQ6ABXFK6" hidden="1">#REF!</definedName>
    <definedName name="BExU4L101H2KQHVKCKQ4PBAWZV6K" localSheetId="51" hidden="1">#REF!</definedName>
    <definedName name="BExU4L101H2KQHVKCKQ4PBAWZV6K" hidden="1">#REF!</definedName>
    <definedName name="BExU4NA00RRRBGRT6TOB0MXZRCRZ" localSheetId="51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#REF!</definedName>
    <definedName name="BExU96M1J7P9DZQ3S9H0C12KGYTW" localSheetId="51" hidden="1">#REF!</definedName>
    <definedName name="BExU96M1J7P9DZQ3S9H0C12KGYTW" hidden="1">#REF!</definedName>
    <definedName name="BExU9F05OR1GZ3057R6UL3WPEIYI" localSheetId="51" hidden="1">#REF!</definedName>
    <definedName name="BExU9F05OR1GZ3057R6UL3WPEIYI" hidden="1">#REF!</definedName>
    <definedName name="BExU9GCSO5YILIKG6VAHN13DL75K" localSheetId="51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#REF!</definedName>
    <definedName name="BExUAE7VUMCVDFX37BD0AFOQDTE3" localSheetId="51" hidden="1">#REF!</definedName>
    <definedName name="BExUAE7VUMCVDFX37BD0AFOQDTE3" hidden="1">#REF!</definedName>
    <definedName name="BExUAFV4JMBSM2SKBQL9NHL0NIBS" localSheetId="51" hidden="1">#REF!</definedName>
    <definedName name="BExUAFV4JMBSM2SKBQL9NHL0NIBS" hidden="1">#REF!</definedName>
    <definedName name="BExUAMWQODKBXMRH1QCMJLJBF8M7" localSheetId="51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#REF!</definedName>
    <definedName name="BExVVPFO2J7FMSRPD36909HN4BZJ" localSheetId="51" hidden="1">#REF!</definedName>
    <definedName name="BExVVPFO2J7FMSRPD36909HN4BZJ" hidden="1">#REF!</definedName>
    <definedName name="BExVVQ19AQ3VCARJOC38SF7OYE9Y" localSheetId="51" hidden="1">#REF!</definedName>
    <definedName name="BExVVQ19AQ3VCARJOC38SF7OYE9Y" hidden="1">#REF!</definedName>
    <definedName name="BExVVQ19TAECID45CS4HXT1RD3AQ" localSheetId="51" hidden="1">#REF!</definedName>
    <definedName name="BExVVQ19TAECID45CS4HXT1RD3AQ" hidden="1">#REF!</definedName>
    <definedName name="BExVW0Z6US3NTJHJDYWIZB98DPUY" localSheetId="51" hidden="1">#REF!</definedName>
    <definedName name="BExVW0Z6US3NTJHJDYWIZB98DPUY" hidden="1">#REF!</definedName>
    <definedName name="BExVW1Q2P0JOW0VUQZZGZKEGMFKS" localSheetId="51" hidden="1">#REF!</definedName>
    <definedName name="BExVW1Q2P0JOW0VUQZZGZKEGMFKS" hidden="1">#REF!</definedName>
    <definedName name="BExVW3YV5XGIVJ97UUPDJGJ2P15B" localSheetId="51" hidden="1">#REF!</definedName>
    <definedName name="BExVW3YV5XGIVJ97UUPDJGJ2P15B" hidden="1">#REF!</definedName>
    <definedName name="BExVW5X571GEYR5SCU1Z2DHKWM79" localSheetId="51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#REF!</definedName>
    <definedName name="BExVYHDYIV5397LC02V4FEP8VD6W" localSheetId="51" hidden="1">#REF!</definedName>
    <definedName name="BExVYHDYIV5397LC02V4FEP8VD6W" hidden="1">#REF!</definedName>
    <definedName name="BExVYJXKYUCSEU1BZ19KSB39VXMD" localSheetId="51" hidden="1">#REF!</definedName>
    <definedName name="BExVYJXKYUCSEU1BZ19KSB39VXMD" hidden="1">#REF!</definedName>
    <definedName name="BExVYOVIZDA18YIQ0A30Q052PCAK" localSheetId="51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#REF!</definedName>
    <definedName name="BExW08MEDLGNM5Z5KYW1HQXCBUR6" localSheetId="51" hidden="1">#REF!</definedName>
    <definedName name="BExW08MEDLGNM5Z5KYW1HQXCBUR6" hidden="1">#REF!</definedName>
    <definedName name="BExW0CIO5SH0TQLZQ1VMKX3JZ7NW" localSheetId="51" hidden="1">#REF!</definedName>
    <definedName name="BExW0CIO5SH0TQLZQ1VMKX3JZ7NW" hidden="1">#REF!</definedName>
    <definedName name="BExW0FYP4WXY71CYUG40SUBG9UWU" localSheetId="51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#REF!</definedName>
    <definedName name="BExW24NI0GQA13RVEGFK7ISS512B" localSheetId="51" hidden="1">#REF!</definedName>
    <definedName name="BExW24NI0GQA13RVEGFK7ISS512B" hidden="1">#REF!</definedName>
    <definedName name="BExW283NP9D366XFPXLGSCI5UB0L" localSheetId="51" hidden="1">#REF!</definedName>
    <definedName name="BExW283NP9D366XFPXLGSCI5UB0L" hidden="1">#REF!</definedName>
    <definedName name="BExW2F54PEPPIGMV5I4XLXMKJOTG" localSheetId="51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#REF!</definedName>
    <definedName name="BExW36V9N91OHCUMGWJQL3I5P4JK" localSheetId="51" hidden="1">#REF!</definedName>
    <definedName name="BExW36V9N91OHCUMGWJQL3I5P4JK" hidden="1">#REF!</definedName>
    <definedName name="BExW3EIBA1J9Q9NA9VCGZGRS8WV7" localSheetId="51" hidden="1">#REF!</definedName>
    <definedName name="BExW3EIBA1J9Q9NA9VCGZGRS8WV7" hidden="1">#REF!</definedName>
    <definedName name="BExW3FEO8FI8N6AGQKYEG4SQVJWB" localSheetId="51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#REF!</definedName>
    <definedName name="BExW660AV1TUV2XNUPD65RZR3QOO" localSheetId="51" hidden="1">#REF!</definedName>
    <definedName name="BExW660AV1TUV2XNUPD65RZR3QOO" hidden="1">#REF!</definedName>
    <definedName name="BExW66LVVZK656PQY1257QMHP2AY" localSheetId="51" hidden="1">#REF!</definedName>
    <definedName name="BExW66LVVZK656PQY1257QMHP2AY" hidden="1">#REF!</definedName>
    <definedName name="BExW6EJPHAP1TWT380AZLXNHR22P" localSheetId="51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#REF!</definedName>
    <definedName name="BExW87VVJSJLAJQQHUHH974N4MAO" localSheetId="51" hidden="1">#REF!</definedName>
    <definedName name="BExW87VVJSJLAJQQHUHH974N4MAO" hidden="1">#REF!</definedName>
    <definedName name="BExW8COJI4803WMVPHGL8240OBIU" localSheetId="51" hidden="1">#REF!</definedName>
    <definedName name="BExW8COJI4803WMVPHGL8240OBIU" hidden="1">#REF!</definedName>
    <definedName name="BExW8K0SSIPSKBVP06IJ71600HJZ" localSheetId="51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#REF!</definedName>
    <definedName name="BExXX9D3XK7CEZ9SI9UOA6F79ZPL" localSheetId="51" hidden="1">#REF!</definedName>
    <definedName name="BExXX9D3XK7CEZ9SI9UOA6F79ZPL" hidden="1">#REF!</definedName>
    <definedName name="BExXXBBCLDS7K2HB4LLGA6TTTXO3" localSheetId="51" hidden="1">#REF!</definedName>
    <definedName name="BExXXBBCLDS7K2HB4LLGA6TTTXO3" hidden="1">#REF!</definedName>
    <definedName name="BExXXBGNQF0HXLZNUFVN9AGYLRGU" localSheetId="51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#REF!</definedName>
    <definedName name="BExY1JUYIFR0O90W747XIO278VF6" localSheetId="51" hidden="1">#REF!</definedName>
    <definedName name="BExY1JUYIFR0O90W747XIO278VF6" hidden="1">#REF!</definedName>
    <definedName name="BExY1NWOXXFV9GGZ3PX444LZ8TVX" localSheetId="51" hidden="1">#REF!</definedName>
    <definedName name="BExY1NWOXXFV9GGZ3PX444LZ8TVX" hidden="1">#REF!</definedName>
    <definedName name="BExY1R7F5GLGAYZT2TMJYZVT5X8X" localSheetId="51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#REF!</definedName>
    <definedName name="BExZS2OY9JTSSP01ZQ6V2T2LO5R9" localSheetId="51" hidden="1">#REF!</definedName>
    <definedName name="BExZS2OY9JTSSP01ZQ6V2T2LO5R9" hidden="1">#REF!</definedName>
    <definedName name="BExZSI9USDLZAN8LI8M4YYQL24GZ" localSheetId="51" hidden="1">#REF!</definedName>
    <definedName name="BExZSI9USDLZAN8LI8M4YYQL24GZ" hidden="1">#REF!</definedName>
    <definedName name="BExZSM0TL3458X254CZLZZ3GBCNQ" localSheetId="51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localSheetId="51" hidden="1">{"ARK_JURIS_FUEL",#N/A,FALSE,"Ark_Fuel&amp;Rev"}</definedName>
    <definedName name="Blank" hidden="1">{"ARK_JURIS_FUEL",#N/A,FALSE,"Ark_Fuel&amp;Rev"}</definedName>
    <definedName name="BLDAMNT" localSheetId="51">#REF!</definedName>
    <definedName name="BLDAMNT">#REF!</definedName>
    <definedName name="BLDDMND" localSheetId="51">#REF!</definedName>
    <definedName name="BLDDMND">#REF!</definedName>
    <definedName name="BLDKWH" localSheetId="51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localSheetId="51" hidden="1">#REF!</definedName>
    <definedName name="BLPH69" hidden="1">#REF!</definedName>
    <definedName name="BLPH7" localSheetId="51" hidden="1">#REF!</definedName>
    <definedName name="BLPH7" hidden="1">#REF!</definedName>
    <definedName name="BLPH70" localSheetId="51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localSheetId="51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localSheetId="51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localSheetId="51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localSheetId="51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localSheetId="51" hidden="1">#REF!</definedName>
    <definedName name="BLPH873" hidden="1">#REF!</definedName>
    <definedName name="BLPH874" localSheetId="51" hidden="1">#REF!</definedName>
    <definedName name="BLPH874" hidden="1">#REF!</definedName>
    <definedName name="BLPH875" localSheetId="51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localSheetId="51" hidden="1">#REF!</definedName>
    <definedName name="BLPH89" hidden="1">#REF!</definedName>
    <definedName name="BLPH9" localSheetId="51" hidden="1">#REF!</definedName>
    <definedName name="BLPH9" hidden="1">#REF!</definedName>
    <definedName name="BLPH90" localSheetId="51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>#REF!</definedName>
    <definedName name="brwrn971" localSheetId="51" hidden="1">{#N/A,#N/A,FALSE,"Capas";#N/A,#N/A,FALSE,"BS";#N/A,#N/A,FALSE,"P &amp; L";#N/A,#N/A,FALSE,"DMPL";#N/A,#N/A,FALSE,"Doar";#N/A,#N/A,FALSE,"Translation";#N/A,#N/A,FALSE,"R$";#N/A,#N/A,FALSE,"US$";#N/A,#N/A,FALSE,"Marketable"}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 localSheetId="51">#REF!</definedName>
    <definedName name="BS_Begin">#REF!</definedName>
    <definedName name="BS_Break" localSheetId="51">#REF!</definedName>
    <definedName name="BS_Break">#REF!</definedName>
    <definedName name="BS_End" localSheetId="51">#REF!</definedName>
    <definedName name="BS_End">#REF!</definedName>
    <definedName name="BTTrueUp">#REF!</definedName>
    <definedName name="Budget">#REF!</definedName>
    <definedName name="BUNCCHG" localSheetId="51">#REF!</definedName>
    <definedName name="BUNCCHG">#REF!</definedName>
    <definedName name="BUNDCHG1" localSheetId="51">#REF!</definedName>
    <definedName name="BUNDCHG1">#REF!</definedName>
    <definedName name="BUNDCHG2" localSheetId="5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 localSheetId="51">#REF!</definedName>
    <definedName name="BVILLEENERGYADJUSTMENT">#REF!</definedName>
    <definedName name="c.LTMYear" localSheetId="51" hidden="1">#REF!</definedName>
    <definedName name="c.LTMYear" hidden="1">#REF!</definedName>
    <definedName name="C_Begin" localSheetId="51">#REF!</definedName>
    <definedName name="C_Begin">#REF!</definedName>
    <definedName name="C_End">#REF!</definedName>
    <definedName name="CALCPFCC">#REF!</definedName>
    <definedName name="cancel" localSheetId="51" hidden="1">{"PARTNERS CAPITAL STMT",#N/A,FALSE,"Partners Capital"}</definedName>
    <definedName name="cancel" hidden="1">{"PARTNERS CAPITAL STMT",#N/A,FALSE,"Partners Capital"}</definedName>
    <definedName name="cancel2" localSheetId="51" hidden="1">{"PNLProjDL",#N/A,FALSE,"PROJCO";"PNLParDL",#N/A,FALSE,"Parent"}</definedName>
    <definedName name="cancel2" hidden="1">{"PNLProjDL",#N/A,FALSE,"PROJCO";"PNLParDL",#N/A,FALSE,"Parent"}</definedName>
    <definedName name="cancel3" localSheetId="51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 localSheetId="51">#REF!</definedName>
    <definedName name="CapAlloc">#REF!</definedName>
    <definedName name="CAPDEFA" localSheetId="51">#REF!</definedName>
    <definedName name="CAPDEFA">#REF!</definedName>
    <definedName name="CAPRATES" localSheetId="51">#REF!</definedName>
    <definedName name="CAPRATES">#REF!</definedName>
    <definedName name="CaseName" localSheetId="51">#REF!</definedName>
    <definedName name="CaseName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localSheetId="51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51" hidden="1">{"FCB_ALL",#N/A,FALSE,"FCB"}</definedName>
    <definedName name="cbcb" hidden="1">{"FCB_ALL",#N/A,FALSE,"FCB"}</definedName>
    <definedName name="cbcbc" localSheetId="51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51" hidden="1">{"FCB_ALL",#N/A,FALSE,"FCB";"GREY_ALL",#N/A,FALSE,"GREY"}</definedName>
    <definedName name="cbcbcbc" hidden="1">{"FCB_ALL",#N/A,FALSE,"FCB";"GREY_ALL",#N/A,FALSE,"GREY"}</definedName>
    <definedName name="cbcbcbcbcbcc" localSheetId="51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LKWH" localSheetId="51">#REF!</definedName>
    <definedName name="CBLKWH">#REF!</definedName>
    <definedName name="CBWorkbookPriority" hidden="1">-1818492550</definedName>
    <definedName name="CCF">#REF!</definedName>
    <definedName name="CF_Month" localSheetId="51">#REF!</definedName>
    <definedName name="CF_Month">#REF!</definedName>
    <definedName name="CF_Qtr" localSheetId="51">#REF!</definedName>
    <definedName name="CF_Qtr">#REF!</definedName>
    <definedName name="CF_YTD" localSheetId="51">#REF!</definedName>
    <definedName name="CF_YTD">#REF!</definedName>
    <definedName name="CIQWBGuid" hidden="1">"8ee6adcd-c945-41c5-a362-fc8c76a9e52d"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 localSheetId="51">#REF!</definedName>
    <definedName name="CoCode0100">#REF!</definedName>
    <definedName name="CoCode0200" localSheetId="51">#REF!</definedName>
    <definedName name="CoCode0200">#REF!</definedName>
    <definedName name="CoCode0400" localSheetId="51">#REF!</definedName>
    <definedName name="CoCode0400">#REF!</definedName>
    <definedName name="CoCode0500">#REF!</definedName>
    <definedName name="COD">#REF!</definedName>
    <definedName name="Codes">#REF!</definedName>
    <definedName name="Collapse_Level" localSheetId="51">#REF!</definedName>
    <definedName name="Collapse_Level">#REF!</definedName>
    <definedName name="COM" localSheetId="51">#REF!</definedName>
    <definedName name="COM">#REF!</definedName>
    <definedName name="CONOCO_FAC" localSheetId="51">#REF!</definedName>
    <definedName name="CONOCO_FAC">#REF!</definedName>
    <definedName name="CoPhoneLine" localSheetId="51">#REF!</definedName>
    <definedName name="CoPhoneLine">#REF!</definedName>
    <definedName name="copy2" localSheetId="51" hidden="1">#REF!</definedName>
    <definedName name="copy2" hidden="1">#REF!</definedName>
    <definedName name="copy3" hidden="1">#REF!</definedName>
    <definedName name="CountsStatuses">#REF!</definedName>
    <definedName name="cp_by_group" localSheetId="51">#REF!</definedName>
    <definedName name="cp_by_group">#REF!</definedName>
    <definedName name="cp_by_serv_level" localSheetId="51">#REF!</definedName>
    <definedName name="cp_by_serv_level">#REF!</definedName>
    <definedName name="cp_input_area" localSheetId="51">#REF!</definedName>
    <definedName name="cp_input_area">#REF!</definedName>
    <definedName name="CreditStats" hidden="1">#REF!</definedName>
    <definedName name="_xlnm.Criteria">#REF!</definedName>
    <definedName name="CRMOINTRPTHRS" localSheetId="51">#REF!</definedName>
    <definedName name="CRMOINTRPTHRS">#REF!</definedName>
    <definedName name="CRNTMOBTKWH" localSheetId="51">#REF!</definedName>
    <definedName name="CRNTMOBTKWH">#REF!</definedName>
    <definedName name="CRNTMOFPKHRS" localSheetId="51">#REF!</definedName>
    <definedName name="CRNTMOFPKHRS">#REF!</definedName>
    <definedName name="CRNTMONPKHRS">#REF!</definedName>
    <definedName name="CRTLBLONPKHRS">#REF!</definedName>
    <definedName name="CRTLBLONPKKWH">#REF!</definedName>
    <definedName name="CSA" localSheetId="21">#REF!</definedName>
    <definedName name="CSA">#REF!</definedName>
    <definedName name="CSO">#REF!</definedName>
    <definedName name="CSTMRCHG">#REF!</definedName>
    <definedName name="CSWE">#REF!</definedName>
    <definedName name="Cum_Int" localSheetId="51">#REF!</definedName>
    <definedName name="Cum_Int">#REF!</definedName>
    <definedName name="CurMoAddr1" localSheetId="51">#REF!</definedName>
    <definedName name="CurMoAddr1">#REF!</definedName>
    <definedName name="CurMoAddr2" localSheetId="5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 localSheetId="51">#REF!</definedName>
    <definedName name="CustAddr1">#REF!</definedName>
    <definedName name="CustAddr2" localSheetId="51">#REF!</definedName>
    <definedName name="CustAddr2">#REF!</definedName>
    <definedName name="CustCityStZip" localSheetId="51">#REF!</definedName>
    <definedName name="CustCityStZip">#REF!</definedName>
    <definedName name="CustName">#REF!</definedName>
    <definedName name="CustName2" localSheetId="51">#REF!</definedName>
    <definedName name="CustName2">#REF!</definedName>
    <definedName name="CUSTOMER" localSheetId="51">#REF!</definedName>
    <definedName name="CUSTOMER">#REF!</definedName>
    <definedName name="CustTable" localSheetId="51">#REF!</definedName>
    <definedName name="CustTable">#REF!</definedName>
    <definedName name="CWIP" localSheetId="5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5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>#REF!</definedName>
    <definedName name="d" localSheetId="51" hidden="1">#REF!</definedName>
    <definedName name="d" hidden="1">#REF!</definedName>
    <definedName name="D1PROD" localSheetId="51">#REF!</definedName>
    <definedName name="D1PROD">#REF!</definedName>
    <definedName name="D2TRAN" localSheetId="51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localSheetId="51" hidden="1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ebt_financed">#REF!</definedName>
    <definedName name="Debt_term">#REF!</definedName>
    <definedName name="Debt_type">#REF!</definedName>
    <definedName name="debttype">#REF!</definedName>
    <definedName name="DECEMBERFACTOR" localSheetId="51">#REF!</definedName>
    <definedName name="DECEMBERFACTOR">#REF!</definedName>
    <definedName name="DECEMBERINTEREST" localSheetId="51">#REF!</definedName>
    <definedName name="DECEMBERINTEREST">#REF!</definedName>
    <definedName name="DECEMBERSURCHARGE" localSheetId="51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localSheetId="51" hidden="1">{"STMT OF CASH FLOWS",#N/A,FALSE,"Cash Flows Indirect"}</definedName>
    <definedName name="delete" hidden="1">{"STMT OF CASH FLOWS",#N/A,FALSE,"Cash Flows Indirect"}</definedName>
    <definedName name="delete2" localSheetId="51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MAND" localSheetId="51">#REF!</definedName>
    <definedName name="DEMAND">#REF!</definedName>
    <definedName name="DEMENER" localSheetId="51">#REF!</definedName>
    <definedName name="DEMENER">#REF!</definedName>
    <definedName name="DEMTRAN" localSheetId="51">#REF!</definedName>
    <definedName name="DEMTRAN">#REF!</definedName>
    <definedName name="DEPRECBASE" hidden="1">#REF!</definedName>
    <definedName name="Derate">#REF!</definedName>
    <definedName name="DESCRIPTION1" localSheetId="51">#REF!</definedName>
    <definedName name="DESCRIPTION1">#REF!</definedName>
    <definedName name="Desert">#REF!</definedName>
    <definedName name="DETAIL" localSheetId="51">#REF!</definedName>
    <definedName name="DETAIL">#REF!</definedName>
    <definedName name="DetailTotCbl" localSheetId="51">#REF!</definedName>
    <definedName name="DetailTotCbl">#REF!</definedName>
    <definedName name="DetailTotChg" localSheetId="51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 localSheetId="51">#REF!</definedName>
    <definedName name="DIRPCCHG">#REF!</definedName>
    <definedName name="DIRPDCHG1" localSheetId="51">#REF!</definedName>
    <definedName name="DIRPDCHG1">#REF!</definedName>
    <definedName name="DIRPDCHG2" localSheetId="5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localSheetId="51" hidden="1">{"wp_h4.2",#N/A,FALSE,"WP_H4.2";"wp_h4.3",#N/A,FALSE,"WP_H4.3"}</definedName>
    <definedName name="distr" hidden="1">{"wp_h4.2",#N/A,FALSE,"WP_H4.2";"wp_h4.3",#N/A,FALSE,"WP_H4.3"}</definedName>
    <definedName name="DisXOfpKvaChg" localSheetId="51">#REF!</definedName>
    <definedName name="DisXOfpKvaChg">#REF!</definedName>
    <definedName name="DisXOfpKwChg" localSheetId="51">#REF!</definedName>
    <definedName name="DisXOfpKwChg">#REF!</definedName>
    <definedName name="Div_Inc_pb" localSheetId="51" hidden="1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>#REF!</definedName>
    <definedName name="DR_10">#REF!</definedName>
    <definedName name="DR_2">#REF!</definedName>
    <definedName name="DR_3">#REF!</definedName>
    <definedName name="DR_4">#REF!</definedName>
    <definedName name="DR_5">#REF!</definedName>
    <definedName name="DR_6">#REF!</definedName>
    <definedName name="DR_7">#REF!</definedName>
    <definedName name="DR_8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 localSheetId="51">#REF!</definedName>
    <definedName name="DSTCCHG">#REF!</definedName>
    <definedName name="DSTDCHG1" localSheetId="51">#REF!</definedName>
    <definedName name="DSTDCHG1">#REF!</definedName>
    <definedName name="DSTDCHG2" localSheetId="5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>#REF!</definedName>
    <definedName name="East_Table">#REF!</definedName>
    <definedName name="EastPSC1" localSheetId="51">#REF!</definedName>
    <definedName name="EastPSC1">#REF!</definedName>
    <definedName name="EastPSC2" localSheetId="51">#REF!</definedName>
    <definedName name="EastPSC2">#REF!</definedName>
    <definedName name="EastPSC3" localSheetId="51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>#REF!</definedName>
    <definedName name="EBP_Inact">#REF!</definedName>
    <definedName name="EBP_QP">#REF!</definedName>
    <definedName name="EBP_SRP">#REF!</definedName>
    <definedName name="EBP_SRP_ACT" localSheetId="51">#REF!</definedName>
    <definedName name="EBP_SRP_ACT">#REF!</definedName>
    <definedName name="EBP_SRP1">#REF!</definedName>
    <definedName name="EBP_SRP10">#REF!</definedName>
    <definedName name="EBP_SRP2">#REF!</definedName>
    <definedName name="EBP_SRP3">#REF!</definedName>
    <definedName name="EBP_SRP4">#REF!</definedName>
    <definedName name="EBP_SRP5">#REF!</definedName>
    <definedName name="EBP_SRP6">#REF!</definedName>
    <definedName name="EBP_SRP7">#REF!</definedName>
    <definedName name="EBP_SRP8">#REF!</definedName>
    <definedName name="EBP_SRP9">#REF!</definedName>
    <definedName name="ECF">#REF!</definedName>
    <definedName name="ECONOMYPURCHASES" localSheetId="51">#REF!</definedName>
    <definedName name="ECONOMYPURCHASES">#REF!</definedName>
    <definedName name="EDRBASE" localSheetId="51">#REF!</definedName>
    <definedName name="EDRBASE">#REF!</definedName>
    <definedName name="EDRDATE" localSheetId="51">#REF!</definedName>
    <definedName name="EDRDATE">#REF!</definedName>
    <definedName name="EDRDSCNT">#REF!</definedName>
    <definedName name="EDRLVLPCT">#REF!</definedName>
    <definedName name="EDRTYPE">#REF!</definedName>
    <definedName name="EEEE" localSheetId="5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 localSheetId="51">#REF!</definedName>
    <definedName name="EFC_SUMMARY">#REF!</definedName>
    <definedName name="EFC_YTD_SM" localSheetId="51">#REF!</definedName>
    <definedName name="EFC_YTD_SM">#REF!</definedName>
    <definedName name="EffDate" localSheetId="51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>#REF!</definedName>
    <definedName name="End_Bal2">#REF!</definedName>
    <definedName name="End_of_Report" localSheetId="8">#REF!</definedName>
    <definedName name="End_of_Report" localSheetId="19">#REF!</definedName>
    <definedName name="End_of_Report" localSheetId="21">#REF!</definedName>
    <definedName name="End_of_Report" localSheetId="51">#REF!</definedName>
    <definedName name="End_of_Report">#REF!</definedName>
    <definedName name="End_Print1" localSheetId="19">#REF!</definedName>
    <definedName name="End_Print1" localSheetId="21">#REF!</definedName>
    <definedName name="End_Print1" localSheetId="51">#REF!</definedName>
    <definedName name="End_Print1">#REF!</definedName>
    <definedName name="End_Print2" localSheetId="19">#REF!</definedName>
    <definedName name="End_Print2" localSheetId="21">#REF!</definedName>
    <definedName name="End_Print2" localSheetId="51">#REF!</definedName>
    <definedName name="End_Print2">#REF!</definedName>
    <definedName name="ENDDTM" localSheetId="51">#REF!</definedName>
    <definedName name="ENDDTM">#REF!</definedName>
    <definedName name="EndTime">39456.6725694444</definedName>
    <definedName name="Energy_Loss">#REF!</definedName>
    <definedName name="EntityID">#REF!</definedName>
    <definedName name="EntityName">#REF!</definedName>
    <definedName name="EP">#REF!</definedName>
    <definedName name="er" localSheetId="51" hidden="1">#REF!</definedName>
    <definedName name="er" hidden="1">#REF!</definedName>
    <definedName name="Erlbacher1" localSheetId="51">#REF!</definedName>
    <definedName name="Erlbacher1">#REF!</definedName>
    <definedName name="Erlbacher2" localSheetId="51">#REF!</definedName>
    <definedName name="Erlbacher2">#REF!</definedName>
    <definedName name="ES">#REF!</definedName>
    <definedName name="EstExcessAmt" localSheetId="51">#REF!</definedName>
    <definedName name="EstExcessAmt">#REF!</definedName>
    <definedName name="EstGrTaxAmt" localSheetId="51">#REF!</definedName>
    <definedName name="EstGrTaxAmt">#REF!</definedName>
    <definedName name="EstKWHExcess" localSheetId="51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localSheetId="51" hidden="1">#REF!</definedName>
    <definedName name="Exchange_Rates" hidden="1">#REF!</definedName>
    <definedName name="EXCSKVACHG" localSheetId="51">#REF!</definedName>
    <definedName name="EXCSKVACHG">#REF!</definedName>
    <definedName name="EXCSKVADMND" localSheetId="51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>#REF!</definedName>
    <definedName name="Extra_Pay">#REF!</definedName>
    <definedName name="_xlnm.Extract" localSheetId="51">#REF!</definedName>
    <definedName name="_xlnm.Extract">#REF!</definedName>
    <definedName name="Extracts_Hide">#REF!</definedName>
    <definedName name="f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ke" localSheetId="51">#REF!</definedName>
    <definedName name="fake">#REF!</definedName>
    <definedName name="FAS35InfoValYear">#REF!</definedName>
    <definedName name="FAS87INFO2013">#REF!</definedName>
    <definedName name="FAS87InfoValYear">#REF!</definedName>
    <definedName name="FAS87InfoValYearSRP">#REF!</definedName>
    <definedName name="FBULL5" localSheetId="51">#REF!</definedName>
    <definedName name="FBULL5">#REF!</definedName>
    <definedName name="FCF">#REF!</definedName>
    <definedName name="fcst" localSheetId="51">#REF!</definedName>
    <definedName name="fcst">#REF!</definedName>
    <definedName name="FCTCcalcN">"optbox_FCcalcN"</definedName>
    <definedName name="FCTCcalcY">"optbox_FccalcY"</definedName>
    <definedName name="fdsafasdsfdsa" localSheetId="51" hidden="1">#REF!</definedName>
    <definedName name="fdsafasdsfdsa" hidden="1">#REF!</definedName>
    <definedName name="FEB" localSheetId="51">#REF!</definedName>
    <definedName name="FEB">#REF!</definedName>
    <definedName name="FEBRUARYFACTOR" localSheetId="51">#REF!</definedName>
    <definedName name="FEBRUARYFACTOR">#REF!</definedName>
    <definedName name="FEBRUARYINTEREST" localSheetId="51">#REF!</definedName>
    <definedName name="FEBRUARYINTEREST">#REF!</definedName>
    <definedName name="FEBRUARYSURCHARGE" localSheetId="51">#REF!</definedName>
    <definedName name="FEBRUARYSURCHARGE">#REF!</definedName>
    <definedName name="Fed_Bonus_Red">#REF!</definedName>
    <definedName name="Fed_Depr_Adj">#REF!</definedName>
    <definedName name="Fed_Resv_Adj">#REF!</definedName>
    <definedName name="Fed_Tax_Accts">#REF!</definedName>
    <definedName name="Fed_tax_credit">#REF!</definedName>
    <definedName name="Fed_tax_rate">#REF!</definedName>
    <definedName name="FERC_Account" localSheetId="51">#REF!</definedName>
    <definedName name="FERC_Account">#REF!</definedName>
    <definedName name="FERC_LEVEL_2" localSheetId="51">#REF!</definedName>
    <definedName name="FERC_LEVEL_2">#REF!</definedName>
    <definedName name="ff" localSheetId="51">#REF!</definedName>
    <definedName name="ff">#REF!</definedName>
    <definedName name="ffffff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 localSheetId="51">#REF!</definedName>
    <definedName name="Fiscal_Period">#REF!</definedName>
    <definedName name="Fiscal_Year" localSheetId="51">#REF!</definedName>
    <definedName name="Fiscal_Year">#REF!</definedName>
    <definedName name="FiscalMonth" hidden="1">#REF!</definedName>
    <definedName name="FIX" localSheetId="51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>#REF!</definedName>
    <definedName name="FnOffset">#REF!</definedName>
    <definedName name="ForecastResults">#REF!</definedName>
    <definedName name="FORM" localSheetId="51">#REF!</definedName>
    <definedName name="FORM">#REF!</definedName>
    <definedName name="FOUR" localSheetId="51">#REF!</definedName>
    <definedName name="FOUR">#REF!</definedName>
    <definedName name="FPTD" hidden="1">#REF!</definedName>
    <definedName name="FRMCPCT" localSheetId="51">#REF!</definedName>
    <definedName name="FRMCPCT">#REF!</definedName>
    <definedName name="FSoPacific" localSheetId="51" hidden="1">{"BS",#N/A,FALSE,"USA"}</definedName>
    <definedName name="FSoPacific" hidden="1">{"BS",#N/A,FALSE,"USA"}</definedName>
    <definedName name="FUELBYTYPE">#REF!</definedName>
    <definedName name="FUELCHG">#REF!</definedName>
    <definedName name="fuelco_wrn.test1." localSheetId="51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51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51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51" hidden="1">{"SourcesUses",#N/A,TRUE,"FundsFlow";"TransOverview",#N/A,TRUE,"FundsFlow"}</definedName>
    <definedName name="fuelco_wrn.test4." hidden="1">{"SourcesUses",#N/A,TRUE,"FundsFlow";"TransOverview",#N/A,TRUE,"FundsFlow"}</definedName>
    <definedName name="FuelCycle" localSheetId="51" hidden="1">{#N/A,#N/A,FALSE,"AltFuel"}</definedName>
    <definedName name="FuelCycle" hidden="1">{#N/A,#N/A,FALSE,"AltFuel"}</definedName>
    <definedName name="FUELRATE">#REF!</definedName>
    <definedName name="Full_Print">#REF!</definedName>
    <definedName name="Full_Sample" localSheetId="51">#REF!</definedName>
    <definedName name="Full_Sample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localSheetId="51" hidden="1">#REF!</definedName>
    <definedName name="g" hidden="1">#REF!</definedName>
    <definedName name="Gas.calc" localSheetId="51" hidden="1">{"ARK_JURIS_FAC",#N/A,FALSE,"Ark_Fuel&amp;Rev"}</definedName>
    <definedName name="Gas.calc" hidden="1">{"ARK_JURIS_FAC",#N/A,FALSE,"Ark_Fuel&amp;Rev"}</definedName>
    <definedName name="gdgdag" hidden="1">#REF!</definedName>
    <definedName name="GenBlkKwhChg1" localSheetId="51">#REF!</definedName>
    <definedName name="GenBlkKwhChg1">#REF!</definedName>
    <definedName name="GenBlkKwhChg2" localSheetId="5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hghjghg" hidden="1">#REF!</definedName>
    <definedName name="gilb.wrn.test2." localSheetId="51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51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51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51" hidden="1">{"Income Statement",#N/A,FALSE,"CFMODEL";"Balance Sheet",#N/A,FALSE,"CFMODEL"}</definedName>
    <definedName name="gilb_wrn.test1" hidden="1">{"Income Statement",#N/A,FALSE,"CFMODEL";"Balance Sheet",#N/A,FALSE,"CFMODEL"}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localSheetId="51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51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51" hidden="1">{#N/A,#N/A,TRUE,"Facility-Input";#N/A,#N/A,TRUE,"Graphs";#N/A,#N/A,TRUE,"TOTAL"}</definedName>
    <definedName name="GOODBYE" hidden="1">{#N/A,#N/A,TRUE,"Facility-Input";#N/A,#N/A,TRUE,"Graphs";#N/A,#N/A,TRUE,"TOTAL"}</definedName>
    <definedName name="GPA_Table">#REF!</definedName>
    <definedName name="greenbelt" localSheetId="51">#REF!</definedName>
    <definedName name="greenbelt">#REF!</definedName>
    <definedName name="GreenTagAdder" hidden="1">#REF!</definedName>
    <definedName name="GROSSPLT" localSheetId="51">#REF!</definedName>
    <definedName name="GROSSPLT">#REF!</definedName>
    <definedName name="haha" localSheetId="51" hidden="1">{"OMPA_FAC",#N/A,FALSE,"OMPA FAC"}</definedName>
    <definedName name="haha" hidden="1">{"OMPA_FAC",#N/A,FALSE,"OMPA FAC"}</definedName>
    <definedName name="HEAD1" localSheetId="51">#REF!</definedName>
    <definedName name="HEAD1">#REF!</definedName>
    <definedName name="HEAD2" localSheetId="51">#REF!</definedName>
    <definedName name="HEAD2">#REF!</definedName>
    <definedName name="HEAD3" localSheetId="51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>ROW(#REF!)</definedName>
    <definedName name="HeaderI" localSheetId="51">#REF!</definedName>
    <definedName name="HeaderI">#REF!</definedName>
    <definedName name="HEADI" localSheetId="51">#REF!</definedName>
    <definedName name="HEADI">#REF!</definedName>
    <definedName name="Hedges">#REF!</definedName>
    <definedName name="hello" localSheetId="51" hidden="1">{#N/A,#N/A,TRUE,"Facility-Input";#N/A,#N/A,TRUE,"Graphs";#N/A,#N/A,TRUE,"TOTAL"}</definedName>
    <definedName name="hello" hidden="1">{#N/A,#N/A,TRUE,"Facility-Input";#N/A,#N/A,TRUE,"Graphs";#N/A,#N/A,TRUE,"TOTAL"}</definedName>
    <definedName name="hi" hidden="1">#REF!</definedName>
    <definedName name="HIPREKW" localSheetId="51">#REF!</definedName>
    <definedName name="HIPREKW">#REF!</definedName>
    <definedName name="Hist3Yr_ASBHrsPerFTE">#REF!</definedName>
    <definedName name="Hist3Yr_CrewProductivity">#REF!</definedName>
    <definedName name="Hist3Yr_DesignAccuracy">#REF!</definedName>
    <definedName name="Hist3Yr_DistLaborCostPerASBHour">#REF!</definedName>
    <definedName name="Hist3Yr_EngineeringProductivity">#REF!</definedName>
    <definedName name="Hist3Yr_IncidentRate">#REF!</definedName>
    <definedName name="Hist3Yr_JobsiteAvailability">#REF!</definedName>
    <definedName name="Hist3Yr_JobsiteEfficiency">#REF!</definedName>
    <definedName name="Hist3Yr_MROCostPerOrder">#REF!</definedName>
    <definedName name="Hist3Yr_MROProductivity">#REF!</definedName>
    <definedName name="Hist3Yr_OTDistLine">#REF!</definedName>
    <definedName name="Hist3Yr_OTEng">#REF!</definedName>
    <definedName name="Hist3Yr_OTMRO">#REF!</definedName>
    <definedName name="Hist3Yr_OverheadContractorLabor">#REF!</definedName>
    <definedName name="Hist3Yr_SeverityRate">#REF!</definedName>
    <definedName name="Hist3Yr_TotalDistCostPerASBHour">#REF!</definedName>
    <definedName name="HMMM" localSheetId="5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localSheetId="51" hidden="1">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localSheetId="51" hidden="1">{"'Bellville Acetylene'!$A$1:$L$99"}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localSheetId="51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D_sorted">#REF!</definedName>
    <definedName name="IMCO">#REF!</definedName>
    <definedName name="IN_Sample">#REF!</definedName>
    <definedName name="Inc_Excl_Accts">#REF!</definedName>
    <definedName name="IncludeNonRegs">#REF!</definedName>
    <definedName name="INCOME_BEFORE_TAXES">#REF!</definedName>
    <definedName name="IncomeStatement" localSheetId="51" hidden="1">{#N/A,#N/A,FALSE,"FinStateUS"}</definedName>
    <definedName name="IncomeStatement" hidden="1">{#N/A,#N/A,FALSE,"FinStateUS"}</definedName>
    <definedName name="IncomeStatement6Years" localSheetId="51" hidden="1">{"IncStatement 6 years",#N/A,FALSE,"FinStateUS"}</definedName>
    <definedName name="IncomeStatement6Years" hidden="1">{"IncStatement 6 years",#N/A,FALSE,"FinStateUS"}</definedName>
    <definedName name="IncrmntlFctr">#REF!</definedName>
    <definedName name="INFO" localSheetId="51">#REF!</definedName>
    <definedName name="INFO">#REF!</definedName>
    <definedName name="INPUT" localSheetId="51">#REF!</definedName>
    <definedName name="INPUT">#REF!</definedName>
    <definedName name="inputs" localSheetId="51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>#REF!</definedName>
    <definedName name="Interest_Rate">#REF!</definedName>
    <definedName name="InterruptCapacity" localSheetId="51">#REF!</definedName>
    <definedName name="InterruptCapacity">#REF!</definedName>
    <definedName name="InterruptOfpCapacity" localSheetId="51">#REF!</definedName>
    <definedName name="InterruptOfpCapacity">#REF!</definedName>
    <definedName name="InterruptType" localSheetId="51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 localSheetId="51">#REF!</definedName>
    <definedName name="IS_Begin">#REF!</definedName>
    <definedName name="IS_END" localSheetId="51">#REF!</definedName>
    <definedName name="IS_END">#REF!</definedName>
    <definedName name="IS_Mo" localSheetId="51">#REF!</definedName>
    <definedName name="IS_Mo">#REF!</definedName>
    <definedName name="IS_Qtr" localSheetId="51">#REF!</definedName>
    <definedName name="IS_Qtr">#REF!</definedName>
    <definedName name="IsColHidden" hidden="1">FALSE</definedName>
    <definedName name="ISFn">#REF!</definedName>
    <definedName name="ISFnDescr">#REF!</definedName>
    <definedName name="IsLTMColHidden" hidden="1">FALSE</definedName>
    <definedName name="ISMo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localSheetId="51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j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>#REF!</definedName>
    <definedName name="JAF">#REF!</definedName>
    <definedName name="JAN" localSheetId="51">#REF!</definedName>
    <definedName name="JAN">#REF!</definedName>
    <definedName name="janetec" localSheetId="51">#REF!</definedName>
    <definedName name="janetec">#REF!</definedName>
    <definedName name="JANUARYFACTOR" localSheetId="51">#REF!</definedName>
    <definedName name="JANUARYFACTOR">#REF!</definedName>
    <definedName name="JANUARYINTEREST" localSheetId="51">#REF!</definedName>
    <definedName name="JANUARYINTEREST">#REF!</definedName>
    <definedName name="JANUARYSURCHARGE">#REF!</definedName>
    <definedName name="JESUS" localSheetId="51" hidden="1">{#N/A,#N/A,TRUE,"Facility-Input";#N/A,#N/A,TRUE,"Graphs";#N/A,#N/A,TRUE,"TOTAL"}</definedName>
    <definedName name="JESUS" hidden="1">{#N/A,#N/A,TRUE,"Facility-Input";#N/A,#N/A,TRUE,"Graphs";#N/A,#N/A,TRUE,"TOTAL"}</definedName>
    <definedName name="jfdjk" localSheetId="51" hidden="1">{"Area1",#N/A,FALSE,"OREWACC";"Area2",#N/A,FALSE,"OREWACC"}</definedName>
    <definedName name="jfdjk" hidden="1">{"Area1",#N/A,FALSE,"OREWACC";"Area2",#N/A,FALSE,"OREWACC"}</definedName>
    <definedName name="jj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>#REF!</definedName>
    <definedName name="July" localSheetId="51">#REF!</definedName>
    <definedName name="July">#REF!</definedName>
    <definedName name="JULYFACTOR" localSheetId="51">#REF!</definedName>
    <definedName name="JULYFACTOR">#REF!</definedName>
    <definedName name="JULYINTEREST" localSheetId="51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 localSheetId="8">#REF!</definedName>
    <definedName name="Katy" localSheetId="21">#REF!</definedName>
    <definedName name="Katy">#REF!</definedName>
    <definedName name="kijh" localSheetId="51" hidden="1">{"FCB_ALL",#N/A,FALSE,"FCB";"GREY_ALL",#N/A,FALSE,"GREY"}</definedName>
    <definedName name="kijh" hidden="1">{"FCB_ALL",#N/A,FALSE,"FCB";"GREY_ALL",#N/A,FALSE,"GREY"}</definedName>
    <definedName name="kjh" localSheetId="51" hidden="1">{"Area1",#N/A,FALSE,"OREWACC";"Area2",#N/A,FALSE,"OREWACC"}</definedName>
    <definedName name="kjh" hidden="1">{"Area1",#N/A,FALSE,"OREWACC";"Area2",#N/A,FALSE,"OREWACC"}</definedName>
    <definedName name="KPCO_408" localSheetId="21">#REF!</definedName>
    <definedName name="KPCO_408" localSheetId="43">#REF!</definedName>
    <definedName name="KPCO_408" localSheetId="51">#REF!</definedName>
    <definedName name="KPCO_408">#REF!</definedName>
    <definedName name="KWCHG" localSheetId="51">#REF!</definedName>
    <definedName name="KWCHG">#REF!</definedName>
    <definedName name="KWH1NOCMM" localSheetId="51">#REF!</definedName>
    <definedName name="KWH1NOCMM">#REF!</definedName>
    <definedName name="KWH3NOCMM">#REF!</definedName>
    <definedName name="KWHCHG">#REF!</definedName>
    <definedName name="L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 localSheetId="51">#REF!</definedName>
    <definedName name="LaSch">#REF!</definedName>
    <definedName name="last" localSheetId="51">#REF!</definedName>
    <definedName name="last">#REF!</definedName>
    <definedName name="Last_Row">#N/A</definedName>
    <definedName name="LASTDAY" localSheetId="51">#REF!</definedName>
    <definedName name="LASTDAY">#REF!</definedName>
    <definedName name="LASTFUEL" localSheetId="51">#REF!</definedName>
    <definedName name="LASTFUEL">#REF!</definedName>
    <definedName name="LASTMSRR" localSheetId="51">#REF!</definedName>
    <definedName name="LASTMSRR">#REF!</definedName>
    <definedName name="LASTPFCC">#REF!</definedName>
    <definedName name="LastRangeName" hidden="1">#REF!</definedName>
    <definedName name="late3" localSheetId="51" hidden="1">#REF!</definedName>
    <definedName name="late3" hidden="1">#REF!</definedName>
    <definedName name="LDFCTR" localSheetId="51">#REF!</definedName>
    <definedName name="LDFCTR">#REF!</definedName>
    <definedName name="LEGAL2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 localSheetId="51">#REF!</definedName>
    <definedName name="LIABILITIES">#REF!</definedName>
    <definedName name="LiabOutput">#REF!</definedName>
    <definedName name="lighthouse" localSheetId="51">#REF!</definedName>
    <definedName name="lighthouse">#REF!</definedName>
    <definedName name="limcount" hidden="1">1</definedName>
    <definedName name="Listing2018">#REF!</definedName>
    <definedName name="ListOffset" hidden="1">1</definedName>
    <definedName name="LOAD_ANAL" localSheetId="51">#REF!</definedName>
    <definedName name="LOAD_ANAL">#REF!</definedName>
    <definedName name="LoadPerc2" localSheetId="51">#REF!</definedName>
    <definedName name="LoadPerc2">#REF!</definedName>
    <definedName name="LoadPercent" localSheetId="51">#REF!</definedName>
    <definedName name="LoadPercent">#REF!</definedName>
    <definedName name="Loan_Amount">#REF!</definedName>
    <definedName name="Loan_Start">#REF!</definedName>
    <definedName name="Loan_Years">#REF!</definedName>
    <definedName name="Loc_Rev_Act">#REF!</definedName>
    <definedName name="Loc_Rev_Inact">#REF!</definedName>
    <definedName name="LOC_SRP">#REF!</definedName>
    <definedName name="Locations">#REF!</definedName>
    <definedName name="LocFund" localSheetId="51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 localSheetId="51">#REF!</definedName>
    <definedName name="LRCREDIT">#REF!</definedName>
    <definedName name="ltm_BalanceSheet" localSheetId="51" hidden="1">#REF!</definedName>
    <definedName name="ltm_BalanceSheet" hidden="1">#REF!</definedName>
    <definedName name="ltm_IncomeStatement" localSheetId="51" hidden="1">#REF!</definedName>
    <definedName name="ltm_IncomeStatement" hidden="1">#REF!</definedName>
    <definedName name="M_PlaceofPath" hidden="1">"F:\SPOULIOS\DATA\CHV\chv_vdf.xls"</definedName>
    <definedName name="MACC1" localSheetId="51">#REF!</definedName>
    <definedName name="MACC1">#REF!</definedName>
    <definedName name="MACC2" localSheetId="51">#REF!</definedName>
    <definedName name="MACC2">#REF!</definedName>
    <definedName name="MAIN" localSheetId="51">#REF!</definedName>
    <definedName name="MAIN">#REF!</definedName>
    <definedName name="MAINTHRSCRMO">#REF!</definedName>
    <definedName name="MAINTKWH">#REF!</definedName>
    <definedName name="Manual_Hide">#REF!</definedName>
    <definedName name="MAR" localSheetId="51">#REF!</definedName>
    <definedName name="MAR">#REF!</definedName>
    <definedName name="MARCHFACTOR" localSheetId="51">#REF!</definedName>
    <definedName name="MARCHFACTOR">#REF!</definedName>
    <definedName name="MARCHINTEREST" localSheetId="51">#REF!</definedName>
    <definedName name="MARCHINTEREST">#REF!</definedName>
    <definedName name="MARCHSURCHARGE" localSheetId="51">#REF!</definedName>
    <definedName name="MARCHSURCHARGE">#REF!</definedName>
    <definedName name="Marshall_Rate" localSheetId="21">#REF!</definedName>
    <definedName name="Marshall_Rate">#REF!</definedName>
    <definedName name="mason?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>#REF!</definedName>
    <definedName name="mercatus_raw" localSheetId="51">#REF!</definedName>
    <definedName name="mercatus_raw">#REF!</definedName>
    <definedName name="MEWarning" hidden="1">1</definedName>
    <definedName name="mike" hidden="1">#REF!</definedName>
    <definedName name="MinBillDem" localSheetId="51">#REF!</definedName>
    <definedName name="MinBillDem">#REF!</definedName>
    <definedName name="MinBillDem2" localSheetId="51">#REF!</definedName>
    <definedName name="MinBillDem2">#REF!</definedName>
    <definedName name="MinBillDmd" localSheetId="51">#REF!</definedName>
    <definedName name="MinBillDmd">#REF!</definedName>
    <definedName name="MonthlyAdj">#REF!</definedName>
    <definedName name="movelines">"movelines"</definedName>
    <definedName name="MSRRBLD" localSheetId="51">#REF!</definedName>
    <definedName name="MSRRBLD">#REF!</definedName>
    <definedName name="MSRRCHG" localSheetId="51">#REF!</definedName>
    <definedName name="MSRRCHG">#REF!</definedName>
    <definedName name="MTD_EARNINGS">#REF!</definedName>
    <definedName name="MTD_EQUITY_EARNINGS" localSheetId="51">#REF!</definedName>
    <definedName name="MTD_EQUITY_EARNINGS">#REF!</definedName>
    <definedName name="MTD_EXPENSES">#REF!</definedName>
    <definedName name="MTD_GROSS_MARGIN">#REF!</definedName>
    <definedName name="MTD_INCOME_BEFORE">#REF!</definedName>
    <definedName name="MTD_INCOME_TAXES">#REF!</definedName>
    <definedName name="MTD_NET_INCOME">#REF!</definedName>
    <definedName name="MTD_OM">#REF!</definedName>
    <definedName name="MTD_REVENUE">#REF!</definedName>
    <definedName name="MTRMLTPLR1" localSheetId="51">#REF!</definedName>
    <definedName name="MTRMLTPLR1">#REF!</definedName>
    <definedName name="MTRMLTPLR2" localSheetId="51">#REF!</definedName>
    <definedName name="MTRMLTPLR2">#REF!</definedName>
    <definedName name="MUNICOOP" localSheetId="51">#REF!</definedName>
    <definedName name="MUNICOOP">#REF!</definedName>
    <definedName name="name">#REF!</definedName>
    <definedName name="NC11Ref" localSheetId="51">#REF!</definedName>
    <definedName name="NC11Ref">#REF!</definedName>
    <definedName name="NETENERGYFORLOAD" localSheetId="51">#REF!</definedName>
    <definedName name="NETENERGYFORLOAD">#REF!</definedName>
    <definedName name="NETMRGCHG" localSheetId="51">#REF!</definedName>
    <definedName name="NETMRGCHG">#REF!</definedName>
    <definedName name="netntec">#REF!</definedName>
    <definedName name="NETPLANT">#REF!</definedName>
    <definedName name="nettexla">#REF!</definedName>
    <definedName name="new" localSheetId="51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FREV" localSheetId="51">#REF!</definedName>
    <definedName name="NFREV">#REF!</definedName>
    <definedName name="Nicknames" localSheetId="21" hidden="1">#REF!</definedName>
    <definedName name="Nicknames" hidden="1">#REF!</definedName>
    <definedName name="nk2nk" localSheetId="51" hidden="1">#REF!</definedName>
    <definedName name="nk2nk" hidden="1">#REF!</definedName>
    <definedName name="NMTAX" localSheetId="51">#REF!</definedName>
    <definedName name="NMTAX">#REF!</definedName>
    <definedName name="nn" hidden="1">38343.6211805556</definedName>
    <definedName name="NODAYSINPRD" localSheetId="51">#REF!</definedName>
    <definedName name="NODAYSINPRD">#REF!</definedName>
    <definedName name="NODELPOINTS" localSheetId="51">#REF!</definedName>
    <definedName name="NODELPOINTS">#REF!</definedName>
    <definedName name="NONCURRENT_ASSETS" localSheetId="51">#REF!</definedName>
    <definedName name="NONCURRENT_ASSETS">#REF!</definedName>
    <definedName name="NONCURRENT_LIABILITIES" localSheetId="51">#REF!</definedName>
    <definedName name="NONCURRENT_LIABILITIES">#REF!</definedName>
    <definedName name="NonRegOffset">#REF!</definedName>
    <definedName name="Nonsample_Allocation" localSheetId="51">#REF!</definedName>
    <definedName name="Nonsample_Allocation">#REF!</definedName>
    <definedName name="Nope" localSheetId="51" hidden="1">{"'Bellville Acetylene'!$A$1:$L$99"}</definedName>
    <definedName name="Nope" hidden="1">{"'Bellville Acetylene'!$A$1:$L$99"}</definedName>
    <definedName name="NOTBALANCED" localSheetId="21">#REF!</definedName>
    <definedName name="NOTBALANCED">#REF!</definedName>
    <definedName name="nova" localSheetId="51" hidden="1">{#N/A,#N/A,FALSE,"Apar.Telef.";#N/A,#N/A,FALSE,"Software";#N/A,#N/A,FALSE,"Equip.Inform.";#N/A,#N/A,FALSE,"Moveis";#N/A,#N/A,FALSE,"Gravataí"}</definedName>
    <definedName name="nova" hidden="1">{#N/A,#N/A,FALSE,"Apar.Telef.";#N/A,#N/A,FALSE,"Software";#N/A,#N/A,FALSE,"Equip.Inform.";#N/A,#N/A,FALSE,"Moveis";#N/A,#N/A,FALSE,"Gravataí"}</definedName>
    <definedName name="NOVEMBERFACTOR" localSheetId="51">#REF!</definedName>
    <definedName name="NOVEMBERFACTOR">#REF!</definedName>
    <definedName name="NOVEMBERINTEREST" localSheetId="51">#REF!</definedName>
    <definedName name="NOVEMBERINTEREST">#REF!</definedName>
    <definedName name="NOVEMBERSURCHARGE" localSheetId="51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 localSheetId="51">#REF!</definedName>
    <definedName name="ntec">#REF!</definedName>
    <definedName name="NTPLTXPV" localSheetId="51">#REF!</definedName>
    <definedName name="NTPLTXPV">#REF!</definedName>
    <definedName name="NTurbs" hidden="1">#REF!</definedName>
    <definedName name="Num_Pmt_Per_Year">#REF!</definedName>
    <definedName name="Number_of_Payments" localSheetId="51">MATCH(0.01,End_Bal,-1)+1</definedName>
    <definedName name="Number_of_Payments">MATCH(0.01,End_Bal,-1)+1</definedName>
    <definedName name="NvsASD" localSheetId="8">"V2013-03-31"</definedName>
    <definedName name="NvsASD">"V2005-07-31"</definedName>
    <definedName name="NvsAutoDrillOk">"VN"</definedName>
    <definedName name="NvsElapsedTime" localSheetId="8">0.000115740738692693</definedName>
    <definedName name="NvsElapsedTime">0.000104166669188999</definedName>
    <definedName name="NvsEndTime" localSheetId="8">41370.633587963</definedName>
    <definedName name="NvsEndTime">38513.5880671296</definedName>
    <definedName name="NvsInstanceHook">"""nvsMacro"""</definedName>
    <definedName name="NvsInstLang">"VENG"</definedName>
    <definedName name="NvsInstSpec" localSheetId="8">"%,FBUSINESS_UNIT,V117"</definedName>
    <definedName name="NvsInstSpec">"%,FBUSINESS_UNIT,V110"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"%,X,RZF.ACCOUNT.,CNF.."</definedName>
    <definedName name="NvsNplSpec">"%,X,RZF..,CZF.."</definedName>
    <definedName name="NvsPanelBusUnit" localSheetId="8">"V100"</definedName>
    <definedName name="NvsPanelBusUnit">"V"</definedName>
    <definedName name="NvsPanelEffdt" localSheetId="8">"V2099-01-01"</definedName>
    <definedName name="NvsPanelEffdt">"V2000-06-01"</definedName>
    <definedName name="NvsPanelSetid">"VAEP"</definedName>
    <definedName name="NvsParentRef">"Sheet1!$$0"</definedName>
    <definedName name="NvsReqBU" localSheetId="8">"VX999"</definedName>
    <definedName name="NvsReqBU">"V100"</definedName>
    <definedName name="NvsReqBUOnly">"VN"</definedName>
    <definedName name="NvsTransLed">"VN"</definedName>
    <definedName name="NvsTree.GL_PRPT_CONS">"NNNNN"</definedName>
    <definedName name="NvsTreeASD" localSheetId="8">"V2099-01-01"</definedName>
    <definedName name="NvsTreeASD">"V2005-07-31"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 localSheetId="51">#REF!</definedName>
    <definedName name="oct">#REF!</definedName>
    <definedName name="OCTEXG" localSheetId="51">#REF!</definedName>
    <definedName name="OCTEXG">#REF!</definedName>
    <definedName name="OCTEXH" localSheetId="51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IRN_RTPVar">#REF!</definedName>
    <definedName name="ompa" localSheetId="51">#REF!</definedName>
    <definedName name="ompa">#REF!</definedName>
    <definedName name="ONPKBILLKWH" localSheetId="51">#REF!</definedName>
    <definedName name="ONPKBILLKWH">#REF!</definedName>
    <definedName name="ONPKCAPB" localSheetId="51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 localSheetId="51">#REF!</definedName>
    <definedName name="OPCBLKW">#REF!</definedName>
    <definedName name="OPCO" localSheetId="51">#REF!</definedName>
    <definedName name="OPCO">#REF!</definedName>
    <definedName name="OPR_ID" localSheetId="51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>#REF!</definedName>
    <definedName name="other" localSheetId="51" hidden="1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 localSheetId="51">#REF!</definedName>
    <definedName name="OTHRTRNSKWH">#REF!</definedName>
    <definedName name="Ownership" hidden="1">OFFSET(#REF!,1,0)</definedName>
    <definedName name="p.Covenants" localSheetId="51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>#REF!</definedName>
    <definedName name="PAGE1" localSheetId="51">#REF!</definedName>
    <definedName name="PAGE1">#REF!</definedName>
    <definedName name="page10" localSheetId="51">#REF!</definedName>
    <definedName name="page10">#REF!</definedName>
    <definedName name="PAGE11" localSheetId="51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>#REF!</definedName>
    <definedName name="PAGED6">#REF!</definedName>
    <definedName name="PAGEE2">#REF!</definedName>
    <definedName name="PAGEE3">#REF!</definedName>
    <definedName name="PAGEE4">#REF!</definedName>
    <definedName name="PAGEE5">#REF!</definedName>
    <definedName name="PAGEG1" localSheetId="51">#REF!</definedName>
    <definedName name="PAGEG1">#REF!</definedName>
    <definedName name="PAGEH1" localSheetId="51">#REF!</definedName>
    <definedName name="PAGEH1">#REF!</definedName>
    <definedName name="PAGEHEADERS" localSheetId="5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hidden="1">"4SWFZD7W4XYR3NL7DEQRXHBJ"</definedName>
    <definedName name="panther_wrn.test1." localSheetId="51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51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51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51" hidden="1">{"SourcesUses",#N/A,TRUE,"FundsFlow";"TransOverview",#N/A,TRUE,"FundsFlow"}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 localSheetId="51">#REF!</definedName>
    <definedName name="Pay_Date">#REF!</definedName>
    <definedName name="Pay_Num">#REF!</definedName>
    <definedName name="payable2" localSheetId="51" hidden="1">#REF!</definedName>
    <definedName name="payable2" hidden="1">#REF!</definedName>
    <definedName name="Payment_Date" localSheetId="51">DATE(YEAR(Loan_Start),MONTH(Loan_Start)+Payment_Number,DAY(Loan_Start))</definedName>
    <definedName name="Payment_Date">DATE(YEAR(Loan_Start),MONTH(Loan_Start)+Payment_Number,DAY(Loan_Start))</definedName>
    <definedName name="PBO_SC_SRP">#REF!</definedName>
    <definedName name="PBO_SRP">#REF!</definedName>
    <definedName name="PC_Percent" localSheetId="21">#REF!</definedName>
    <definedName name="PC_Percent">#REF!</definedName>
    <definedName name="pea" localSheetId="51" hidden="1">{#N/A,#N/A,FALSE,"Assumptions";"Model",#N/A,FALSE,"MDU";#N/A,#N/A,FALSE,"Notes"}</definedName>
    <definedName name="pea" hidden="1">{#N/A,#N/A,FALSE,"Assumptions";"Model",#N/A,FALSE,"MDU";#N/A,#N/A,FALSE,"Notes"}</definedName>
    <definedName name="PeakDemandChg" localSheetId="51">#REF!</definedName>
    <definedName name="PeakDemandChg">#REF!</definedName>
    <definedName name="PenaltyDays" localSheetId="51">#REF!</definedName>
    <definedName name="PenaltyDays">#REF!</definedName>
    <definedName name="PenaltyPct" localSheetId="51">#REF!</definedName>
    <definedName name="PenaltyPct">#REF!</definedName>
    <definedName name="PENDAYS">#REF!</definedName>
    <definedName name="PENDAYS2">#REF!</definedName>
    <definedName name="PenDR">#REF!</definedName>
    <definedName name="Percent" localSheetId="51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localSheetId="5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>#REF!</definedName>
    <definedName name="PFCC" localSheetId="51">#REF!</definedName>
    <definedName name="PFCC">#REF!</definedName>
    <definedName name="PipelineacctNum" localSheetId="51">#REF!</definedName>
    <definedName name="PipelineacctNum">#REF!</definedName>
    <definedName name="PipelineMwh" localSheetId="51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localSheetId="51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51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51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51" hidden="1">{"SourcesUses",#N/A,TRUE,"FundsFlow";"TransOverview",#N/A,TRUE,"FundsFlow"}</definedName>
    <definedName name="poso_wrn.test4." hidden="1">{"SourcesUses",#N/A,TRUE,"FundsFlow";"TransOverview",#N/A,TRUE,"FundsFlow"}</definedName>
    <definedName name="pp">#REF!</definedName>
    <definedName name="PP_Adj">#REF!</definedName>
    <definedName name="PP_Flip">#REF!</definedName>
    <definedName name="PPASelection" hidden="1">#REF!</definedName>
    <definedName name="PREPAY" localSheetId="51">#REF!</definedName>
    <definedName name="PREPAY">#REF!</definedName>
    <definedName name="PRETAXINC" localSheetId="51">#REF!</definedName>
    <definedName name="PRETAXINC">#REF!</definedName>
    <definedName name="PRICEDESIG" localSheetId="51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>#REF!</definedName>
    <definedName name="_xlnm.Print_Area" localSheetId="0">'Index 2025'!$A$1:$D$60</definedName>
    <definedName name="_xlnm.Print_Area" localSheetId="1">'W01'!$A$1:$L$33</definedName>
    <definedName name="_xlnm.Print_Area" localSheetId="2">'W02'!$A$1:$K$15</definedName>
    <definedName name="_xlnm.Print_Area" localSheetId="3">'W03'!$A$1:$K$15</definedName>
    <definedName name="_xlnm.Print_Area" localSheetId="4">'W04'!$A$1:$K$16</definedName>
    <definedName name="_xlnm.Print_Area" localSheetId="9">'W09'!$A$1:$H$37</definedName>
    <definedName name="_xlnm.Print_Area" localSheetId="19">'W19'!$A$1:$Q$29</definedName>
    <definedName name="_xlnm.Print_Area" localSheetId="41">'W40'!$A$1:$I$21</definedName>
    <definedName name="_xlnm.Print_Area" localSheetId="44">'W43'!$B$1:$F$23</definedName>
    <definedName name="_xlnm.Print_Area" localSheetId="45">'W44'!$B$1:$F$22</definedName>
    <definedName name="_xlnm.Print_Area" hidden="1">#REF!</definedName>
    <definedName name="Print_Area_0" localSheetId="51">#REF!</definedName>
    <definedName name="Print_Area_0">#REF!</definedName>
    <definedName name="Print_Area_1" localSheetId="21">#REF!</definedName>
    <definedName name="Print_Area_1" localSheetId="51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 localSheetId="51">OFFSET(Full_Print,0,0,Last_Row)</definedName>
    <definedName name="Print_Area_Reset">OFFSET(Full_Print,0,0,Last_Row)</definedName>
    <definedName name="_xlnm.Print_Titles" hidden="1">#REF!,#REF!</definedName>
    <definedName name="Print_Titles_MI" localSheetId="51">#REF!</definedName>
    <definedName name="Print_Titles_MI">#REF!</definedName>
    <definedName name="PRINTJE1" localSheetId="51">#REF!</definedName>
    <definedName name="PRINTJE1">#REF!</definedName>
    <definedName name="PRINTJE2" localSheetId="51">#REF!</definedName>
    <definedName name="PRINTJE2">#REF!</definedName>
    <definedName name="prn.All." localSheetId="5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localSheetId="51" hidden="1">{"Grant",#N/A,FALSE,"Grant";"GP Developer",#N/A,FALSE,"GP &amp; Dev Loans";"Operating Analysis",#N/A,FALSE,"Operations";"Tax Credit",#N/A,FALSE,"Tax Credits";"Tax Credit Analysis",#N/A,FALSE,"TC Analysis"}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localSheetId="51" hidden="1">{"page1",#N/A,FALSE,"rollup"}</definedName>
    <definedName name="prn.rollup." hidden="1">{"page1",#N/A,FALSE,"rollup"}</definedName>
    <definedName name="Prod_Factor">#REF!</definedName>
    <definedName name="PROD4CP" localSheetId="51">#REF!</definedName>
    <definedName name="PROD4CP">#REF!</definedName>
    <definedName name="PRODLABOR" localSheetId="51">#REF!</definedName>
    <definedName name="PRODLABOR">#REF!</definedName>
    <definedName name="Production_Summary" localSheetId="51">#REF!</definedName>
    <definedName name="Production_Summary">#REF!</definedName>
    <definedName name="project">#REF!</definedName>
    <definedName name="project1">#REF!</definedName>
    <definedName name="ProjectName" localSheetId="51">{"Client Name or Project Name"}</definedName>
    <definedName name="ProjectName">{"Client Name or Project Name"}</definedName>
    <definedName name="PROPERTY">#REF!</definedName>
    <definedName name="PropTax">#REF!</definedName>
    <definedName name="PropTaxAdder" hidden="1">#REF!</definedName>
    <definedName name="PROREVXF" localSheetId="51">#REF!</definedName>
    <definedName name="PROREVXF">#REF!</definedName>
    <definedName name="PrRateYr1" hidden="1">#REF!</definedName>
    <definedName name="PRTWORK" localSheetId="51">#REF!</definedName>
    <definedName name="PRTWORK">#REF!</definedName>
    <definedName name="PRVCNT" localSheetId="51">#REF!</definedName>
    <definedName name="PRVCNT">#REF!</definedName>
    <definedName name="PRVDATE" localSheetId="51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 localSheetId="51">#REF!</definedName>
    <definedName name="PVCOMTR">#REF!</definedName>
    <definedName name="PVHIOFPCBL" localSheetId="51">#REF!</definedName>
    <definedName name="PVHIOFPCBL">#REF!</definedName>
    <definedName name="PVHIOPCBL" localSheetId="51">#REF!</definedName>
    <definedName name="PVHIOPCBL">#REF!</definedName>
    <definedName name="PVLABOR">#REF!</definedName>
    <definedName name="PVPRODTR">#REF!</definedName>
    <definedName name="q">#REF!</definedName>
    <definedName name="Q1_Q3_Sample" localSheetId="51">#REF!</definedName>
    <definedName name="Q1_Q3_Sample">#REF!</definedName>
    <definedName name="Q2_Estimate">#REF!</definedName>
    <definedName name="Q3_Estimate">#REF!</definedName>
    <definedName name="Q4_Estimate">#REF!</definedName>
    <definedName name="QP_location">#REF!</definedName>
    <definedName name="QP_pay" localSheetId="51">#REF!</definedName>
    <definedName name="QP_pay">#REF!</definedName>
    <definedName name="QP_Status">#REF!</definedName>
    <definedName name="QP_Vested">#REF!</definedName>
    <definedName name="qqa" localSheetId="51" hidden="1">{"ARK_JURIS_FUEL",#N/A,FALSE,"Ark_Fuel&amp;Rev"}</definedName>
    <definedName name="qqa" hidden="1">{"ARK_JURIS_FUEL",#N/A,FALSE,"Ark_Fuel&amp;Rev"}</definedName>
    <definedName name="qqq">"VN"</definedName>
    <definedName name="Query1" localSheetId="21">#REF!</definedName>
    <definedName name="Query1" localSheetId="43">#REF!</definedName>
    <definedName name="Query1" localSheetId="51">#REF!</definedName>
    <definedName name="Query1">#REF!</definedName>
    <definedName name="r.BSAssets" localSheetId="51" hidden="1">#REF!</definedName>
    <definedName name="r.BSAssets" hidden="1">#REF!</definedName>
    <definedName name="r.BSEquity" localSheetId="51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>#REF!</definedName>
    <definedName name="RATESALL">#REF!</definedName>
    <definedName name="RCRDRID" localSheetId="51">#REF!</definedName>
    <definedName name="RCRDRID">#REF!</definedName>
    <definedName name="RCTVHRS" localSheetId="51">#REF!</definedName>
    <definedName name="RCTVHRS">#REF!</definedName>
    <definedName name="RDRBLK1C" localSheetId="51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newables">#REF!</definedName>
    <definedName name="Renewables_Consol">#REF!</definedName>
    <definedName name="RES" localSheetId="51">#REF!</definedName>
    <definedName name="RES">#REF!</definedName>
    <definedName name="ResBasic" localSheetId="51">#REF!</definedName>
    <definedName name="ResBasic">#REF!</definedName>
    <definedName name="ResEconomy1" localSheetId="51">#REF!</definedName>
    <definedName name="ResEconomy1">#REF!</definedName>
    <definedName name="ResEconomy2" localSheetId="51">#REF!</definedName>
    <definedName name="ResEconomy2">#REF!</definedName>
    <definedName name="reserve1" hidden="1">#REF!</definedName>
    <definedName name="Reserved_Section" localSheetId="51">#REF!</definedName>
    <definedName name="Reserved_Section">#REF!</definedName>
    <definedName name="ResSummary" localSheetId="51">#REF!</definedName>
    <definedName name="ResSummary">#REF!</definedName>
    <definedName name="ResWaterHeating" localSheetId="51">#REF!</definedName>
    <definedName name="ResWaterHeating">#REF!</definedName>
    <definedName name="Retail">#REF!</definedName>
    <definedName name="Retained_Earnings" localSheetId="51">#REF!</definedName>
    <definedName name="Retained_Earnings">#REF!</definedName>
    <definedName name="Retire">#REF!</definedName>
    <definedName name="Rev_End" localSheetId="8">#REF!</definedName>
    <definedName name="Rev_End" localSheetId="21">#REF!</definedName>
    <definedName name="Rev_End" localSheetId="51">#REF!</definedName>
    <definedName name="Rev_End">#REF!</definedName>
    <definedName name="RevExp" localSheetId="51">#REF!</definedName>
    <definedName name="RevExp">#REF!</definedName>
    <definedName name="RIDERS" localSheetId="51">#REF!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localSheetId="51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>#REF!</definedName>
    <definedName name="RTCHTFCTR">#REF!</definedName>
    <definedName name="RTCHTFCTR2">#REF!</definedName>
    <definedName name="RTCHTHIPREVKW">#REF!</definedName>
    <definedName name="RTP">#REF!</definedName>
    <definedName name="RTP_Detail" localSheetId="51">#REF!</definedName>
    <definedName name="RTP_Detail">#REF!</definedName>
    <definedName name="RTPLRKW" localSheetId="51">#REF!</definedName>
    <definedName name="RTPLRKW">#REF!</definedName>
    <definedName name="s" localSheetId="51">#REF!</definedName>
    <definedName name="s">#REF!</definedName>
    <definedName name="S_REC" localSheetId="51">#REF!</definedName>
    <definedName name="S_REC">#REF!</definedName>
    <definedName name="sa" localSheetId="51">#REF!</definedName>
    <definedName name="sa">#REF!</definedName>
    <definedName name="sad" localSheetId="51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C_Act">#REF!</definedName>
    <definedName name="SC_Inact">#REF!</definedName>
    <definedName name="sch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ed_Pay">#REF!</definedName>
    <definedName name="Scheduled_Extra_Payments">#REF!</definedName>
    <definedName name="Scheduled_Interest_Rate" localSheetId="51">#REF!</definedName>
    <definedName name="Scheduled_Interest_Rate">#REF!</definedName>
    <definedName name="Scheduled_Monthly_Payment">#REF!</definedName>
    <definedName name="SchMdesc">#REF!</definedName>
    <definedName name="SDI" localSheetId="51">#REF!</definedName>
    <definedName name="SDI">#REF!</definedName>
    <definedName name="sds" localSheetId="51" hidden="1">#REF!</definedName>
    <definedName name="sds" hidden="1">#REF!</definedName>
    <definedName name="search_directory_name">"R:\fcm90prd\nvision\rpts\Fin_Reports\"</definedName>
    <definedName name="SECT1" localSheetId="51">#REF!</definedName>
    <definedName name="SECT1">#REF!</definedName>
    <definedName name="SECT10" localSheetId="51">#REF!</definedName>
    <definedName name="SECT10">#REF!</definedName>
    <definedName name="SECT1A" localSheetId="51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 localSheetId="51">#REF!</definedName>
    <definedName name="SEPTEMBERFACTOR">#REF!</definedName>
    <definedName name="SEPTEMBERINTEREST" localSheetId="51">#REF!</definedName>
    <definedName name="SEPTEMBERINTEREST">#REF!</definedName>
    <definedName name="SEPTEMBERSURCHARGE" localSheetId="51">#REF!</definedName>
    <definedName name="SEPTEMBERSURCHARGE">#REF!</definedName>
    <definedName name="SET_RANGE" localSheetId="51">#REF!</definedName>
    <definedName name="SET_RANGE">#REF!</definedName>
    <definedName name="SHAREHOLDER_EQUITY" localSheetId="51">#REF!</definedName>
    <definedName name="SHAREHOLDER_EQUITY">#REF!</definedName>
    <definedName name="SHLDRPKKW" localSheetId="51">#REF!</definedName>
    <definedName name="SHLDRPKKW">#REF!</definedName>
    <definedName name="SHLDRPKKWDT" localSheetId="51">#REF!</definedName>
    <definedName name="SHLDRPKKWDT">#REF!</definedName>
    <definedName name="SHLDRPKKWTM" localSheetId="51">#REF!</definedName>
    <definedName name="SHLDRPKKWTM">#REF!</definedName>
    <definedName name="SHRDTRNSKWH">#REF!</definedName>
    <definedName name="SI">#REF!</definedName>
    <definedName name="Size_kW">#REF!</definedName>
    <definedName name="Solar">#REF!</definedName>
    <definedName name="solver_adj" localSheetId="51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 localSheetId="51">#REF!</definedName>
    <definedName name="SPOT0">#REF!</definedName>
    <definedName name="SPOT10" localSheetId="51">#REF!</definedName>
    <definedName name="SPOT10">#REF!</definedName>
    <definedName name="SPOT11" localSheetId="51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localSheetId="5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 localSheetId="51">#REF!</definedName>
    <definedName name="SRPLSKWH">#REF!</definedName>
    <definedName name="SRPUnrecPSC" localSheetId="51">#REF!</definedName>
    <definedName name="SRPUnrecPSC">#REF!</definedName>
    <definedName name="ss1et" localSheetId="51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TARTDTM">#REF!</definedName>
    <definedName name="StartMonth" hidden="1">#REF!</definedName>
    <definedName name="State" localSheetId="51">#REF!</definedName>
    <definedName name="State">#REF!</definedName>
    <definedName name="State_Tax_Accts">#REF!</definedName>
    <definedName name="State_tax_rate">#REF!</definedName>
    <definedName name="StateBR">#REF!</definedName>
    <definedName name="STDKW" localSheetId="51">#REF!</definedName>
    <definedName name="STDKW">#REF!</definedName>
    <definedName name="STDKWDT" localSheetId="51">#REF!</definedName>
    <definedName name="STDKWDT">#REF!</definedName>
    <definedName name="STDKWTM" localSheetId="51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>#REF!</definedName>
    <definedName name="SUMMARY" localSheetId="51">#REF!</definedName>
    <definedName name="SUMMARY">#REF!</definedName>
    <definedName name="SUMSTAT" localSheetId="51">#REF!</definedName>
    <definedName name="SUMSTAT">#REF!</definedName>
    <definedName name="SWEPCO_Exhibits_Print_Area" localSheetId="51" hidden="1">#REF!</definedName>
    <definedName name="SWEPCO_Exhibits_Print_Area" hidden="1">#REF!</definedName>
    <definedName name="SYSPKKW" localSheetId="51">#REF!</definedName>
    <definedName name="SYSPKKW">#REF!</definedName>
    <definedName name="SYSPKKWDT" localSheetId="51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 localSheetId="51">#REF!</definedName>
    <definedName name="TARIFF1">#REF!</definedName>
    <definedName name="TARIFF2" localSheetId="51">#REF!</definedName>
    <definedName name="TARIFF2">#REF!</definedName>
    <definedName name="TariffCode" localSheetId="51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DATE" localSheetId="51">#REF!</definedName>
    <definedName name="TAXDATE">#REF!</definedName>
    <definedName name="TAXES" localSheetId="51">#REF!</definedName>
    <definedName name="TAXES">#REF!</definedName>
    <definedName name="TAXNAME" localSheetId="51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 localSheetId="51">#REF!</definedName>
    <definedName name="TCst">#REF!</definedName>
    <definedName name="TCst1" localSheetId="51">#REF!</definedName>
    <definedName name="TCst1">#REF!</definedName>
    <definedName name="TCValues" localSheetId="51">#REF!</definedName>
    <definedName name="TCValues">#REF!</definedName>
    <definedName name="Temp" localSheetId="51" hidden="1">{"ARK_JURIS_FUEL",#N/A,FALSE,"Ark_Fuel&amp;Rev"}</definedName>
    <definedName name="Temp" hidden="1">{"ARK_JURIS_FUEL",#N/A,FALSE,"Ark_Fuel&amp;Rev"}</definedName>
    <definedName name="test" localSheetId="51" hidden="1">{#N/A,#N/A,TRUE,"Facility-Input";#N/A,#N/A,TRUE,"Graphs";#N/A,#N/A,TRUE,"TOTAL"}</definedName>
    <definedName name="test" hidden="1">{#N/A,#N/A,TRUE,"Facility-Input";#N/A,#N/A,TRUE,"Graphs";#N/A,#N/A,TRUE,"TOTAL"}</definedName>
    <definedName name="test1">#REF!</definedName>
    <definedName name="TESTYEAR" localSheetId="51">#REF!</definedName>
    <definedName name="TESTYEAR">#REF!</definedName>
    <definedName name="texla" localSheetId="51">#REF!</definedName>
    <definedName name="texla">#REF!</definedName>
    <definedName name="TextRefCopyRangeCount" hidden="1">5</definedName>
    <definedName name="ThisYr_ASBHrsPerFTE">#REF!</definedName>
    <definedName name="ThisYr_Backlog">#REF!</definedName>
    <definedName name="ThisYr_CrewProductivity">#REF!</definedName>
    <definedName name="ThisYr_DesignAccuracy">#REF!</definedName>
    <definedName name="ThisYr_DistLaborCostPerASBHour">#REF!</definedName>
    <definedName name="ThisYr_EngineeringProductivity">#REF!</definedName>
    <definedName name="ThisYr_IncidentRate">#REF!</definedName>
    <definedName name="ThisYr_JobsiteAvailability">#REF!</definedName>
    <definedName name="ThisYr_JobsiteEfficiency">#REF!</definedName>
    <definedName name="ThisYr_MROCostPerOrder">#REF!</definedName>
    <definedName name="ThisYr_MROProductivity">#REF!</definedName>
    <definedName name="ThisYr_OTDistLine">#REF!</definedName>
    <definedName name="ThisYr_OTEng">#REF!</definedName>
    <definedName name="ThisYr_OTMRO">#REF!</definedName>
    <definedName name="ThisYr_OverheadContractorLabor">#REF!</definedName>
    <definedName name="ThisYr_SeverityRate">#REF!</definedName>
    <definedName name="ThisYr_TotalDistCostPerASBHour">#REF!</definedName>
    <definedName name="tim" localSheetId="8">#REF!</definedName>
    <definedName name="tim" localSheetId="21">#REF!</definedName>
    <definedName name="tim" localSheetId="51">#REF!</definedName>
    <definedName name="tim" localSheetId="59">#REF!</definedName>
    <definedName name="tim">#REF!</definedName>
    <definedName name="timr">0.000115740745968651</definedName>
    <definedName name="TIRPCCHG" localSheetId="51">#REF!</definedName>
    <definedName name="TIRPCCHG">#REF!</definedName>
    <definedName name="TIRPDCHG1" localSheetId="51">#REF!</definedName>
    <definedName name="TIRPDCHG1">#REF!</definedName>
    <definedName name="TIRPDCHG2" localSheetId="5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 localSheetId="51">#REF!</definedName>
    <definedName name="TLsFctr">#REF!</definedName>
    <definedName name="TNPVLev" hidden="1">#REF!</definedName>
    <definedName name="TNPVUnlev" hidden="1">#REF!</definedName>
    <definedName name="Total" localSheetId="51">#REF!</definedName>
    <definedName name="Total">#REF!</definedName>
    <definedName name="Total_119">#REF!</definedName>
    <definedName name="Total_166" localSheetId="51">#REF!</definedName>
    <definedName name="Total_166">#REF!</definedName>
    <definedName name="Total_169" localSheetId="51">#REF!</definedName>
    <definedName name="Total_169">#REF!</definedName>
    <definedName name="Total_192">#REF!</definedName>
    <definedName name="Total_211" localSheetId="51">#REF!</definedName>
    <definedName name="Total_211">#REF!</definedName>
    <definedName name="Total_Capital">#REF!</definedName>
    <definedName name="Total_Interest" localSheetId="51">#REF!</definedName>
    <definedName name="Total_Interest">#REF!</definedName>
    <definedName name="Total_Pay">#REF!</definedName>
    <definedName name="Total_Payment" localSheetId="51">Scheduled_Payment+Extra_Payment</definedName>
    <definedName name="Total_Payment">Scheduled_Payment+Extra_Payment</definedName>
    <definedName name="TotProjPct" hidden="1">#REF!</definedName>
    <definedName name="TOTREVXF" localSheetId="51">#REF!</definedName>
    <definedName name="TOTREVXF">#REF!</definedName>
    <definedName name="TP_Footer_User" hidden="1">"Bryan Haslett"</definedName>
    <definedName name="TP_Footer_Version" hidden="1">"v4.00"</definedName>
    <definedName name="tran" localSheetId="5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 localSheetId="51">#REF!</definedName>
    <definedName name="Transmission_Summary">#REF!</definedName>
    <definedName name="TRCRDKWH" localSheetId="51">#REF!</definedName>
    <definedName name="TRCRDKWH">#REF!</definedName>
    <definedName name="TRCRDKWH2P" localSheetId="51">#REF!</definedName>
    <definedName name="TRCRDKWH2P">#REF!</definedName>
    <definedName name="Trent">#REF!</definedName>
    <definedName name="treretre" localSheetId="51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 localSheetId="51">#REF!</definedName>
    <definedName name="TRFDATE1">#REF!</definedName>
    <definedName name="TRFDATE2" localSheetId="51">#REF!</definedName>
    <definedName name="TRFDATE2">#REF!</definedName>
    <definedName name="TRFNAME1" localSheetId="51">#REF!</definedName>
    <definedName name="TRFNAME1">#REF!</definedName>
    <definedName name="TRFNAME2">#REF!</definedName>
    <definedName name="TRFSHORTNM1">#REF!</definedName>
    <definedName name="TRFSHORTNM2">#REF!</definedName>
    <definedName name="Trial_Begin">#REF!</definedName>
    <definedName name="Trial_End">#REF!</definedName>
    <definedName name="TrnBlkKwhChg1" localSheetId="51">#REF!</definedName>
    <definedName name="TrnBlkKwhChg1">#REF!</definedName>
    <definedName name="TrnBlkKwhChg2" localSheetId="51">#REF!</definedName>
    <definedName name="TrnBlkKwhChg2">#REF!</definedName>
    <definedName name="TrnBlkKwhChg3" localSheetId="51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localSheetId="51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>#REF!</definedName>
    <definedName name="UnrecPSCSRP">#REF!</definedName>
    <definedName name="USDollar" localSheetId="51" hidden="1">#REF!</definedName>
    <definedName name="USDollar" hidden="1">#REF!</definedName>
    <definedName name="valgrp35" localSheetId="51">#REF!</definedName>
    <definedName name="valgrp35">#REF!</definedName>
    <definedName name="Valuation_Running" hidden="1">#REF!</definedName>
    <definedName name="ValuationResults">#REF!</definedName>
    <definedName name="VALUE" localSheetId="51">#REF!</definedName>
    <definedName name="VALUE">#REF!</definedName>
    <definedName name="value35" localSheetId="51">#REF!</definedName>
    <definedName name="value35">#REF!</definedName>
    <definedName name="ValueFund" localSheetId="51">#REF!</definedName>
    <definedName name="ValueFund">#REF!</definedName>
    <definedName name="Values_Entered" localSheetId="51">IF(Loan_Amount*Interest_Rate*Loan_Years*Loan_Start&gt;0,1,0)</definedName>
    <definedName name="Values_Entered">IF(Loan_Amount*Interest_Rate*Loan_Years*Loan_Start&gt;0,1,0)</definedName>
    <definedName name="VALYEAR">#REF!</definedName>
    <definedName name="ValYearByLocInfo">#REF!</definedName>
    <definedName name="VarOM1Adder" hidden="1">#REF!</definedName>
    <definedName name="w" localSheetId="51">#REF!</definedName>
    <definedName name="w">#REF!</definedName>
    <definedName name="Wage1" localSheetId="51">#REF!</definedName>
    <definedName name="Wage1">#REF!</definedName>
    <definedName name="Wage1_1" localSheetId="51">#REF!</definedName>
    <definedName name="Wage1_1">#REF!</definedName>
    <definedName name="WDpkw" hidden="1">#REF!</definedName>
    <definedName name="West">#REF!</definedName>
    <definedName name="WestPSC1" localSheetId="51">#REF!</definedName>
    <definedName name="WestPSC1">#REF!</definedName>
    <definedName name="WestPSC2" localSheetId="51">#REF!</definedName>
    <definedName name="WestPSC2">#REF!</definedName>
    <definedName name="WestPSC3" localSheetId="51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>#REF!</definedName>
    <definedName name="workorder" localSheetId="51">#REF!</definedName>
    <definedName name="workorder">#REF!</definedName>
    <definedName name="WORKSHEET" localSheetId="51">#REF!</definedName>
    <definedName name="WORKSHEET">#REF!</definedName>
    <definedName name="WP_B9a">#REF!</definedName>
    <definedName name="WP_B9b" localSheetId="51">#REF!</definedName>
    <definedName name="WP_B9b">#REF!</definedName>
    <definedName name="WP_G6">#REF!</definedName>
    <definedName name="wrn.3._.Scenarios." localSheetId="51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Aging._.and._.Trend._.Analysis." localSheetId="5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51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51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localSheetId="5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localSheetId="51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localSheetId="51" hidden="1">{#N/A,#N/A,FALSE,"SUMMARY";#N/A,#N/A,FALSE,"3110";#N/A,#N/A,FALSE,"3190";#N/A,#N/A,FALSE,"3210"}</definedName>
    <definedName name="wrn.ALL._.SHEET." hidden="1">{#N/A,#N/A,FALSE,"SUMMARY";#N/A,#N/A,FALSE,"3110";#N/A,#N/A,FALSE,"3190";#N/A,#N/A,FALSE,"3210"}</definedName>
    <definedName name="wrn.ALL._.SHEETS." localSheetId="51" hidden="1">{#N/A,#N/A,FALSE,"GPR";#N/A,#N/A,FALSE,"Vacancy";#N/A,#N/A,FALSE,"MGTFEE";#N/A,#N/A,FALSE,"Bookkeeping Fees";#N/A,#N/A,FALSE,"Interest Income"}</definedName>
    <definedName name="wrn.ALL._.SHEETS." hidden="1">{#N/A,#N/A,FALSE,"GPR";#N/A,#N/A,FALSE,"Vacancy";#N/A,#N/A,FALSE,"MGTFEE";#N/A,#N/A,FALSE,"Bookkeeping Fees";#N/A,#N/A,FALSE,"Interest Income"}</definedName>
    <definedName name="wrn.ALL._.STATEMENTS." localSheetId="51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localSheetId="5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localSheetId="5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localSheetId="51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51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51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51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51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51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51" hidden="1">{"ARK_JURIS_FAC",#N/A,FALSE,"Ark_Fuel&amp;Rev"}</definedName>
    <definedName name="wrn.ARK._.JURIS._.FAC._.CALC." hidden="1">{"ARK_JURIS_FAC",#N/A,FALSE,"Ark_Fuel&amp;Rev"}</definedName>
    <definedName name="wrn.ARK._.JURIS._.FUEL._.COST." localSheetId="51" hidden="1">{"ARK_JURIS_FUEL",#N/A,FALSE,"Ark_Fuel&amp;Rev"}</definedName>
    <definedName name="wrn.ARK._.JURIS._.FUEL._.COST." hidden="1">{"ARK_JURIS_FUEL",#N/A,FALSE,"Ark_Fuel&amp;Rev"}</definedName>
    <definedName name="wrn.ATOKA._.FAC._.CALC." localSheetId="51" hidden="1">{"ATOKA_FAC",#N/A,FALSE,"Atoka"}</definedName>
    <definedName name="wrn.ATOKA._.FAC._.CALC." hidden="1">{"ATOKA_FAC",#N/A,FALSE,"Atoka"}</definedName>
    <definedName name="wrn.Auto._.Comp." localSheetId="51" hidden="1">{#N/A,#N/A,FALSE,"Sheet1"}</definedName>
    <definedName name="wrn.Auto._.Comp." hidden="1">{#N/A,#N/A,FALSE,"Sheet1"}</definedName>
    <definedName name="wrn.BALANCE._.SHEET." localSheetId="51" hidden="1">{"BALANCE SHEET",#N/A,FALSE,"Balance Sheet"}</definedName>
    <definedName name="wrn.BALANCE._.SHEET." hidden="1">{"BALANCE SHEET",#N/A,FALSE,"Balance Sheet"}</definedName>
    <definedName name="wrn.bargeform." localSheetId="51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localSheetId="51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rafs97." localSheetId="5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localSheetId="5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localSheetId="51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localSheetId="51" hidden="1">{#N/A,#N/A,FALSE,"IS comparative";#N/A,#N/A,FALSE,"IS quarterly";#N/A,#N/A,FALSE,"IS PEOPLESOFT"}</definedName>
    <definedName name="wrn.Budget._.section._.III._.Income._.Statements." hidden="1">{#N/A,#N/A,FALSE,"IS comparative";#N/A,#N/A,FALSE,"IS quarterly";#N/A,#N/A,FALSE,"IS PEOPLESOFT"}</definedName>
    <definedName name="wrn.Budget._.Section._.IV.._.Personnel." localSheetId="51" hidden="1">{#N/A,#N/A,FALSE,"Manpower Sum";#N/A,#N/A,FALSE,"S&amp;F Sum";#N/A,#N/A,FALSE,"OT Analysis"}</definedName>
    <definedName name="wrn.Budget._.Section._.IV.._.Personnel." hidden="1">{#N/A,#N/A,FALSE,"Manpower Sum";#N/A,#N/A,FALSE,"S&amp;F Sum";#N/A,#N/A,FALSE,"OT Analysis"}</definedName>
    <definedName name="wrn.Budget._.sections._.I.._.part._.III.._.part._.IX." localSheetId="51" hidden="1">{#N/A,#N/A,FALSE,"Op Stats Comparative";#N/A,#N/A,FALSE,"Pressure Part Failures";#N/A,#N/A,FALSE,"Op Stats Historical";#N/A,#N/A,FALSE,"OPSTATCALC";#N/A,#N/A,FALSE,"TG Conversion Rate"}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localSheetId="51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localSheetId="51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localSheetId="51" hidden="1">{"CashPrintArea",#N/A,FALSE,"Cash (c)"}</definedName>
    <definedName name="wrn.Cash._.Flow._.Statement." hidden="1">{"CashPrintArea",#N/A,FALSE,"Cash (c)"}</definedName>
    <definedName name="wrn.CC._.Summary." localSheetId="51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51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localSheetId="51" hidden="1">{"CashPrintArea",#N/A,FALSE,"Cash (c)"}</definedName>
    <definedName name="wrn.CF._.Statement." hidden="1">{"CashPrintArea",#N/A,FALSE,"Cash (c)"}</definedName>
    <definedName name="wrn.CF._.Statement._.Base._.Case." localSheetId="51" hidden="1">{"CashPrintArea",#N/A,FALSE,"Cash (c)"}</definedName>
    <definedName name="wrn.CF._.Statement._.Base._.Case." hidden="1">{"CashPrintArea",#N/A,FALSE,"Cash (c)"}</definedName>
    <definedName name="wrn.CONOCO._.FAC." localSheetId="51" hidden="1">{"CONOCO_FAC",#N/A,FALSE,"Conoco FAC"}</definedName>
    <definedName name="wrn.CONOCO._.FAC." hidden="1">{"CONOCO_FAC",#N/A,FALSE,"Conoco FAC"}</definedName>
    <definedName name="wrn.DATABASE." localSheetId="51" hidden="1">{"DBINPUT1",#N/A,FALSE,"Database";"DBINPUT2",#N/A,FALSE,"Database"}</definedName>
    <definedName name="wrn.DATABASE." hidden="1">{"DBINPUT1",#N/A,FALSE,"Database";"DBINPUT2",#N/A,FALSE,"Database"}</definedName>
    <definedName name="wrn.dcf." localSheetId="5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localSheetId="51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51" hidden="1">{"debt summary",#N/A,FALSE,"Debt";"loan details",#N/A,FALSE,"Debt"}</definedName>
    <definedName name="wrn.Debt." hidden="1">{"debt summary",#N/A,FALSE,"Debt";"loan details",#N/A,FALSE,"Debt"}</definedName>
    <definedName name="wrn.detail." localSheetId="5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localSheetId="51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51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51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51" hidden="1">{"FAC_SUMMARY",#N/A,FALSE,"Summaries"}</definedName>
    <definedName name="wrn.FAC._.SUMMARY." hidden="1">{"FAC_SUMMARY",#N/A,FALSE,"Summaries"}</definedName>
    <definedName name="wrn.FCB." localSheetId="51" hidden="1">{"FCB_ALL",#N/A,FALSE,"FCB"}</definedName>
    <definedName name="wrn.FCB." hidden="1">{"FCB_ALL",#N/A,FALSE,"FCB"}</definedName>
    <definedName name="wrn.fcb2" localSheetId="51" hidden="1">{"FCB_ALL",#N/A,FALSE,"FCB"}</definedName>
    <definedName name="wrn.fcb2" hidden="1">{"FCB_ALL",#N/A,FALSE,"FCB"}</definedName>
    <definedName name="wrn.FERC._.FAC._.CALC." localSheetId="51" hidden="1">{"FERC_FAC",#N/A,FALSE,"FERC_Fuel&amp;Rev"}</definedName>
    <definedName name="wrn.FERC._.FAC._.CALC." hidden="1">{"FERC_FAC",#N/A,FALSE,"FERC_Fuel&amp;Rev"}</definedName>
    <definedName name="wrn.FERC._.WEATHER._.and._.JURIS._.FUEL." localSheetId="51" hidden="1">{"FERC_WEATHER_AND_FUEL",#N/A,FALSE,"FERC_Fuel&amp;Rev"}</definedName>
    <definedName name="wrn.FERC._.WEATHER._.and._.JURIS._.FUEL." hidden="1">{"FERC_WEATHER_AND_FUEL",#N/A,FALSE,"FERC_Fuel&amp;Rev"}</definedName>
    <definedName name="wrn.Financials." localSheetId="51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ORECAST._.ONLY." localSheetId="5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localSheetId="5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localSheetId="51" hidden="1">{#N/A,#N/A,FALSE,"AltFuel"}</definedName>
    <definedName name="wrn.Fuel._.Cycle." hidden="1">{#N/A,#N/A,FALSE,"AltFuel"}</definedName>
    <definedName name="wrn.full._.report." localSheetId="5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localSheetId="5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51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localSheetId="5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form." localSheetId="5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localSheetId="51" hidden="1">{#N/A,#N/A,FALSE,"Input 2 - Sources of Funds"}</definedName>
    <definedName name="wrn.General._.Information." hidden="1">{#N/A,#N/A,FALSE,"Input 2 - Sources of Funds"}</definedName>
    <definedName name="wrn.go." localSheetId="51" hidden="1">{"wp_h4.2",#N/A,FALSE,"WP_H4.2";"wp_h4.3",#N/A,FALSE,"WP_H4.3"}</definedName>
    <definedName name="wrn.go." hidden="1">{"wp_h4.2",#N/A,FALSE,"WP_H4.2";"wp_h4.3",#N/A,FALSE,"WP_H4.3"}</definedName>
    <definedName name="wrn.Ilijan._.Print." localSheetId="5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localSheetId="5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localSheetId="51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NCOME._.STATEMENT." localSheetId="51" hidden="1">{"INCOME STATEMENT",#N/A,FALSE,"Income Statement"}</definedName>
    <definedName name="wrn.INCOME._.STATEMENT." hidden="1">{"INCOME STATEMENT",#N/A,FALSE,"Income Statement"}</definedName>
    <definedName name="wrn.Incr.._.CF._.Statement." localSheetId="51" hidden="1">{"IncrCashPrintArea",#N/A,FALSE,"Incr_CF"}</definedName>
    <definedName name="wrn.Incr.._.CF._.Statement." hidden="1">{"IncrCashPrintArea",#N/A,FALSE,"Incr_CF"}</definedName>
    <definedName name="wrn.Incr.._.Profitability._.Indicators." localSheetId="51" hidden="1">{"IncrProfPrintArea",#N/A,FALSE,"Incr_Prof"}</definedName>
    <definedName name="wrn.Incr.._.Profitability._.Indicators." hidden="1">{"IncrProfPrintArea",#N/A,FALSE,"Incr_Prof"}</definedName>
    <definedName name="wrn.IncStatement._.15._.years." localSheetId="51" hidden="1">{#N/A,#N/A,FALSE,"FinStateUS"}</definedName>
    <definedName name="wrn.IncStatement._.15._.years." hidden="1">{#N/A,#N/A,FALSE,"FinStateUS"}</definedName>
    <definedName name="wrn.IncStatement._.6._.years." localSheetId="51" hidden="1">{"IncStatement 6 years",#N/A,FALSE,"FinStateUS"}</definedName>
    <definedName name="wrn.IncStatement._.6._.years." hidden="1">{"IncStatement 6 years",#N/A,FALSE,"FinStateUS"}</definedName>
    <definedName name="wrn.INPUT._.INFO." localSheetId="51" hidden="1">{"Input",#N/A,FALSE,"INPUT"}</definedName>
    <definedName name="wrn.INPUT._.INFO." hidden="1">{"Input",#N/A,FALSE,"INPUT"}</definedName>
    <definedName name="wrn.Inputs." localSheetId="51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IRR." localSheetId="51" hidden="1">{"IRR Benefits",#N/A,FALSE,"IRR";"Tax Credits",#N/A,FALSE,"IRR"}</definedName>
    <definedName name="wrn.IRR." hidden="1">{"IRR Benefits",#N/A,FALSE,"IRR";"Tax Credits",#N/A,FALSE,"IRR"}</definedName>
    <definedName name="wrn.IRR._.CORP._.7." localSheetId="51" hidden="1">{"IRR",#N/A,FALSE,"Corp 7 IRR";"Input",#N/A,FALSE,"Corp 7 IRR"}</definedName>
    <definedName name="wrn.IRR._.CORP._.7." hidden="1">{"IRR",#N/A,FALSE,"Corp 7 IRR";"Input",#N/A,FALSE,"Corp 7 IRR"}</definedName>
    <definedName name="wrn.Mason._.Deliverables." localSheetId="51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5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localSheetId="51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51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51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51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51" hidden="1">{"OK_JURIS_FAC",#N/A,FALSE,"Ok_Fuel&amp;Rev"}</definedName>
    <definedName name="wrn.OK._.JURIS._.FAC._.CALCULATION." hidden="1">{"OK_JURIS_FAC",#N/A,FALSE,"Ok_Fuel&amp;Rev"}</definedName>
    <definedName name="wrn.OK._.JURIS._.FUEL._.COST." localSheetId="51" hidden="1">{"OK_JURIS_FUEL",#N/A,FALSE,"Ok_Fuel&amp;Rev"}</definedName>
    <definedName name="wrn.OK._.JURIS._.FUEL._.COST." hidden="1">{"OK_JURIS_FUEL",#N/A,FALSE,"Ok_Fuel&amp;Rev"}</definedName>
    <definedName name="wrn.OKLA._.PRO._.FORMA._.FUEL." localSheetId="51" hidden="1">{"OK_PRO_FORMA_FUEL",#N/A,FALSE,"Ok_Fuel&amp;Rev"}</definedName>
    <definedName name="wrn.OKLA._.PRO._.FORMA._.FUEL." hidden="1">{"OK_PRO_FORMA_FUEL",#N/A,FALSE,"Ok_Fuel&amp;Rev"}</definedName>
    <definedName name="wrn.OMPA._.FAC." localSheetId="51" hidden="1">{"OMPA_FAC",#N/A,FALSE,"OMPA FAC"}</definedName>
    <definedName name="wrn.OMPA._.FAC." hidden="1">{"OMPA_FAC",#N/A,FALSE,"OMPA FAC"}</definedName>
    <definedName name="wrn.ops._.costs." localSheetId="51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51" hidden="1">{"OTHER_DATA",#N/A,FALSE,"Ok_Fuel&amp;Rev"}</definedName>
    <definedName name="wrn.OTHER._.DATA." hidden="1">{"OTHER_DATA",#N/A,FALSE,"Ok_Fuel&amp;Rev"}</definedName>
    <definedName name="wrn.Output." localSheetId="51" hidden="1">{"calspreads",#N/A,FALSE,"Sheet1";"curves",#N/A,FALSE,"Sheet1";"libor",#N/A,FALSE,"Sheet1"}</definedName>
    <definedName name="wrn.Output." hidden="1">{"calspreads",#N/A,FALSE,"Sheet1";"curves",#N/A,FALSE,"Sheet1";"libor",#N/A,FALSE,"Sheet1"}</definedName>
    <definedName name="wrn.PartialFncls." localSheetId="51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51" hidden="1">{"PARTNERS CAPITAL STMT",#N/A,FALSE,"Partners Capital"}</definedName>
    <definedName name="wrn.PARTNERS._.CAPITAL._.STMT." hidden="1">{"PARTNERS CAPITAL STMT",#N/A,FALSE,"Partners Capital"}</definedName>
    <definedName name="wrn.pl." localSheetId="51" hidden="1">{#N/A,#N/A,FALSE,"Exhibits 5-7"}</definedName>
    <definedName name="wrn.pl." hidden="1">{#N/A,#N/A,FALSE,"Exhibits 5-7"}</definedName>
    <definedName name="wrn.pl2." localSheetId="51" hidden="1">{#N/A,#N/A,FALSE,"Exhibits 5-7"}</definedName>
    <definedName name="wrn.pl2." hidden="1">{#N/A,#N/A,FALSE,"Exhibits 5-7"}</definedName>
    <definedName name="wrn.PRES_OUT." localSheetId="51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5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51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localSheetId="51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5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51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localSheetId="51" hidden="1">{"PNLProjDL",#N/A,FALSE,"PROJCO";"PNLParDL",#N/A,FALSE,"Parent"}</definedName>
    <definedName name="wrn.Print._.PNL._.Download." hidden="1">{"PNLProjDL",#N/A,FALSE,"PROJCO";"PNLParDL",#N/A,FALSE,"Parent"}</definedName>
    <definedName name="wrn.print._.raw._.data._.entry." localSheetId="51" hidden="1">{"inputs raw data",#N/A,TRUE,"INPUT"}</definedName>
    <definedName name="wrn.print._.raw._.data._.entry." hidden="1">{"inputs raw data",#N/A,TRUE,"INPUT"}</definedName>
    <definedName name="wrn.print._.summary._.sheets." localSheetId="5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5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localSheetId="5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localSheetId="5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51" hidden="1">{"var_page",#N/A,FALSE,"template"}</definedName>
    <definedName name="wrn.Print_Var_page." hidden="1">{"var_page",#N/A,FALSE,"template"}</definedName>
    <definedName name="wrn.print_variance." localSheetId="51" hidden="1">{"var_report",#N/A,FALSE,"template"}</definedName>
    <definedName name="wrn.print_variance." hidden="1">{"var_report",#N/A,FALSE,"template"}</definedName>
    <definedName name="wrn.Print_Variance_Page." localSheetId="51" hidden="1">{"variance_page",#N/A,FALSE,"template"}</definedName>
    <definedName name="wrn.Print_Variance_Page." hidden="1">{"variance_page",#N/A,FALSE,"template"}</definedName>
    <definedName name="wrn.PrintAll." localSheetId="51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out." localSheetId="5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5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51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51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localSheetId="51" hidden="1">{"ProfPrintArea",#N/A,FALSE,"Prof (c)"}</definedName>
    <definedName name="wrn.Profitability._.Indicators." hidden="1">{"ProfPrintArea",#N/A,FALSE,"Prof (c)"}</definedName>
    <definedName name="wrn.Profitability._.Indicators._.Base._.Case." localSheetId="51" hidden="1">{"ProfPrintArea",#N/A,FALSE,"Prof (c)"}</definedName>
    <definedName name="wrn.Profitability._.Indicators._.Base._.Case." hidden="1">{"ProfPrintArea",#N/A,FALSE,"Prof (c)"}</definedName>
    <definedName name="wrn.Project._.A." localSheetId="5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51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QUICK." localSheetId="5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localSheetId="51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localSheetId="51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51" hidden="1">{"Report for FA","FA",FALSE,"Benefits"}</definedName>
    <definedName name="wrn.REPORT._.FOR._.FA." hidden="1">{"Report for FA","FA",FALSE,"Benefits"}</definedName>
    <definedName name="wrn.REPORT._.FOR._.LUS." localSheetId="51" hidden="1">{#N/A,#N/A,FALSE,"LeaseData";"Rent",#N/A,FALSE,"Rent,Exp"}</definedName>
    <definedName name="wrn.REPORT._.FOR._.LUS." hidden="1">{#N/A,#N/A,FALSE,"LeaseData";"Rent",#N/A,FALSE,"Rent,Exp"}</definedName>
    <definedName name="wrn.Report1." localSheetId="51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isk._.Reserves." localSheetId="51" hidden="1">{#N/A,#N/A,TRUE,"Reserves";#N/A,#N/A,TRUE,"Graphs"}</definedName>
    <definedName name="wrn.Risk._.Reserves." hidden="1">{#N/A,#N/A,TRUE,"Reserves";#N/A,#N/A,TRUE,"Graphs"}</definedName>
    <definedName name="wrn.RollDetail." localSheetId="51" hidden="1">{"BookBal",#N/A,FALSE,"Roll-1";"DailyChange",#N/A,FALSE,"Roll-1";"Schedules",#N/A,FALSE,"Roll-1"}</definedName>
    <definedName name="wrn.RollDetail." hidden="1">{"BookBal",#N/A,FALSE,"Roll-1";"DailyChange",#N/A,FALSE,"Roll-1";"Schedules",#N/A,FALSE,"Roll-1"}</definedName>
    <definedName name="wrn.rolldetail2" localSheetId="51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localSheetId="51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localSheetId="51" hidden="1">{"page1",#N/A,FALSE,"rollup"}</definedName>
    <definedName name="wrn.rollup." hidden="1">{"page1",#N/A,FALSE,"rollup"}</definedName>
    <definedName name="wrn.rollup2." localSheetId="51" hidden="1">{"page1",#N/A,FALSE,"rollup"}</definedName>
    <definedName name="wrn.rollup2." hidden="1">{"page1",#N/A,FALSE,"rollup"}</definedName>
    <definedName name="wrn.sa" localSheetId="51" hidden="1">{"sales",#N/A,FALSE,"Sales";"sales existing",#N/A,FALSE,"Sales";"sales rd1",#N/A,FALSE,"Sales";"sales rd2",#N/A,FALSE,"Sales"}</definedName>
    <definedName name="wrn.sa" hidden="1">{"sales",#N/A,FALSE,"Sales";"sales existing",#N/A,FALSE,"Sales";"sales rd1",#N/A,FALSE,"Sales";"sales rd2",#N/A,FALSE,"Sales"}</definedName>
    <definedName name="wrn.sales." localSheetId="5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51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51" hidden="1">{#N/A,#N/A,TRUE,"Segment 1"}</definedName>
    <definedName name="wrn.Segment._.1." hidden="1">{#N/A,#N/A,TRUE,"Segment 1"}</definedName>
    <definedName name="wrn.Segment._.2." localSheetId="51" hidden="1">{#N/A,#N/A,TRUE,"Segment 2"}</definedName>
    <definedName name="wrn.Segment._.2." hidden="1">{#N/A,#N/A,TRUE,"Segment 2"}</definedName>
    <definedName name="wrn.Segment._.3." localSheetId="51" hidden="1">{#N/A,#N/A,TRUE,"Segment 3"}</definedName>
    <definedName name="wrn.Segment._.3." hidden="1">{#N/A,#N/A,TRUE,"Segment 3"}</definedName>
    <definedName name="wrn.Segment._.4." localSheetId="51" hidden="1">{#N/A,#N/A,TRUE,"Segment 4"}</definedName>
    <definedName name="wrn.Segment._.4." hidden="1">{#N/A,#N/A,TRUE,"Segment 4"}</definedName>
    <definedName name="wrn.Segment._.5." localSheetId="51" hidden="1">{#N/A,#N/A,TRUE,"Segment 5"}</definedName>
    <definedName name="wrn.Segment._.5." hidden="1">{#N/A,#N/A,TRUE,"Segment 5"}</definedName>
    <definedName name="wrn.Snapshot." localSheetId="51" hidden="1">{#N/A,#N/A,TRUE,"Facility-Input";#N/A,#N/A,TRUE,"Graphs"}</definedName>
    <definedName name="wrn.Snapshot." hidden="1">{#N/A,#N/A,TRUE,"Facility-Input";#N/A,#N/A,TRUE,"Graphs"}</definedName>
    <definedName name="wrn.SPA._.FAC." localSheetId="51" hidden="1">{"SPA_FAC",#N/A,FALSE,"OMPA SPA FAC"}</definedName>
    <definedName name="wrn.SPA._.FAC." hidden="1">{"SPA_FAC",#N/A,FALSE,"OMPA SPA FAC"}</definedName>
    <definedName name="wrn.STAND_ALONE_BOTH." localSheetId="51" hidden="1">{"FCB_ALL",#N/A,FALSE,"FCB";"GREY_ALL",#N/A,FALSE,"GREY"}</definedName>
    <definedName name="wrn.STAND_ALONE_BOTH." hidden="1">{"FCB_ALL",#N/A,FALSE,"FCB";"GREY_ALL",#N/A,FALSE,"GREY"}</definedName>
    <definedName name="wrn.Statements." localSheetId="51" hidden="1">{#N/A,#N/A,FALSE,"Co_BalSht";#N/A,#N/A,FALSE,"Co_IncStmt";#N/A,#N/A,FALSE,"Cons_BalSht";#N/A,#N/A,FALSE,"Cons_IncStmt";#N/A,#N/A,FALSE,"Cashflow"}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localSheetId="51" hidden="1">{"STMT OF CASH FLOWS",#N/A,FALSE,"Cash Flows Indirect"}</definedName>
    <definedName name="wrn.STMT._.OF._.CASH._.FLOWS." hidden="1">{"STMT OF CASH FLOWS",#N/A,FALSE,"Cash Flows Indirect"}</definedName>
    <definedName name="wrn.SumIncBalRat." localSheetId="51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localSheetId="5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51" hidden="1">{"BS",#N/A,FALSE,"USA"}</definedName>
    <definedName name="wrn.SUMMARY." hidden="1">{"BS",#N/A,FALSE,"USA"}</definedName>
    <definedName name="wrn.SUP." localSheetId="5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5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localSheetId="51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51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51" hidden="1">{"EXPLANATIONS",#N/A,FALSE,"Working Trial Balance"}</definedName>
    <definedName name="wrn.TB._.EXPLANATIONS." hidden="1">{"EXPLANATIONS",#N/A,FALSE,"Working Trial Balance"}</definedName>
    <definedName name="wrn.TB._.INCOME._.STMT." localSheetId="51" hidden="1">{"INCOME STMT ACCTS",#N/A,FALSE,"Working Trial Balance"}</definedName>
    <definedName name="wrn.TB._.INCOME._.STMT." hidden="1">{"INCOME STMT ACCTS",#N/A,FALSE,"Working Trial Balance"}</definedName>
    <definedName name="wrn.TEST." localSheetId="51" hidden="1">{"acc1",#N/A,TRUE,"Accrual";"ACC2",#N/A,TRUE,"Accrual"}</definedName>
    <definedName name="wrn.TEST." hidden="1">{"acc1",#N/A,TRUE,"Accrual";"ACC2",#N/A,TRUE,"Accrual"}</definedName>
    <definedName name="wrn.test1." localSheetId="5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5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51" hidden="1">{"SourcesUses",#N/A,TRUE,#N/A;"TransOverview",#N/A,TRUE,"CFMODEL"}</definedName>
    <definedName name="wrn.test3." hidden="1">{"SourcesUses",#N/A,TRUE,#N/A;"TransOverview",#N/A,TRUE,"CFMODEL"}</definedName>
    <definedName name="wrn.test4." localSheetId="51" hidden="1">{"SourcesUses",#N/A,TRUE,"FundsFlow";"TransOverview",#N/A,TRUE,"FundsFlow"}</definedName>
    <definedName name="wrn.test4." hidden="1">{"SourcesUses",#N/A,TRUE,"FundsFlow";"TransOverview",#N/A,TRUE,"FundsFlow"}</definedName>
    <definedName name="wrn.Total._.Report." localSheetId="51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51" hidden="1">{#N/A,#N/A,TRUE,"TOTAL";#N/A,#N/A,TRUE,"Total Pipes"}</definedName>
    <definedName name="wrn.Totals." hidden="1">{#N/A,#N/A,TRUE,"TOTAL";#N/A,#N/A,TRUE,"Total Pipes"}</definedName>
    <definedName name="wrn.Transmission." localSheetId="51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localSheetId="51" hidden="1">{"Area1",#N/A,FALSE,"OREWACC";"Area2",#N/A,FALSE,"OREWACC"}</definedName>
    <definedName name="wrn.Wacc." hidden="1">{"Area1",#N/A,FALSE,"OREWACC";"Area2",#N/A,FALSE,"OREWACC"}</definedName>
    <definedName name="wrn.waterfrm" localSheetId="51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51" hidden="1">{"WEATHER_CUSTOMERS",#N/A,FALSE,"Ok_Fuel&amp;Rev"}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 localSheetId="21">#REF!</definedName>
    <definedName name="WV_List">#REF!</definedName>
    <definedName name="wvu.inputs._.raw._.data." localSheetId="5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5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5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5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localSheetId="51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localSheetId="51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localSheetId="5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5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localSheetId="51" hidden="1">{#N/A,#N/A,FALSE,"Assumptions";"Model",#N/A,FALSE,"MDU";#N/A,#N/A,FALSE,"Notes"}</definedName>
    <definedName name="yea" hidden="1">{#N/A,#N/A,FALSE,"Assumptions";"Model",#N/A,FALSE,"MDU";#N/A,#N/A,FALSE,"Notes"}</definedName>
    <definedName name="Yeah8" hidden="1">#REF!</definedName>
    <definedName name="year">#REF!</definedName>
    <definedName name="YTD_EARNINGS" localSheetId="51">#REF!</definedName>
    <definedName name="YTD_EARNINGS">#REF!</definedName>
    <definedName name="YTD_EQUITY_EARNINGS" localSheetId="51">#REF!</definedName>
    <definedName name="YTD_EQUITY_EARNINGS">#REF!</definedName>
    <definedName name="YTD_EXPENSES" localSheetId="51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localSheetId="51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Zip" localSheetId="51">#REF!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60" l="1"/>
  <c r="H42" i="160"/>
  <c r="J42" i="160" s="1"/>
  <c r="H43" i="160"/>
  <c r="J43" i="160" s="1"/>
  <c r="J44" i="160"/>
  <c r="H45" i="160"/>
  <c r="J45" i="160"/>
  <c r="H46" i="160"/>
  <c r="J46" i="160" s="1"/>
  <c r="J47" i="160"/>
  <c r="J48" i="160"/>
  <c r="H49" i="160"/>
  <c r="J49" i="160" s="1"/>
  <c r="J50" i="160"/>
  <c r="H51" i="160"/>
  <c r="J52" i="160"/>
  <c r="H53" i="160"/>
  <c r="J53" i="160"/>
  <c r="J54" i="160"/>
  <c r="H55" i="160"/>
  <c r="J55" i="160"/>
  <c r="H56" i="160"/>
  <c r="J56" i="160" s="1"/>
  <c r="L37" i="160"/>
  <c r="A46" i="140"/>
  <c r="A48" i="140" s="1"/>
  <c r="A50" i="140" s="1"/>
  <c r="A52" i="140" s="1"/>
  <c r="A12" i="140"/>
  <c r="A14" i="140" s="1"/>
  <c r="A16" i="140" s="1"/>
  <c r="A18" i="140" s="1"/>
  <c r="A20" i="140" s="1"/>
  <c r="A22" i="140" s="1"/>
  <c r="A24" i="140" s="1"/>
  <c r="A26" i="140" s="1"/>
  <c r="A28" i="140" s="1"/>
  <c r="A30" i="140" s="1"/>
  <c r="A32" i="140" s="1"/>
  <c r="A34" i="140" s="1"/>
  <c r="A47" i="152"/>
  <c r="A9" i="170"/>
  <c r="A10" i="170" s="1"/>
  <c r="A11" i="170" s="1"/>
  <c r="A12" i="170" s="1"/>
  <c r="A13" i="170" s="1"/>
  <c r="A14" i="170" s="1"/>
  <c r="A15" i="170" s="1"/>
  <c r="A16" i="170" s="1"/>
  <c r="A17" i="170" s="1"/>
  <c r="A18" i="170" s="1"/>
  <c r="A19" i="170" s="1"/>
  <c r="A20" i="170" s="1"/>
  <c r="A21" i="170" s="1"/>
  <c r="A22" i="170" s="1"/>
  <c r="A23" i="170" s="1"/>
  <c r="A24" i="170" s="1"/>
  <c r="A25" i="170" s="1"/>
  <c r="A26" i="170" s="1"/>
  <c r="A27" i="170" s="1"/>
  <c r="A28" i="170" s="1"/>
  <c r="A29" i="170" s="1"/>
  <c r="A30" i="170" s="1"/>
  <c r="A31" i="170" s="1"/>
  <c r="A32" i="170" s="1"/>
  <c r="A33" i="170" s="1"/>
  <c r="A34" i="170" s="1"/>
  <c r="A35" i="170" s="1"/>
  <c r="A36" i="170" s="1"/>
  <c r="A37" i="170" s="1"/>
  <c r="A38" i="170" s="1"/>
  <c r="A39" i="170" s="1"/>
  <c r="A40" i="170" s="1"/>
  <c r="A41" i="170" s="1"/>
  <c r="A42" i="170" s="1"/>
  <c r="A43" i="170" s="1"/>
  <c r="A44" i="170" s="1"/>
  <c r="A45" i="170" s="1"/>
  <c r="A47" i="170" s="1"/>
  <c r="H63" i="160" l="1"/>
  <c r="H62" i="160"/>
  <c r="J62" i="160"/>
  <c r="H57" i="160"/>
  <c r="J51" i="160"/>
  <c r="J63" i="160" s="1"/>
  <c r="J64" i="160" s="1"/>
  <c r="E27" i="159"/>
  <c r="G9" i="144"/>
  <c r="A12" i="172"/>
  <c r="A14" i="172" s="1"/>
  <c r="A16" i="172" s="1"/>
  <c r="A18" i="172" s="1"/>
  <c r="A20" i="172" s="1"/>
  <c r="A22" i="172" s="1"/>
  <c r="A24" i="172" s="1"/>
  <c r="A26" i="172" s="1"/>
  <c r="A28" i="172" s="1"/>
  <c r="A30" i="172" s="1"/>
  <c r="A32" i="172" s="1"/>
  <c r="A34" i="172" s="1"/>
  <c r="K28" i="172"/>
  <c r="K30" i="172" s="1"/>
  <c r="H64" i="160" l="1"/>
  <c r="H65" i="160" s="1"/>
  <c r="J57" i="160"/>
  <c r="J65" i="160" s="1"/>
  <c r="G16" i="172"/>
  <c r="K10" i="172"/>
  <c r="I47" i="94" l="1"/>
  <c r="X22" i="163"/>
  <c r="V22" i="163"/>
  <c r="T22" i="163"/>
  <c r="Q22" i="163"/>
  <c r="N22" i="163"/>
  <c r="L22" i="163"/>
  <c r="G37" i="163"/>
  <c r="G34" i="163"/>
  <c r="G17" i="163"/>
  <c r="G15" i="163"/>
  <c r="G13" i="163"/>
  <c r="E19" i="163"/>
  <c r="F17" i="163" s="1"/>
  <c r="X25" i="163"/>
  <c r="V25" i="163"/>
  <c r="T25" i="163"/>
  <c r="N25" i="163"/>
  <c r="L25" i="163"/>
  <c r="I25" i="163"/>
  <c r="X13" i="163" l="1"/>
  <c r="I17" i="163"/>
  <c r="X17" i="163"/>
  <c r="N13" i="163"/>
  <c r="AA15" i="163"/>
  <c r="G38" i="163"/>
  <c r="T17" i="163"/>
  <c r="Q13" i="163"/>
  <c r="F15" i="163"/>
  <c r="V17" i="163"/>
  <c r="I15" i="163"/>
  <c r="T13" i="163"/>
  <c r="F13" i="163"/>
  <c r="V13" i="163"/>
  <c r="L17" i="163"/>
  <c r="N17" i="163"/>
  <c r="L13" i="163"/>
  <c r="Q17" i="163"/>
  <c r="I13" i="163"/>
  <c r="G19" i="163"/>
  <c r="H17" i="163" s="1"/>
  <c r="I19" i="163" l="1"/>
  <c r="I22" i="163" s="1"/>
  <c r="F19" i="163"/>
  <c r="AA13" i="163"/>
  <c r="AA17" i="163"/>
  <c r="L10" i="91"/>
  <c r="F9" i="90"/>
  <c r="F11" i="90" s="1"/>
  <c r="A10" i="114"/>
  <c r="A11" i="114" s="1"/>
  <c r="A12" i="114" s="1"/>
  <c r="A13" i="114" s="1"/>
  <c r="A14" i="114" s="1"/>
  <c r="A15" i="114" s="1"/>
  <c r="A16" i="114" s="1"/>
  <c r="A17" i="114" s="1"/>
  <c r="A18" i="114" s="1"/>
  <c r="A19" i="114" s="1"/>
  <c r="A20" i="114" s="1"/>
  <c r="A21" i="114" s="1"/>
  <c r="A22" i="114" s="1"/>
  <c r="A24" i="114" s="1"/>
  <c r="A26" i="114" s="1"/>
  <c r="A28" i="114" s="1"/>
  <c r="A30" i="114" s="1"/>
  <c r="A32" i="114" s="1"/>
  <c r="A34" i="114" s="1"/>
  <c r="A36" i="114" s="1"/>
  <c r="A38" i="114" s="1"/>
  <c r="A40" i="114" s="1"/>
  <c r="F10" i="76"/>
  <c r="F14" i="76" s="1"/>
  <c r="E12" i="135"/>
  <c r="L7" i="71"/>
  <c r="G18" i="158"/>
  <c r="F13" i="137" l="1"/>
  <c r="A10" i="85" l="1"/>
  <c r="A11" i="85" s="1"/>
  <c r="A12" i="85" s="1"/>
  <c r="A13" i="85" s="1"/>
  <c r="A14" i="85" s="1"/>
  <c r="A17" i="85" l="1"/>
  <c r="A18" i="85" s="1"/>
  <c r="A19" i="85" s="1"/>
  <c r="A20" i="85" s="1"/>
  <c r="A21" i="85" s="1"/>
  <c r="A22" i="85" s="1"/>
  <c r="A23" i="85" s="1"/>
  <c r="A24" i="85" s="1"/>
  <c r="A25" i="85" s="1"/>
  <c r="A26" i="85" s="1"/>
  <c r="A28" i="85" s="1"/>
  <c r="A30" i="85" s="1"/>
  <c r="F18" i="76"/>
  <c r="A34" i="85" l="1"/>
  <c r="A36" i="85" s="1"/>
  <c r="A38" i="85" s="1"/>
  <c r="A32" i="85"/>
  <c r="E20" i="80" l="1"/>
  <c r="H12" i="78" l="1"/>
  <c r="G18" i="172" l="1"/>
  <c r="G14" i="172"/>
  <c r="G12" i="172"/>
  <c r="I16" i="172" s="1"/>
  <c r="K12" i="172"/>
  <c r="G10" i="172"/>
  <c r="I14" i="172" l="1"/>
  <c r="K14" i="172" s="1"/>
  <c r="I18" i="172"/>
  <c r="K18" i="172" s="1"/>
  <c r="K16" i="172"/>
  <c r="K20" i="172" l="1"/>
  <c r="K22" i="172"/>
  <c r="K34" i="172" s="1"/>
  <c r="G22" i="67" l="1"/>
  <c r="J52" i="140"/>
  <c r="F15" i="168" l="1"/>
  <c r="I11" i="110" l="1"/>
  <c r="E56" i="159" l="1"/>
  <c r="E11" i="112" l="1"/>
  <c r="I12" i="171" l="1"/>
  <c r="F6" i="67" s="1"/>
  <c r="J6" i="67" s="1"/>
  <c r="E13" i="115" l="1"/>
  <c r="J60" i="67" l="1"/>
  <c r="I60" i="67"/>
  <c r="F47" i="170"/>
  <c r="E47" i="170"/>
  <c r="G46" i="170"/>
  <c r="G45" i="170"/>
  <c r="G44" i="170"/>
  <c r="G43" i="170"/>
  <c r="G42" i="170"/>
  <c r="G41" i="170"/>
  <c r="G40" i="170"/>
  <c r="G39" i="170"/>
  <c r="G38" i="170"/>
  <c r="G37" i="170"/>
  <c r="G36" i="170"/>
  <c r="G35" i="170"/>
  <c r="G34" i="170"/>
  <c r="G33" i="170"/>
  <c r="G32" i="170"/>
  <c r="G31" i="170"/>
  <c r="G30" i="170"/>
  <c r="G29" i="170"/>
  <c r="G28" i="170"/>
  <c r="G27" i="170"/>
  <c r="G26" i="170"/>
  <c r="G25" i="170"/>
  <c r="G24" i="170"/>
  <c r="G23" i="170"/>
  <c r="G22" i="170"/>
  <c r="G21" i="170"/>
  <c r="G20" i="170"/>
  <c r="G19" i="170"/>
  <c r="G18" i="170"/>
  <c r="G17" i="170"/>
  <c r="G16" i="170"/>
  <c r="G15" i="170"/>
  <c r="G14" i="170"/>
  <c r="G13" i="170"/>
  <c r="G12" i="170"/>
  <c r="G11" i="170"/>
  <c r="G10" i="170"/>
  <c r="G9" i="170"/>
  <c r="M8" i="170"/>
  <c r="E22" i="163" l="1"/>
  <c r="G22" i="163"/>
  <c r="H13" i="163" s="1"/>
  <c r="H19" i="163" s="1"/>
  <c r="AC15" i="163"/>
  <c r="AA19" i="163" l="1"/>
  <c r="AA22" i="163" s="1"/>
  <c r="F17" i="97"/>
  <c r="F18" i="97" s="1"/>
  <c r="A9" i="97"/>
  <c r="A10" i="97" s="1"/>
  <c r="A11" i="97" s="1"/>
  <c r="A12" i="97" s="1"/>
  <c r="A13" i="97" s="1"/>
  <c r="A15" i="97" s="1"/>
  <c r="A16" i="97" s="1"/>
  <c r="A17" i="97" s="1"/>
  <c r="A18" i="97" s="1"/>
  <c r="A20" i="97" s="1"/>
  <c r="A21" i="97" s="1"/>
  <c r="A22" i="97" s="1"/>
  <c r="A24" i="97" s="1"/>
  <c r="A25" i="97" s="1"/>
  <c r="A9" i="96"/>
  <c r="A10" i="96" s="1"/>
  <c r="A11" i="96" s="1"/>
  <c r="A12" i="96" s="1"/>
  <c r="A13" i="96" s="1"/>
  <c r="A15" i="96" s="1"/>
  <c r="A16" i="96" s="1"/>
  <c r="A18" i="96" s="1"/>
  <c r="A19" i="96" s="1"/>
  <c r="A39" i="95"/>
  <c r="D37" i="95"/>
  <c r="C37" i="95"/>
  <c r="F36" i="95"/>
  <c r="E36" i="95"/>
  <c r="F35" i="95"/>
  <c r="E35" i="95"/>
  <c r="F34" i="95"/>
  <c r="E34" i="95"/>
  <c r="F33" i="95"/>
  <c r="E33" i="95"/>
  <c r="F32" i="95"/>
  <c r="E32" i="95"/>
  <c r="F31" i="95"/>
  <c r="E31" i="95"/>
  <c r="F30" i="95"/>
  <c r="E30" i="95"/>
  <c r="F29" i="95"/>
  <c r="E29" i="95"/>
  <c r="F28" i="95"/>
  <c r="E28" i="95"/>
  <c r="F27" i="95"/>
  <c r="E27" i="95"/>
  <c r="F26" i="95"/>
  <c r="E26" i="95"/>
  <c r="F25" i="95"/>
  <c r="E25" i="95"/>
  <c r="F24" i="95"/>
  <c r="E24" i="95"/>
  <c r="F23" i="95"/>
  <c r="E23" i="95"/>
  <c r="F22" i="95"/>
  <c r="E22" i="95"/>
  <c r="F21" i="95"/>
  <c r="E21" i="95"/>
  <c r="A21" i="95"/>
  <c r="A22" i="95" s="1"/>
  <c r="A23" i="95" s="1"/>
  <c r="A24" i="95" s="1"/>
  <c r="A25" i="95" s="1"/>
  <c r="A26" i="95" s="1"/>
  <c r="A27" i="95" s="1"/>
  <c r="A28" i="95" s="1"/>
  <c r="A29" i="95" s="1"/>
  <c r="A30" i="95" s="1"/>
  <c r="A31" i="95" s="1"/>
  <c r="A32" i="95" s="1"/>
  <c r="A33" i="95" s="1"/>
  <c r="A34" i="95" s="1"/>
  <c r="A35" i="95" s="1"/>
  <c r="A36" i="95" s="1"/>
  <c r="F20" i="95"/>
  <c r="E20" i="95"/>
  <c r="F19" i="95"/>
  <c r="E19" i="95"/>
  <c r="F18" i="95"/>
  <c r="E18" i="95"/>
  <c r="F17" i="95"/>
  <c r="E17" i="95"/>
  <c r="F16" i="95"/>
  <c r="E16" i="95"/>
  <c r="F15" i="95"/>
  <c r="E15" i="95"/>
  <c r="F14" i="95"/>
  <c r="E14" i="95"/>
  <c r="F13" i="95"/>
  <c r="E13" i="95"/>
  <c r="F12" i="95"/>
  <c r="E12" i="95"/>
  <c r="A12" i="95"/>
  <c r="A13" i="95" s="1"/>
  <c r="A14" i="95" s="1"/>
  <c r="A15" i="95" s="1"/>
  <c r="A16" i="95" s="1"/>
  <c r="A17" i="95" s="1"/>
  <c r="A18" i="95" s="1"/>
  <c r="F11" i="95"/>
  <c r="E11" i="95"/>
  <c r="F10" i="95"/>
  <c r="E10" i="95"/>
  <c r="H47" i="94"/>
  <c r="G47" i="94"/>
  <c r="D47" i="94"/>
  <c r="C47" i="94"/>
  <c r="J46" i="94"/>
  <c r="E46" i="94"/>
  <c r="J45" i="94"/>
  <c r="E45" i="94"/>
  <c r="A45" i="94"/>
  <c r="A46" i="94" s="1"/>
  <c r="A47" i="94" s="1"/>
  <c r="A49" i="94" s="1"/>
  <c r="A50" i="94" s="1"/>
  <c r="J44" i="94"/>
  <c r="E44" i="94"/>
  <c r="J43" i="94"/>
  <c r="E43" i="94"/>
  <c r="J42" i="94"/>
  <c r="E42" i="94"/>
  <c r="J41" i="94"/>
  <c r="E41" i="94"/>
  <c r="J40" i="94"/>
  <c r="E40" i="94"/>
  <c r="J39" i="94"/>
  <c r="E39" i="94"/>
  <c r="J38" i="94"/>
  <c r="E38" i="94"/>
  <c r="J37" i="94"/>
  <c r="E37" i="94"/>
  <c r="J36" i="94"/>
  <c r="E36" i="94"/>
  <c r="J35" i="94"/>
  <c r="E35" i="94"/>
  <c r="J34" i="94"/>
  <c r="E34" i="94"/>
  <c r="J33" i="94"/>
  <c r="E33" i="94"/>
  <c r="J32" i="94"/>
  <c r="E32" i="94"/>
  <c r="J31" i="94"/>
  <c r="E31" i="94"/>
  <c r="J30" i="94"/>
  <c r="E30" i="94"/>
  <c r="J29" i="94"/>
  <c r="E29" i="94"/>
  <c r="J28" i="94"/>
  <c r="E28" i="94"/>
  <c r="J27" i="94"/>
  <c r="E27" i="94"/>
  <c r="J26" i="94"/>
  <c r="E26" i="94"/>
  <c r="J25" i="94"/>
  <c r="E25" i="94"/>
  <c r="J24" i="94"/>
  <c r="E24" i="94"/>
  <c r="J23" i="94"/>
  <c r="E23" i="94"/>
  <c r="A23" i="94"/>
  <c r="A24" i="94" s="1"/>
  <c r="A25" i="94" s="1"/>
  <c r="A26" i="94" s="1"/>
  <c r="A27" i="94" s="1"/>
  <c r="A28" i="94" s="1"/>
  <c r="A29" i="94" s="1"/>
  <c r="A30" i="94" s="1"/>
  <c r="A31" i="94" s="1"/>
  <c r="A32" i="94" s="1"/>
  <c r="A33" i="94" s="1"/>
  <c r="A34" i="94" s="1"/>
  <c r="A35" i="94" s="1"/>
  <c r="A36" i="94" s="1"/>
  <c r="A37" i="94" s="1"/>
  <c r="A38" i="94" s="1"/>
  <c r="A39" i="94" s="1"/>
  <c r="A40" i="94" s="1"/>
  <c r="A41" i="94" s="1"/>
  <c r="A42" i="94" s="1"/>
  <c r="J22" i="94"/>
  <c r="E22" i="94"/>
  <c r="J21" i="94"/>
  <c r="E21" i="94"/>
  <c r="J20" i="94"/>
  <c r="E20" i="94"/>
  <c r="J19" i="94"/>
  <c r="E19" i="94"/>
  <c r="J18" i="94"/>
  <c r="E18" i="94"/>
  <c r="J17" i="94"/>
  <c r="E17" i="94"/>
  <c r="J16" i="94"/>
  <c r="E16" i="94"/>
  <c r="J15" i="94"/>
  <c r="E15" i="94"/>
  <c r="J14" i="94"/>
  <c r="E14" i="94"/>
  <c r="J13" i="94"/>
  <c r="E13" i="94"/>
  <c r="J12" i="94"/>
  <c r="E12" i="94"/>
  <c r="J11" i="94"/>
  <c r="E11" i="94"/>
  <c r="A11" i="94"/>
  <c r="A12" i="94" s="1"/>
  <c r="A13" i="94" s="1"/>
  <c r="A14" i="94" s="1"/>
  <c r="A15" i="94" s="1"/>
  <c r="A16" i="94" s="1"/>
  <c r="A17" i="94" s="1"/>
  <c r="A18" i="94" s="1"/>
  <c r="A19" i="94" s="1"/>
  <c r="J10" i="94"/>
  <c r="E10" i="94"/>
  <c r="H46" i="93"/>
  <c r="G46" i="93"/>
  <c r="D46" i="93"/>
  <c r="C46" i="93"/>
  <c r="I45" i="93"/>
  <c r="E45" i="93"/>
  <c r="I44" i="93"/>
  <c r="E44" i="93"/>
  <c r="I43" i="93"/>
  <c r="E43" i="93"/>
  <c r="I42" i="93"/>
  <c r="E42" i="93"/>
  <c r="I41" i="93"/>
  <c r="E41" i="93"/>
  <c r="I40" i="93"/>
  <c r="E40" i="93"/>
  <c r="I39" i="93"/>
  <c r="E39" i="93"/>
  <c r="I38" i="93"/>
  <c r="E38" i="93"/>
  <c r="I37" i="93"/>
  <c r="E37" i="93"/>
  <c r="I36" i="93"/>
  <c r="E36" i="93"/>
  <c r="I35" i="93"/>
  <c r="E35" i="93"/>
  <c r="I34" i="93"/>
  <c r="E34" i="93"/>
  <c r="I33" i="93"/>
  <c r="E33" i="93"/>
  <c r="I32" i="93"/>
  <c r="E32" i="93"/>
  <c r="I31" i="93"/>
  <c r="E31" i="93"/>
  <c r="I30" i="93"/>
  <c r="E30" i="93"/>
  <c r="I29" i="93"/>
  <c r="E29" i="93"/>
  <c r="I28" i="93"/>
  <c r="E28" i="93"/>
  <c r="I27" i="93"/>
  <c r="E27" i="93"/>
  <c r="I26" i="93"/>
  <c r="E26" i="93"/>
  <c r="I25" i="93"/>
  <c r="E25" i="93"/>
  <c r="I24" i="93"/>
  <c r="E24" i="93"/>
  <c r="I23" i="93"/>
  <c r="E23" i="93"/>
  <c r="I22" i="93"/>
  <c r="E22" i="93"/>
  <c r="I21" i="93"/>
  <c r="E21" i="93"/>
  <c r="I20" i="93"/>
  <c r="E20" i="93"/>
  <c r="I19" i="93"/>
  <c r="E19" i="93"/>
  <c r="I18" i="93"/>
  <c r="E18" i="93"/>
  <c r="I17" i="93"/>
  <c r="E17" i="93"/>
  <c r="I16" i="93"/>
  <c r="E16" i="93"/>
  <c r="I15" i="93"/>
  <c r="E15" i="93"/>
  <c r="I14" i="93"/>
  <c r="E14" i="93"/>
  <c r="I13" i="93"/>
  <c r="E13" i="93"/>
  <c r="I12" i="93"/>
  <c r="E12" i="93"/>
  <c r="I11" i="93"/>
  <c r="E11" i="93"/>
  <c r="A11" i="93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29" i="93" s="1"/>
  <c r="A30" i="93" s="1"/>
  <c r="A31" i="93" s="1"/>
  <c r="A32" i="93" s="1"/>
  <c r="A33" i="93" s="1"/>
  <c r="A34" i="93" s="1"/>
  <c r="A35" i="93" s="1"/>
  <c r="A36" i="93" s="1"/>
  <c r="A37" i="93" s="1"/>
  <c r="A38" i="93" s="1"/>
  <c r="A39" i="93" s="1"/>
  <c r="A40" i="93" s="1"/>
  <c r="A41" i="93" s="1"/>
  <c r="A42" i="93" s="1"/>
  <c r="A43" i="93" s="1"/>
  <c r="A44" i="93" s="1"/>
  <c r="A45" i="93" s="1"/>
  <c r="A46" i="93" s="1"/>
  <c r="A48" i="93" s="1"/>
  <c r="I10" i="93"/>
  <c r="E10" i="93"/>
  <c r="K43" i="93" l="1"/>
  <c r="L43" i="93" s="1"/>
  <c r="F13" i="96"/>
  <c r="F16" i="96" s="1"/>
  <c r="F19" i="96" s="1"/>
  <c r="K12" i="93"/>
  <c r="L12" i="93" s="1"/>
  <c r="K36" i="93"/>
  <c r="L36" i="93" s="1"/>
  <c r="K14" i="93"/>
  <c r="L14" i="93" s="1"/>
  <c r="K18" i="93"/>
  <c r="L18" i="93" s="1"/>
  <c r="K22" i="93"/>
  <c r="L22" i="93" s="1"/>
  <c r="K26" i="93"/>
  <c r="L26" i="93" s="1"/>
  <c r="K15" i="93"/>
  <c r="L15" i="93" s="1"/>
  <c r="K19" i="93"/>
  <c r="L19" i="93" s="1"/>
  <c r="K20" i="93"/>
  <c r="L20" i="93" s="1"/>
  <c r="K24" i="93"/>
  <c r="L24" i="93" s="1"/>
  <c r="K28" i="93"/>
  <c r="L28" i="93" s="1"/>
  <c r="K44" i="93"/>
  <c r="L44" i="93" s="1"/>
  <c r="K37" i="93"/>
  <c r="L37" i="93" s="1"/>
  <c r="K41" i="93"/>
  <c r="L41" i="93" s="1"/>
  <c r="K29" i="93"/>
  <c r="L29" i="93" s="1"/>
  <c r="K33" i="93"/>
  <c r="L33" i="93" s="1"/>
  <c r="K35" i="93"/>
  <c r="L35" i="93" s="1"/>
  <c r="K31" i="93"/>
  <c r="L31" i="93" s="1"/>
  <c r="K38" i="93"/>
  <c r="L38" i="93" s="1"/>
  <c r="K42" i="93"/>
  <c r="L42" i="93" s="1"/>
  <c r="I46" i="93"/>
  <c r="K21" i="93"/>
  <c r="L21" i="93" s="1"/>
  <c r="K25" i="93"/>
  <c r="L25" i="93" s="1"/>
  <c r="K40" i="93"/>
  <c r="L40" i="93" s="1"/>
  <c r="E47" i="94"/>
  <c r="J47" i="94"/>
  <c r="K11" i="93"/>
  <c r="L11" i="93" s="1"/>
  <c r="K30" i="93"/>
  <c r="L30" i="93" s="1"/>
  <c r="K34" i="93"/>
  <c r="L34" i="93" s="1"/>
  <c r="K45" i="93"/>
  <c r="L45" i="93" s="1"/>
  <c r="E37" i="95"/>
  <c r="F37" i="95"/>
  <c r="K16" i="93"/>
  <c r="L16" i="93" s="1"/>
  <c r="K23" i="93"/>
  <c r="L23" i="93" s="1"/>
  <c r="K27" i="93"/>
  <c r="L27" i="93" s="1"/>
  <c r="K10" i="93"/>
  <c r="L10" i="93" s="1"/>
  <c r="K13" i="93"/>
  <c r="L13" i="93" s="1"/>
  <c r="K17" i="93"/>
  <c r="L17" i="93" s="1"/>
  <c r="K32" i="93"/>
  <c r="L32" i="93" s="1"/>
  <c r="K39" i="93"/>
  <c r="L39" i="93" s="1"/>
  <c r="F13" i="97"/>
  <c r="F20" i="97" s="1"/>
  <c r="F22" i="97" s="1"/>
  <c r="F25" i="97" s="1"/>
  <c r="E46" i="93"/>
  <c r="D47" i="170" l="1"/>
  <c r="G47" i="170" s="1"/>
  <c r="G8" i="170"/>
  <c r="L46" i="93"/>
  <c r="K46" i="93"/>
  <c r="C26" i="85"/>
  <c r="C14" i="85"/>
  <c r="C12" i="85"/>
  <c r="F8" i="72"/>
  <c r="F10" i="72" s="1"/>
  <c r="C28" i="85" l="1"/>
  <c r="C32" i="85" s="1"/>
  <c r="C36" i="85" s="1"/>
  <c r="G27" i="67" s="1"/>
  <c r="C9" i="142"/>
  <c r="C11" i="142" l="1"/>
  <c r="H56" i="67" s="1"/>
  <c r="F13" i="141" l="1"/>
  <c r="H13" i="141" s="1"/>
  <c r="F12" i="141"/>
  <c r="H12" i="141" s="1"/>
  <c r="F11" i="141"/>
  <c r="H11" i="141" s="1"/>
  <c r="D15" i="141"/>
  <c r="D15" i="139"/>
  <c r="A14" i="139"/>
  <c r="A15" i="139" s="1"/>
  <c r="A16" i="139" s="1"/>
  <c r="A18" i="139" s="1"/>
  <c r="A19" i="139" s="1"/>
  <c r="A20" i="139" s="1"/>
  <c r="A22" i="139" s="1"/>
  <c r="A23" i="139" s="1"/>
  <c r="A24" i="139" s="1"/>
  <c r="A26" i="139" s="1"/>
  <c r="F56" i="159"/>
  <c r="F55" i="159"/>
  <c r="F54" i="159"/>
  <c r="F53" i="159"/>
  <c r="F52" i="159"/>
  <c r="F51" i="159"/>
  <c r="F50" i="159"/>
  <c r="E49" i="159"/>
  <c r="E57" i="159" s="1"/>
  <c r="H19" i="67" s="1"/>
  <c r="D49" i="159"/>
  <c r="D57" i="159" s="1"/>
  <c r="F48" i="159"/>
  <c r="F47" i="159"/>
  <c r="C49" i="159"/>
  <c r="C57" i="159" s="1"/>
  <c r="F44" i="159"/>
  <c r="D41" i="159"/>
  <c r="E40" i="159"/>
  <c r="F40" i="159" s="1"/>
  <c r="C40" i="159"/>
  <c r="E39" i="159"/>
  <c r="C39" i="159"/>
  <c r="F38" i="159"/>
  <c r="F37" i="159"/>
  <c r="F33" i="159"/>
  <c r="F32" i="159"/>
  <c r="F31" i="159"/>
  <c r="F30" i="159"/>
  <c r="F29" i="159"/>
  <c r="F26" i="159"/>
  <c r="F25" i="159"/>
  <c r="F24" i="159"/>
  <c r="F23" i="159"/>
  <c r="F22" i="159"/>
  <c r="F21" i="159"/>
  <c r="G19" i="67"/>
  <c r="F20" i="159"/>
  <c r="F19" i="159"/>
  <c r="C27" i="159"/>
  <c r="F15" i="159"/>
  <c r="F14" i="159"/>
  <c r="F13" i="159"/>
  <c r="F12" i="159"/>
  <c r="A12" i="159"/>
  <c r="A13" i="159" s="1"/>
  <c r="A14" i="159" s="1"/>
  <c r="A15" i="159" s="1"/>
  <c r="A16" i="159" s="1"/>
  <c r="E16" i="159"/>
  <c r="F11" i="159"/>
  <c r="C16" i="159"/>
  <c r="A18" i="159" l="1"/>
  <c r="A19" i="159" s="1"/>
  <c r="A20" i="159" s="1"/>
  <c r="A21" i="159" s="1"/>
  <c r="A22" i="159" s="1"/>
  <c r="A23" i="159" s="1"/>
  <c r="A24" i="159" s="1"/>
  <c r="A25" i="159" s="1"/>
  <c r="A26" i="159" s="1"/>
  <c r="A27" i="159" s="1"/>
  <c r="F19" i="67"/>
  <c r="J19" i="67" s="1"/>
  <c r="E34" i="159"/>
  <c r="C34" i="159"/>
  <c r="F10" i="141"/>
  <c r="C41" i="159"/>
  <c r="E41" i="159"/>
  <c r="C45" i="159"/>
  <c r="F16" i="159"/>
  <c r="F27" i="159"/>
  <c r="F49" i="159"/>
  <c r="F57" i="159" s="1"/>
  <c r="D27" i="159"/>
  <c r="F39" i="159"/>
  <c r="F41" i="159" s="1"/>
  <c r="D16" i="159"/>
  <c r="A29" i="159" l="1"/>
  <c r="A30" i="159" s="1"/>
  <c r="A31" i="159" s="1"/>
  <c r="A32" i="159" s="1"/>
  <c r="A33" i="159" s="1"/>
  <c r="A34" i="159" s="1"/>
  <c r="F15" i="141"/>
  <c r="H10" i="141"/>
  <c r="H15" i="141" s="1"/>
  <c r="D34" i="159"/>
  <c r="D45" i="159" s="1"/>
  <c r="E45" i="159"/>
  <c r="F34" i="159"/>
  <c r="A36" i="159" l="1"/>
  <c r="A37" i="159" s="1"/>
  <c r="A38" i="159" s="1"/>
  <c r="A39" i="159" s="1"/>
  <c r="A40" i="159" s="1"/>
  <c r="A41" i="159" s="1"/>
  <c r="F43" i="159"/>
  <c r="F45" i="159" s="1"/>
  <c r="A43" i="159" l="1"/>
  <c r="A44" i="159" s="1"/>
  <c r="A45" i="159" s="1"/>
  <c r="H13" i="168"/>
  <c r="A47" i="159" l="1"/>
  <c r="A48" i="159" s="1"/>
  <c r="A49" i="159" s="1"/>
  <c r="A50" i="159" s="1"/>
  <c r="A51" i="159" s="1"/>
  <c r="A52" i="159" s="1"/>
  <c r="A53" i="159" s="1"/>
  <c r="A54" i="159" s="1"/>
  <c r="A55" i="159" s="1"/>
  <c r="A56" i="159" s="1"/>
  <c r="A57" i="159" s="1"/>
  <c r="I51" i="67"/>
  <c r="H15" i="168"/>
  <c r="H51" i="67"/>
  <c r="E16" i="169"/>
  <c r="E20" i="169" s="1"/>
  <c r="E24" i="169" s="1"/>
  <c r="G23" i="67" l="1"/>
  <c r="J23" i="67" s="1"/>
  <c r="J53" i="67"/>
  <c r="E15" i="167"/>
  <c r="H53" i="67" s="1"/>
  <c r="J52" i="67"/>
  <c r="J27" i="160"/>
  <c r="J35" i="160" s="1"/>
  <c r="H27" i="160"/>
  <c r="H35" i="160" s="1"/>
  <c r="L35" i="160" s="1"/>
  <c r="G22" i="158"/>
  <c r="F7" i="67" s="1"/>
  <c r="J7" i="67" s="1"/>
  <c r="A15" i="158"/>
  <c r="A18" i="158" s="1"/>
  <c r="A20" i="158" s="1"/>
  <c r="A22" i="158" s="1"/>
  <c r="L12" i="107"/>
  <c r="G46" i="67" s="1"/>
  <c r="F10" i="107"/>
  <c r="H52" i="67" l="1"/>
  <c r="A23" i="67" l="1"/>
  <c r="G28" i="153"/>
  <c r="F28" i="153"/>
  <c r="E28" i="153"/>
  <c r="D28" i="153"/>
  <c r="H27" i="153"/>
  <c r="H26" i="153"/>
  <c r="G24" i="153"/>
  <c r="F24" i="153"/>
  <c r="E24" i="153"/>
  <c r="D24" i="153"/>
  <c r="H23" i="153"/>
  <c r="K23" i="153" s="1"/>
  <c r="H22" i="153"/>
  <c r="K22" i="153" s="1"/>
  <c r="H21" i="153"/>
  <c r="K21" i="153" s="1"/>
  <c r="H20" i="153"/>
  <c r="K20" i="153" s="1"/>
  <c r="H19" i="153"/>
  <c r="K19" i="153" s="1"/>
  <c r="H18" i="153"/>
  <c r="K18" i="153" s="1"/>
  <c r="H17" i="153"/>
  <c r="K17" i="153" s="1"/>
  <c r="H16" i="153"/>
  <c r="K16" i="153" s="1"/>
  <c r="H15" i="153"/>
  <c r="K15" i="153" s="1"/>
  <c r="H14" i="153"/>
  <c r="K14" i="153" s="1"/>
  <c r="H13" i="153"/>
  <c r="K13" i="153" s="1"/>
  <c r="H12" i="153"/>
  <c r="K12" i="153" s="1"/>
  <c r="H11" i="153"/>
  <c r="K11" i="153" s="1"/>
  <c r="H10" i="153"/>
  <c r="K10" i="153" s="1"/>
  <c r="A10" i="153"/>
  <c r="A11" i="153" s="1"/>
  <c r="A12" i="153" s="1"/>
  <c r="A13" i="153" s="1"/>
  <c r="A14" i="153" s="1"/>
  <c r="A15" i="153" s="1"/>
  <c r="A16" i="153" s="1"/>
  <c r="A17" i="153" s="1"/>
  <c r="A18" i="153" s="1"/>
  <c r="A19" i="153" s="1"/>
  <c r="A20" i="153" s="1"/>
  <c r="A21" i="153" s="1"/>
  <c r="A22" i="153" s="1"/>
  <c r="A23" i="153" s="1"/>
  <c r="A24" i="153" s="1"/>
  <c r="A27" i="153" s="1"/>
  <c r="A28" i="153" s="1"/>
  <c r="F104" i="152"/>
  <c r="E104" i="152"/>
  <c r="D104" i="152"/>
  <c r="G103" i="152"/>
  <c r="M103" i="152" s="1"/>
  <c r="G102" i="152"/>
  <c r="M102" i="152" s="1"/>
  <c r="G101" i="152"/>
  <c r="J101" i="152" s="1"/>
  <c r="G100" i="152"/>
  <c r="G99" i="152"/>
  <c r="M99" i="152" s="1"/>
  <c r="G98" i="152"/>
  <c r="M98" i="152" s="1"/>
  <c r="G97" i="152"/>
  <c r="J97" i="152" s="1"/>
  <c r="G96" i="152"/>
  <c r="G95" i="152"/>
  <c r="M95" i="152" s="1"/>
  <c r="G94" i="152"/>
  <c r="M94" i="152" s="1"/>
  <c r="G93" i="152"/>
  <c r="J93" i="152" s="1"/>
  <c r="G92" i="152"/>
  <c r="G91" i="152"/>
  <c r="M91" i="152" s="1"/>
  <c r="G90" i="152"/>
  <c r="M90" i="152" s="1"/>
  <c r="G89" i="152"/>
  <c r="J89" i="152" s="1"/>
  <c r="G88" i="152"/>
  <c r="G87" i="152"/>
  <c r="J87" i="152" s="1"/>
  <c r="G86" i="152"/>
  <c r="M86" i="152" s="1"/>
  <c r="G85" i="152"/>
  <c r="M85" i="152" s="1"/>
  <c r="F82" i="152"/>
  <c r="E82" i="152"/>
  <c r="D82" i="152"/>
  <c r="G81" i="152"/>
  <c r="G80" i="152"/>
  <c r="J80" i="152" s="1"/>
  <c r="G79" i="152"/>
  <c r="M79" i="152" s="1"/>
  <c r="G78" i="152"/>
  <c r="M78" i="152" s="1"/>
  <c r="G77" i="152"/>
  <c r="G76" i="152"/>
  <c r="J76" i="152" s="1"/>
  <c r="G75" i="152"/>
  <c r="M75" i="152" s="1"/>
  <c r="G74" i="152"/>
  <c r="J74" i="152" s="1"/>
  <c r="G73" i="152"/>
  <c r="G72" i="152"/>
  <c r="J72" i="152" s="1"/>
  <c r="G71" i="152"/>
  <c r="M71" i="152" s="1"/>
  <c r="G70" i="152"/>
  <c r="M70" i="152" s="1"/>
  <c r="G69" i="152"/>
  <c r="G68" i="152"/>
  <c r="J68" i="152" s="1"/>
  <c r="G67" i="152"/>
  <c r="M67" i="152" s="1"/>
  <c r="G66" i="152"/>
  <c r="J66" i="152" s="1"/>
  <c r="G65" i="152"/>
  <c r="F62" i="152"/>
  <c r="E62" i="152"/>
  <c r="D62" i="152"/>
  <c r="G61" i="152"/>
  <c r="M61" i="152" s="1"/>
  <c r="G60" i="152"/>
  <c r="J60" i="152" s="1"/>
  <c r="G59" i="152"/>
  <c r="M59" i="152" s="1"/>
  <c r="G58" i="152"/>
  <c r="J58" i="152" s="1"/>
  <c r="G57" i="152"/>
  <c r="M57" i="152" s="1"/>
  <c r="G56" i="152"/>
  <c r="J56" i="152" s="1"/>
  <c r="G55" i="152"/>
  <c r="M55" i="152" s="1"/>
  <c r="G54" i="152"/>
  <c r="M54" i="152" s="1"/>
  <c r="G53" i="152"/>
  <c r="M53" i="152" s="1"/>
  <c r="G52" i="152"/>
  <c r="J52" i="152" s="1"/>
  <c r="G51" i="152"/>
  <c r="M51" i="152" s="1"/>
  <c r="G50" i="152"/>
  <c r="M50" i="152" s="1"/>
  <c r="G49" i="152"/>
  <c r="M49" i="152" s="1"/>
  <c r="G48" i="152"/>
  <c r="J48" i="152" s="1"/>
  <c r="G47" i="152"/>
  <c r="M47" i="152" s="1"/>
  <c r="E42" i="152"/>
  <c r="D42" i="152"/>
  <c r="F41" i="152"/>
  <c r="G41" i="152" s="1"/>
  <c r="M41" i="152" s="1"/>
  <c r="O41" i="152" s="1"/>
  <c r="S41" i="152" s="1"/>
  <c r="G40" i="152"/>
  <c r="M40" i="152" s="1"/>
  <c r="G39" i="152"/>
  <c r="G38" i="152"/>
  <c r="J38" i="152" s="1"/>
  <c r="G37" i="152"/>
  <c r="M37" i="152" s="1"/>
  <c r="G36" i="152"/>
  <c r="J36" i="152" s="1"/>
  <c r="G35" i="152"/>
  <c r="G34" i="152"/>
  <c r="M34" i="152" s="1"/>
  <c r="G33" i="152"/>
  <c r="M33" i="152" s="1"/>
  <c r="G32" i="152"/>
  <c r="J32" i="152" s="1"/>
  <c r="E29" i="152"/>
  <c r="D29" i="152"/>
  <c r="F28" i="152"/>
  <c r="F29" i="152" s="1"/>
  <c r="G27" i="152"/>
  <c r="J27" i="152" s="1"/>
  <c r="G26" i="152"/>
  <c r="G25" i="152"/>
  <c r="M25" i="152" s="1"/>
  <c r="G24" i="152"/>
  <c r="M24" i="152" s="1"/>
  <c r="G23" i="152"/>
  <c r="J23" i="152" s="1"/>
  <c r="G22" i="152"/>
  <c r="G21" i="152"/>
  <c r="J21" i="152" s="1"/>
  <c r="G20" i="152"/>
  <c r="M20" i="152" s="1"/>
  <c r="G19" i="152"/>
  <c r="J19" i="152" s="1"/>
  <c r="F12" i="152"/>
  <c r="F13" i="152" s="1"/>
  <c r="E12" i="152"/>
  <c r="E13" i="152" s="1"/>
  <c r="D12" i="152"/>
  <c r="D13" i="152" s="1"/>
  <c r="G11" i="152"/>
  <c r="J11" i="152" s="1"/>
  <c r="G10" i="152"/>
  <c r="M10" i="152" s="1"/>
  <c r="G9" i="152"/>
  <c r="G8" i="152"/>
  <c r="M8" i="152" s="1"/>
  <c r="A8" i="152"/>
  <c r="A9" i="152" s="1"/>
  <c r="A10" i="152" s="1"/>
  <c r="A11" i="152" s="1"/>
  <c r="A12" i="152" s="1"/>
  <c r="A13" i="152" s="1"/>
  <c r="A19" i="152" l="1"/>
  <c r="A20" i="152" s="1"/>
  <c r="A21" i="152" s="1"/>
  <c r="A22" i="152" s="1"/>
  <c r="A23" i="152" s="1"/>
  <c r="A24" i="152" s="1"/>
  <c r="A25" i="152" s="1"/>
  <c r="A26" i="152" s="1"/>
  <c r="A27" i="152" s="1"/>
  <c r="A28" i="152" s="1"/>
  <c r="K24" i="153"/>
  <c r="K34" i="153" s="1"/>
  <c r="G50" i="67" s="1"/>
  <c r="J50" i="67" s="1"/>
  <c r="G30" i="153"/>
  <c r="H28" i="153"/>
  <c r="D44" i="152"/>
  <c r="D106" i="152" s="1"/>
  <c r="D30" i="153"/>
  <c r="F30" i="153"/>
  <c r="H24" i="153"/>
  <c r="E30" i="153"/>
  <c r="M93" i="152"/>
  <c r="O93" i="152" s="1"/>
  <c r="S93" i="152" s="1"/>
  <c r="J91" i="152"/>
  <c r="O91" i="152" s="1"/>
  <c r="S91" i="152" s="1"/>
  <c r="M23" i="152"/>
  <c r="O23" i="152" s="1"/>
  <c r="S23" i="152" s="1"/>
  <c r="J95" i="152"/>
  <c r="O95" i="152" s="1"/>
  <c r="S95" i="152" s="1"/>
  <c r="M72" i="152"/>
  <c r="O72" i="152" s="1"/>
  <c r="S72" i="152" s="1"/>
  <c r="M68" i="152"/>
  <c r="O68" i="152" s="1"/>
  <c r="S68" i="152" s="1"/>
  <c r="M101" i="152"/>
  <c r="O101" i="152" s="1"/>
  <c r="S101" i="152" s="1"/>
  <c r="M36" i="152"/>
  <c r="O36" i="152" s="1"/>
  <c r="S36" i="152" s="1"/>
  <c r="M11" i="152"/>
  <c r="O11" i="152" s="1"/>
  <c r="S11" i="152" s="1"/>
  <c r="M97" i="152"/>
  <c r="O97" i="152" s="1"/>
  <c r="S97" i="152" s="1"/>
  <c r="M58" i="152"/>
  <c r="O58" i="152" s="1"/>
  <c r="S58" i="152" s="1"/>
  <c r="E44" i="152"/>
  <c r="E106" i="152" s="1"/>
  <c r="J59" i="152"/>
  <c r="O59" i="152" s="1"/>
  <c r="S59" i="152" s="1"/>
  <c r="J24" i="152"/>
  <c r="O24" i="152" s="1"/>
  <c r="S24" i="152" s="1"/>
  <c r="M80" i="152"/>
  <c r="O80" i="152" s="1"/>
  <c r="S80" i="152" s="1"/>
  <c r="M87" i="152"/>
  <c r="O87" i="152" s="1"/>
  <c r="S87" i="152" s="1"/>
  <c r="M19" i="152"/>
  <c r="O19" i="152" s="1"/>
  <c r="S19" i="152" s="1"/>
  <c r="M32" i="152"/>
  <c r="O32" i="152" s="1"/>
  <c r="S32" i="152" s="1"/>
  <c r="J40" i="152"/>
  <c r="O40" i="152" s="1"/>
  <c r="S40" i="152" s="1"/>
  <c r="M76" i="152"/>
  <c r="O76" i="152" s="1"/>
  <c r="S76" i="152" s="1"/>
  <c r="M27" i="152"/>
  <c r="O27" i="152" s="1"/>
  <c r="S27" i="152" s="1"/>
  <c r="J51" i="152"/>
  <c r="O51" i="152" s="1"/>
  <c r="S51" i="152" s="1"/>
  <c r="J90" i="152"/>
  <c r="O90" i="152" s="1"/>
  <c r="S90" i="152" s="1"/>
  <c r="J34" i="152"/>
  <c r="O34" i="152" s="1"/>
  <c r="S34" i="152" s="1"/>
  <c r="J99" i="152"/>
  <c r="O99" i="152" s="1"/>
  <c r="S99" i="152" s="1"/>
  <c r="J98" i="152"/>
  <c r="O98" i="152" s="1"/>
  <c r="S98" i="152" s="1"/>
  <c r="J70" i="152"/>
  <c r="O70" i="152" s="1"/>
  <c r="S70" i="152" s="1"/>
  <c r="J78" i="152"/>
  <c r="O78" i="152" s="1"/>
  <c r="S78" i="152" s="1"/>
  <c r="J103" i="152"/>
  <c r="O103" i="152" s="1"/>
  <c r="S103" i="152" s="1"/>
  <c r="J10" i="152"/>
  <c r="O10" i="152" s="1"/>
  <c r="S10" i="152" s="1"/>
  <c r="M21" i="152"/>
  <c r="O21" i="152" s="1"/>
  <c r="S21" i="152" s="1"/>
  <c r="J25" i="152"/>
  <c r="O25" i="152" s="1"/>
  <c r="S25" i="152" s="1"/>
  <c r="M38" i="152"/>
  <c r="O38" i="152" s="1"/>
  <c r="S38" i="152" s="1"/>
  <c r="M60" i="152"/>
  <c r="O60" i="152" s="1"/>
  <c r="S60" i="152" s="1"/>
  <c r="M66" i="152"/>
  <c r="O66" i="152" s="1"/>
  <c r="S66" i="152" s="1"/>
  <c r="M74" i="152"/>
  <c r="O74" i="152" s="1"/>
  <c r="S74" i="152" s="1"/>
  <c r="J50" i="152"/>
  <c r="O50" i="152" s="1"/>
  <c r="S50" i="152" s="1"/>
  <c r="J54" i="152"/>
  <c r="O54" i="152" s="1"/>
  <c r="S54" i="152" s="1"/>
  <c r="M89" i="152"/>
  <c r="O89" i="152" s="1"/>
  <c r="S89" i="152" s="1"/>
  <c r="F42" i="152"/>
  <c r="F44" i="152" s="1"/>
  <c r="F106" i="152" s="1"/>
  <c r="J49" i="152"/>
  <c r="O49" i="152" s="1"/>
  <c r="S49" i="152" s="1"/>
  <c r="M56" i="152"/>
  <c r="O56" i="152" s="1"/>
  <c r="S56" i="152" s="1"/>
  <c r="G28" i="152"/>
  <c r="G29" i="152" s="1"/>
  <c r="J33" i="152"/>
  <c r="M35" i="152"/>
  <c r="J35" i="152"/>
  <c r="G42" i="152"/>
  <c r="M48" i="152"/>
  <c r="O48" i="152" s="1"/>
  <c r="S48" i="152" s="1"/>
  <c r="M92" i="152"/>
  <c r="J92" i="152"/>
  <c r="M100" i="152"/>
  <c r="J100" i="152"/>
  <c r="J37" i="152"/>
  <c r="O37" i="152" s="1"/>
  <c r="S37" i="152" s="1"/>
  <c r="M39" i="152"/>
  <c r="J39" i="152"/>
  <c r="M52" i="152"/>
  <c r="O52" i="152" s="1"/>
  <c r="S52" i="152" s="1"/>
  <c r="M73" i="152"/>
  <c r="J73" i="152"/>
  <c r="J8" i="152"/>
  <c r="M26" i="152"/>
  <c r="J26" i="152"/>
  <c r="G12" i="152"/>
  <c r="G13" i="152" s="1"/>
  <c r="J9" i="152"/>
  <c r="G62" i="152"/>
  <c r="M81" i="152"/>
  <c r="J81" i="152"/>
  <c r="G104" i="152"/>
  <c r="M9" i="152"/>
  <c r="J47" i="152"/>
  <c r="J53" i="152"/>
  <c r="O53" i="152" s="1"/>
  <c r="S53" i="152" s="1"/>
  <c r="M69" i="152"/>
  <c r="J69" i="152"/>
  <c r="M88" i="152"/>
  <c r="J88" i="152"/>
  <c r="M96" i="152"/>
  <c r="J96" i="152"/>
  <c r="J57" i="152"/>
  <c r="O57" i="152" s="1"/>
  <c r="S57" i="152" s="1"/>
  <c r="J61" i="152"/>
  <c r="O61" i="152" s="1"/>
  <c r="S61" i="152" s="1"/>
  <c r="M65" i="152"/>
  <c r="G82" i="152"/>
  <c r="J65" i="152"/>
  <c r="J20" i="152"/>
  <c r="O20" i="152" s="1"/>
  <c r="S20" i="152" s="1"/>
  <c r="M22" i="152"/>
  <c r="J22" i="152"/>
  <c r="J55" i="152"/>
  <c r="O55" i="152" s="1"/>
  <c r="S55" i="152" s="1"/>
  <c r="M77" i="152"/>
  <c r="J77" i="152"/>
  <c r="J86" i="152"/>
  <c r="O86" i="152" s="1"/>
  <c r="S86" i="152" s="1"/>
  <c r="J94" i="152"/>
  <c r="O94" i="152" s="1"/>
  <c r="S94" i="152" s="1"/>
  <c r="J102" i="152"/>
  <c r="O102" i="152" s="1"/>
  <c r="S102" i="152" s="1"/>
  <c r="J85" i="152"/>
  <c r="J67" i="152"/>
  <c r="O67" i="152" s="1"/>
  <c r="S67" i="152" s="1"/>
  <c r="J71" i="152"/>
  <c r="O71" i="152" s="1"/>
  <c r="S71" i="152" s="1"/>
  <c r="J75" i="152"/>
  <c r="O75" i="152" s="1"/>
  <c r="S75" i="152" s="1"/>
  <c r="J79" i="152"/>
  <c r="O79" i="152" s="1"/>
  <c r="S79" i="152" s="1"/>
  <c r="A33" i="152" l="1"/>
  <c r="A34" i="152" s="1"/>
  <c r="A35" i="152" s="1"/>
  <c r="A36" i="152" s="1"/>
  <c r="A37" i="152" s="1"/>
  <c r="A38" i="152" s="1"/>
  <c r="A39" i="152" s="1"/>
  <c r="A40" i="152" s="1"/>
  <c r="A41" i="152" s="1"/>
  <c r="A48" i="152" s="1"/>
  <c r="A49" i="152" s="1"/>
  <c r="A50" i="152" s="1"/>
  <c r="A51" i="152" s="1"/>
  <c r="A52" i="152" s="1"/>
  <c r="A53" i="152" s="1"/>
  <c r="A54" i="152" s="1"/>
  <c r="A55" i="152" s="1"/>
  <c r="A56" i="152" s="1"/>
  <c r="A57" i="152" s="1"/>
  <c r="A58" i="152" s="1"/>
  <c r="A59" i="152" s="1"/>
  <c r="A60" i="152" s="1"/>
  <c r="A61" i="152" s="1"/>
  <c r="A62" i="152" s="1"/>
  <c r="A66" i="152" s="1"/>
  <c r="A67" i="152" s="1"/>
  <c r="A68" i="152" s="1"/>
  <c r="A69" i="152" s="1"/>
  <c r="A70" i="152" s="1"/>
  <c r="A71" i="152" s="1"/>
  <c r="A72" i="152" s="1"/>
  <c r="A73" i="152" s="1"/>
  <c r="A74" i="152" s="1"/>
  <c r="A75" i="152" s="1"/>
  <c r="A76" i="152" s="1"/>
  <c r="A77" i="152" s="1"/>
  <c r="A78" i="152" s="1"/>
  <c r="A79" i="152" s="1"/>
  <c r="A80" i="152" s="1"/>
  <c r="A81" i="152" s="1"/>
  <c r="A82" i="152" s="1"/>
  <c r="A86" i="152" s="1"/>
  <c r="A87" i="152" s="1"/>
  <c r="A88" i="152" s="1"/>
  <c r="A89" i="152" s="1"/>
  <c r="A90" i="152" s="1"/>
  <c r="A91" i="152" s="1"/>
  <c r="A92" i="152" s="1"/>
  <c r="A93" i="152" s="1"/>
  <c r="A94" i="152" s="1"/>
  <c r="A95" i="152" s="1"/>
  <c r="A96" i="152" s="1"/>
  <c r="A97" i="152" s="1"/>
  <c r="A98" i="152" s="1"/>
  <c r="A99" i="152" s="1"/>
  <c r="A100" i="152" s="1"/>
  <c r="A101" i="152" s="1"/>
  <c r="A102" i="152" s="1"/>
  <c r="A103" i="152" s="1"/>
  <c r="A104" i="152" s="1"/>
  <c r="A29" i="152"/>
  <c r="H30" i="153"/>
  <c r="H32" i="153" s="1"/>
  <c r="H50" i="67" s="1"/>
  <c r="J104" i="152"/>
  <c r="J12" i="152"/>
  <c r="J13" i="152" s="1"/>
  <c r="M42" i="152"/>
  <c r="O100" i="152"/>
  <c r="S100" i="152" s="1"/>
  <c r="J42" i="152"/>
  <c r="O81" i="152"/>
  <c r="S81" i="152" s="1"/>
  <c r="O96" i="152"/>
  <c r="S96" i="152" s="1"/>
  <c r="J82" i="152"/>
  <c r="O77" i="152"/>
  <c r="S77" i="152" s="1"/>
  <c r="J62" i="152"/>
  <c r="M62" i="152"/>
  <c r="O26" i="152"/>
  <c r="S26" i="152" s="1"/>
  <c r="O33" i="152"/>
  <c r="M82" i="152"/>
  <c r="O65" i="152"/>
  <c r="O88" i="152"/>
  <c r="S88" i="152" s="1"/>
  <c r="M104" i="152"/>
  <c r="O47" i="152"/>
  <c r="O8" i="152"/>
  <c r="O73" i="152"/>
  <c r="S73" i="152" s="1"/>
  <c r="G44" i="152"/>
  <c r="G106" i="152" s="1"/>
  <c r="O85" i="152"/>
  <c r="O9" i="152"/>
  <c r="M12" i="152"/>
  <c r="M13" i="152" s="1"/>
  <c r="O35" i="152"/>
  <c r="S35" i="152" s="1"/>
  <c r="O22" i="152"/>
  <c r="O69" i="152"/>
  <c r="S69" i="152" s="1"/>
  <c r="O39" i="152"/>
  <c r="S39" i="152" s="1"/>
  <c r="O92" i="152"/>
  <c r="S92" i="152" s="1"/>
  <c r="J28" i="152"/>
  <c r="J29" i="152" s="1"/>
  <c r="M28" i="152"/>
  <c r="M29" i="152" s="1"/>
  <c r="M44" i="152" l="1"/>
  <c r="M106" i="152" s="1"/>
  <c r="J44" i="152"/>
  <c r="J106" i="152" s="1"/>
  <c r="S22" i="152"/>
  <c r="S33" i="152"/>
  <c r="S42" i="152" s="1"/>
  <c r="O42" i="152"/>
  <c r="O28" i="152"/>
  <c r="S28" i="152" s="1"/>
  <c r="S8" i="152"/>
  <c r="O62" i="152"/>
  <c r="S47" i="152"/>
  <c r="S62" i="152" s="1"/>
  <c r="S9" i="152"/>
  <c r="S12" i="152" s="1"/>
  <c r="O12" i="152"/>
  <c r="O13" i="152" s="1"/>
  <c r="S85" i="152"/>
  <c r="S104" i="152" s="1"/>
  <c r="O104" i="152"/>
  <c r="O82" i="152"/>
  <c r="S65" i="152"/>
  <c r="S82" i="152" s="1"/>
  <c r="S13" i="152" l="1"/>
  <c r="O29" i="152"/>
  <c r="O44" i="152" s="1"/>
  <c r="O106" i="152" s="1"/>
  <c r="S29" i="152"/>
  <c r="S44" i="152" s="1"/>
  <c r="S108" i="152" l="1"/>
  <c r="G49" i="67" l="1"/>
  <c r="J49" i="67" s="1"/>
  <c r="O119" i="132"/>
  <c r="N105" i="132"/>
  <c r="Q105" i="132" s="1"/>
  <c r="G105" i="132"/>
  <c r="P102" i="132"/>
  <c r="N96" i="132"/>
  <c r="Q96" i="132" s="1"/>
  <c r="N97" i="132"/>
  <c r="Q97" i="132" s="1"/>
  <c r="N98" i="132"/>
  <c r="Q98" i="132" s="1"/>
  <c r="N99" i="132"/>
  <c r="Q99" i="132" s="1"/>
  <c r="N100" i="132"/>
  <c r="Q100" i="132" s="1"/>
  <c r="N101" i="132"/>
  <c r="Q101" i="132" s="1"/>
  <c r="N102" i="132"/>
  <c r="G96" i="132"/>
  <c r="J96" i="132" s="1"/>
  <c r="G97" i="132"/>
  <c r="J97" i="132" s="1"/>
  <c r="G98" i="132"/>
  <c r="J98" i="132" s="1"/>
  <c r="G99" i="132"/>
  <c r="J99" i="132" s="1"/>
  <c r="G100" i="132"/>
  <c r="J100" i="132" s="1"/>
  <c r="G101" i="132"/>
  <c r="J101" i="132" s="1"/>
  <c r="G102" i="132"/>
  <c r="G103" i="132"/>
  <c r="N76" i="132"/>
  <c r="Q76" i="132" s="1"/>
  <c r="N77" i="132"/>
  <c r="Q77" i="132" s="1"/>
  <c r="N78" i="132"/>
  <c r="Q78" i="132" s="1"/>
  <c r="N79" i="132"/>
  <c r="Q79" i="132" s="1"/>
  <c r="N80" i="132"/>
  <c r="Q80" i="132" s="1"/>
  <c r="G76" i="132"/>
  <c r="J76" i="132" s="1"/>
  <c r="G77" i="132"/>
  <c r="J77" i="132" s="1"/>
  <c r="G78" i="132"/>
  <c r="J78" i="132" s="1"/>
  <c r="G79" i="132"/>
  <c r="J79" i="132" s="1"/>
  <c r="G80" i="132"/>
  <c r="J80" i="132" s="1"/>
  <c r="G81" i="132"/>
  <c r="N61" i="132"/>
  <c r="Q61" i="132" s="1"/>
  <c r="N62" i="132"/>
  <c r="Q62" i="132" s="1"/>
  <c r="N63" i="132"/>
  <c r="G61" i="132"/>
  <c r="J61" i="132" s="1"/>
  <c r="G62" i="132"/>
  <c r="J62" i="132" s="1"/>
  <c r="G63" i="132"/>
  <c r="J63" i="132" s="1"/>
  <c r="N41" i="132"/>
  <c r="Q41" i="132" s="1"/>
  <c r="N42" i="132"/>
  <c r="Q42" i="132" s="1"/>
  <c r="N43" i="132"/>
  <c r="P43" i="132" s="1"/>
  <c r="G41" i="132"/>
  <c r="J41" i="132" s="1"/>
  <c r="G42" i="132"/>
  <c r="J42" i="132" s="1"/>
  <c r="F43" i="132"/>
  <c r="G43" i="132" s="1"/>
  <c r="J43" i="132" s="1"/>
  <c r="N28" i="132"/>
  <c r="Q28" i="132" s="1"/>
  <c r="N29" i="132"/>
  <c r="Q29" i="132" s="1"/>
  <c r="M30" i="132"/>
  <c r="N30" i="132" s="1"/>
  <c r="Q30" i="132" s="1"/>
  <c r="G28" i="132"/>
  <c r="J28" i="132" s="1"/>
  <c r="G29" i="132"/>
  <c r="J29" i="132" s="1"/>
  <c r="F30" i="132"/>
  <c r="G30" i="132" s="1"/>
  <c r="J30" i="132" s="1"/>
  <c r="Q102" i="132" l="1"/>
  <c r="S100" i="132"/>
  <c r="V100" i="132" s="1"/>
  <c r="S101" i="132"/>
  <c r="V101" i="132" s="1"/>
  <c r="S99" i="132"/>
  <c r="V99" i="132" s="1"/>
  <c r="S97" i="132"/>
  <c r="V97" i="132" s="1"/>
  <c r="S98" i="132"/>
  <c r="V98" i="132" s="1"/>
  <c r="S96" i="132"/>
  <c r="V96" i="132" s="1"/>
  <c r="S77" i="132"/>
  <c r="V77" i="132" s="1"/>
  <c r="S80" i="132"/>
  <c r="V80" i="132" s="1"/>
  <c r="S78" i="132"/>
  <c r="V78" i="132" s="1"/>
  <c r="S76" i="132"/>
  <c r="V76" i="132" s="1"/>
  <c r="S79" i="132"/>
  <c r="V79" i="132" s="1"/>
  <c r="S62" i="132"/>
  <c r="V62" i="132" s="1"/>
  <c r="S61" i="132"/>
  <c r="V61" i="132" s="1"/>
  <c r="S42" i="132"/>
  <c r="V42" i="132" s="1"/>
  <c r="S41" i="132"/>
  <c r="V41" i="132" s="1"/>
  <c r="S30" i="132"/>
  <c r="V30" i="132" s="1"/>
  <c r="Q43" i="132"/>
  <c r="S43" i="132" s="1"/>
  <c r="V43" i="132" s="1"/>
  <c r="S28" i="132"/>
  <c r="V28" i="132" s="1"/>
  <c r="S29" i="132"/>
  <c r="V29" i="132" s="1"/>
  <c r="F42" i="136" l="1"/>
  <c r="G42" i="136" s="1"/>
  <c r="F41" i="136"/>
  <c r="G41" i="136" s="1"/>
  <c r="J41" i="136" s="1"/>
  <c r="F40" i="136"/>
  <c r="G40" i="136" s="1"/>
  <c r="F39" i="136"/>
  <c r="G39" i="136" s="1"/>
  <c r="F38" i="136"/>
  <c r="G38" i="136" s="1"/>
  <c r="F37" i="136"/>
  <c r="G37" i="136" s="1"/>
  <c r="F36" i="136"/>
  <c r="G36" i="136" s="1"/>
  <c r="F35" i="136"/>
  <c r="G35" i="136" s="1"/>
  <c r="F34" i="136"/>
  <c r="G34" i="136" s="1"/>
  <c r="F33" i="136"/>
  <c r="G33" i="136" s="1"/>
  <c r="F32" i="136"/>
  <c r="G32" i="136" s="1"/>
  <c r="F31" i="136"/>
  <c r="G31" i="136" s="1"/>
  <c r="F30" i="136"/>
  <c r="G30" i="136" s="1"/>
  <c r="F29" i="136"/>
  <c r="G29" i="136" s="1"/>
  <c r="F28" i="136"/>
  <c r="G28" i="136" s="1"/>
  <c r="F27" i="136"/>
  <c r="G27" i="136" s="1"/>
  <c r="F26" i="136"/>
  <c r="G26" i="136" s="1"/>
  <c r="F25" i="136"/>
  <c r="G25" i="136" s="1"/>
  <c r="F24" i="136"/>
  <c r="G24" i="136" s="1"/>
  <c r="F23" i="136"/>
  <c r="G23" i="136" s="1"/>
  <c r="F22" i="136"/>
  <c r="G22" i="136" s="1"/>
  <c r="F21" i="136"/>
  <c r="G21" i="136" s="1"/>
  <c r="F20" i="136"/>
  <c r="G20" i="136" s="1"/>
  <c r="F19" i="136"/>
  <c r="G19" i="136" s="1"/>
  <c r="F18" i="136"/>
  <c r="G18" i="136" s="1"/>
  <c r="F17" i="136"/>
  <c r="G17" i="136" s="1"/>
  <c r="F16" i="136"/>
  <c r="G16" i="136" s="1"/>
  <c r="F15" i="136"/>
  <c r="G15" i="136" s="1"/>
  <c r="F14" i="136"/>
  <c r="G14" i="136" s="1"/>
  <c r="F13" i="136"/>
  <c r="G13" i="136" s="1"/>
  <c r="F12" i="136"/>
  <c r="G12" i="136" s="1"/>
  <c r="F11" i="136"/>
  <c r="G11" i="136" s="1"/>
  <c r="F10" i="136"/>
  <c r="G10" i="136" s="1"/>
  <c r="F9" i="136"/>
  <c r="G9" i="136" s="1"/>
  <c r="F8" i="136"/>
  <c r="G8" i="136" s="1"/>
  <c r="F7" i="136"/>
  <c r="F21" i="71"/>
  <c r="L8" i="150"/>
  <c r="L10" i="150" s="1"/>
  <c r="G48" i="67" s="1"/>
  <c r="J56" i="67"/>
  <c r="F10" i="149"/>
  <c r="L8" i="149"/>
  <c r="L10" i="149" s="1"/>
  <c r="J10" i="100"/>
  <c r="J11" i="100"/>
  <c r="J12" i="100"/>
  <c r="J13" i="100"/>
  <c r="J9" i="100"/>
  <c r="E12" i="114"/>
  <c r="E13" i="114"/>
  <c r="E14" i="114"/>
  <c r="E15" i="114"/>
  <c r="E16" i="114"/>
  <c r="E17" i="114"/>
  <c r="E18" i="114"/>
  <c r="E19" i="114"/>
  <c r="E20" i="114"/>
  <c r="E21" i="114"/>
  <c r="E11" i="114"/>
  <c r="J16" i="100" l="1"/>
  <c r="G47" i="67"/>
  <c r="J47" i="67" s="1"/>
  <c r="D35" i="72" l="1"/>
  <c r="L11" i="91" l="1"/>
  <c r="L12" i="91"/>
  <c r="F13" i="91"/>
  <c r="L13" i="91" l="1"/>
  <c r="G30" i="67" s="1"/>
  <c r="J30" i="67" s="1"/>
  <c r="I12" i="87"/>
  <c r="I13" i="87"/>
  <c r="I14" i="87"/>
  <c r="I15" i="87"/>
  <c r="I16" i="87"/>
  <c r="I17" i="87"/>
  <c r="I18" i="87"/>
  <c r="I19" i="87"/>
  <c r="I20" i="87"/>
  <c r="I11" i="87"/>
  <c r="H57" i="67" l="1"/>
  <c r="K54" i="67"/>
  <c r="G13" i="144" l="1"/>
  <c r="G17" i="144" s="1"/>
  <c r="G51" i="67" s="1"/>
  <c r="G17" i="67" l="1"/>
  <c r="F17" i="67"/>
  <c r="F13" i="138" l="1"/>
  <c r="G40" i="67" s="1"/>
  <c r="A13" i="138"/>
  <c r="G39" i="67"/>
  <c r="A13" i="137"/>
  <c r="C44" i="136"/>
  <c r="J42" i="136"/>
  <c r="J40" i="136"/>
  <c r="J39" i="136"/>
  <c r="J38" i="136"/>
  <c r="J37" i="136"/>
  <c r="J36" i="136"/>
  <c r="J35" i="136"/>
  <c r="J34" i="136"/>
  <c r="J33" i="136"/>
  <c r="J32" i="136"/>
  <c r="J31" i="136"/>
  <c r="J30" i="136"/>
  <c r="J29" i="136"/>
  <c r="J28" i="136"/>
  <c r="J27" i="136"/>
  <c r="J26" i="136"/>
  <c r="J25" i="136"/>
  <c r="J24" i="136"/>
  <c r="J23" i="136"/>
  <c r="J22" i="136"/>
  <c r="J21" i="136"/>
  <c r="J20" i="136"/>
  <c r="J19" i="136"/>
  <c r="J18" i="136"/>
  <c r="J17" i="136"/>
  <c r="J16" i="136"/>
  <c r="J15" i="136"/>
  <c r="J14" i="136"/>
  <c r="J13" i="136"/>
  <c r="J12" i="136"/>
  <c r="J11" i="136"/>
  <c r="J10" i="136"/>
  <c r="J9" i="136"/>
  <c r="J8" i="136"/>
  <c r="A8" i="136"/>
  <c r="A9" i="136" s="1"/>
  <c r="A10" i="136" s="1"/>
  <c r="A11" i="136" s="1"/>
  <c r="A12" i="136" s="1"/>
  <c r="A13" i="136" s="1"/>
  <c r="A14" i="136" s="1"/>
  <c r="A15" i="136" s="1"/>
  <c r="A16" i="136" s="1"/>
  <c r="A17" i="136" s="1"/>
  <c r="A18" i="136" s="1"/>
  <c r="A19" i="136" s="1"/>
  <c r="A20" i="136" s="1"/>
  <c r="A21" i="136" s="1"/>
  <c r="A22" i="136" s="1"/>
  <c r="A23" i="136" s="1"/>
  <c r="A24" i="136" s="1"/>
  <c r="A25" i="136" s="1"/>
  <c r="A26" i="136" s="1"/>
  <c r="A27" i="136" s="1"/>
  <c r="A28" i="136" s="1"/>
  <c r="A29" i="136" s="1"/>
  <c r="A30" i="136" s="1"/>
  <c r="A31" i="136" s="1"/>
  <c r="A32" i="136" s="1"/>
  <c r="A33" i="136" s="1"/>
  <c r="A34" i="136" s="1"/>
  <c r="A35" i="136" s="1"/>
  <c r="A36" i="136" s="1"/>
  <c r="A37" i="136" s="1"/>
  <c r="A38" i="136" s="1"/>
  <c r="A39" i="136" s="1"/>
  <c r="A40" i="136" s="1"/>
  <c r="F44" i="136" l="1"/>
  <c r="A41" i="136"/>
  <c r="A42" i="136" s="1"/>
  <c r="G7" i="136"/>
  <c r="G44" i="136" s="1"/>
  <c r="J7" i="136" l="1"/>
  <c r="J44" i="136" s="1"/>
  <c r="G26" i="67" s="1"/>
  <c r="E16" i="135"/>
  <c r="A10" i="135"/>
  <c r="A11" i="135" s="1"/>
  <c r="F10" i="134"/>
  <c r="L8" i="134"/>
  <c r="L10" i="134" s="1"/>
  <c r="H59" i="67" s="1"/>
  <c r="A8" i="134"/>
  <c r="F22" i="133"/>
  <c r="L17" i="133"/>
  <c r="O114" i="132"/>
  <c r="P106" i="132"/>
  <c r="O106" i="132"/>
  <c r="L106" i="132"/>
  <c r="E106" i="132"/>
  <c r="D106" i="132"/>
  <c r="J105" i="132"/>
  <c r="S105" i="132" s="1"/>
  <c r="V105" i="132" s="1"/>
  <c r="M106" i="132"/>
  <c r="F106" i="132"/>
  <c r="D127" i="132" s="1"/>
  <c r="N103" i="132"/>
  <c r="Q103" i="132" s="1"/>
  <c r="J103" i="132"/>
  <c r="J102" i="132"/>
  <c r="S102" i="132" s="1"/>
  <c r="V102" i="132" s="1"/>
  <c r="N95" i="132"/>
  <c r="Q95" i="132" s="1"/>
  <c r="G95" i="132"/>
  <c r="J95" i="132" s="1"/>
  <c r="N94" i="132"/>
  <c r="Q94" i="132" s="1"/>
  <c r="G94" i="132"/>
  <c r="J94" i="132" s="1"/>
  <c r="N93" i="132"/>
  <c r="Q93" i="132" s="1"/>
  <c r="G93" i="132"/>
  <c r="J93" i="132" s="1"/>
  <c r="N92" i="132"/>
  <c r="Q92" i="132" s="1"/>
  <c r="G92" i="132"/>
  <c r="J92" i="132" s="1"/>
  <c r="N91" i="132"/>
  <c r="Q91" i="132" s="1"/>
  <c r="G91" i="132"/>
  <c r="J91" i="132" s="1"/>
  <c r="N90" i="132"/>
  <c r="Q90" i="132" s="1"/>
  <c r="G90" i="132"/>
  <c r="J90" i="132" s="1"/>
  <c r="N89" i="132"/>
  <c r="Q89" i="132" s="1"/>
  <c r="G89" i="132"/>
  <c r="J89" i="132" s="1"/>
  <c r="N88" i="132"/>
  <c r="Q88" i="132" s="1"/>
  <c r="G88" i="132"/>
  <c r="J88" i="132" s="1"/>
  <c r="N87" i="132"/>
  <c r="G87" i="132"/>
  <c r="P84" i="132"/>
  <c r="O84" i="132"/>
  <c r="M84" i="132"/>
  <c r="L84" i="132"/>
  <c r="F84" i="132"/>
  <c r="E84" i="132"/>
  <c r="D84" i="132"/>
  <c r="N83" i="132"/>
  <c r="Q83" i="132" s="1"/>
  <c r="G83" i="132"/>
  <c r="J83" i="132" s="1"/>
  <c r="N82" i="132"/>
  <c r="Q82" i="132" s="1"/>
  <c r="G82" i="132"/>
  <c r="J82" i="132" s="1"/>
  <c r="N81" i="132"/>
  <c r="Q81" i="132" s="1"/>
  <c r="J81" i="132"/>
  <c r="N75" i="132"/>
  <c r="Q75" i="132" s="1"/>
  <c r="G75" i="132"/>
  <c r="J75" i="132" s="1"/>
  <c r="N74" i="132"/>
  <c r="Q74" i="132" s="1"/>
  <c r="G74" i="132"/>
  <c r="J74" i="132" s="1"/>
  <c r="N73" i="132"/>
  <c r="Q73" i="132" s="1"/>
  <c r="G73" i="132"/>
  <c r="J73" i="132" s="1"/>
  <c r="N72" i="132"/>
  <c r="Q72" i="132" s="1"/>
  <c r="G72" i="132"/>
  <c r="J72" i="132" s="1"/>
  <c r="N71" i="132"/>
  <c r="Q71" i="132" s="1"/>
  <c r="G71" i="132"/>
  <c r="J71" i="132" s="1"/>
  <c r="N70" i="132"/>
  <c r="Q70" i="132" s="1"/>
  <c r="G70" i="132"/>
  <c r="J70" i="132" s="1"/>
  <c r="N69" i="132"/>
  <c r="Q69" i="132" s="1"/>
  <c r="G69" i="132"/>
  <c r="J69" i="132" s="1"/>
  <c r="N68" i="132"/>
  <c r="Q68" i="132" s="1"/>
  <c r="G68" i="132"/>
  <c r="J68" i="132" s="1"/>
  <c r="N67" i="132"/>
  <c r="Q67" i="132" s="1"/>
  <c r="G67" i="132"/>
  <c r="P64" i="132"/>
  <c r="O64" i="132"/>
  <c r="M64" i="132"/>
  <c r="L64" i="132"/>
  <c r="F64" i="132"/>
  <c r="E64" i="132"/>
  <c r="D64" i="132"/>
  <c r="Q63" i="132"/>
  <c r="S63" i="132" s="1"/>
  <c r="V63" i="132" s="1"/>
  <c r="N60" i="132"/>
  <c r="Q60" i="132" s="1"/>
  <c r="G60" i="132"/>
  <c r="J60" i="132" s="1"/>
  <c r="N59" i="132"/>
  <c r="Q59" i="132" s="1"/>
  <c r="G59" i="132"/>
  <c r="J59" i="132" s="1"/>
  <c r="N58" i="132"/>
  <c r="Q58" i="132" s="1"/>
  <c r="G58" i="132"/>
  <c r="J58" i="132" s="1"/>
  <c r="N57" i="132"/>
  <c r="Q57" i="132" s="1"/>
  <c r="G57" i="132"/>
  <c r="J57" i="132" s="1"/>
  <c r="N56" i="132"/>
  <c r="Q56" i="132" s="1"/>
  <c r="G56" i="132"/>
  <c r="J56" i="132" s="1"/>
  <c r="N55" i="132"/>
  <c r="Q55" i="132" s="1"/>
  <c r="G55" i="132"/>
  <c r="J55" i="132" s="1"/>
  <c r="N54" i="132"/>
  <c r="Q54" i="132" s="1"/>
  <c r="G54" i="132"/>
  <c r="J54" i="132" s="1"/>
  <c r="N53" i="132"/>
  <c r="Q53" i="132" s="1"/>
  <c r="G53" i="132"/>
  <c r="J53" i="132" s="1"/>
  <c r="N52" i="132"/>
  <c r="Q52" i="132" s="1"/>
  <c r="G52" i="132"/>
  <c r="J52" i="132" s="1"/>
  <c r="N51" i="132"/>
  <c r="Q51" i="132" s="1"/>
  <c r="G51" i="132"/>
  <c r="J51" i="132" s="1"/>
  <c r="N50" i="132"/>
  <c r="Q50" i="132" s="1"/>
  <c r="G50" i="132"/>
  <c r="J50" i="132" s="1"/>
  <c r="N49" i="132"/>
  <c r="Q49" i="132" s="1"/>
  <c r="G49" i="132"/>
  <c r="J49" i="132" s="1"/>
  <c r="O44" i="132"/>
  <c r="M44" i="132"/>
  <c r="L44" i="132"/>
  <c r="E44" i="132"/>
  <c r="D44" i="132"/>
  <c r="F44" i="132"/>
  <c r="N40" i="132"/>
  <c r="Q40" i="132" s="1"/>
  <c r="G40" i="132"/>
  <c r="J40" i="132" s="1"/>
  <c r="N39" i="132"/>
  <c r="Q39" i="132" s="1"/>
  <c r="G39" i="132"/>
  <c r="J39" i="132" s="1"/>
  <c r="N38" i="132"/>
  <c r="Q38" i="132" s="1"/>
  <c r="G38" i="132"/>
  <c r="J38" i="132" s="1"/>
  <c r="N37" i="132"/>
  <c r="Q37" i="132" s="1"/>
  <c r="G37" i="132"/>
  <c r="J37" i="132" s="1"/>
  <c r="N36" i="132"/>
  <c r="Q36" i="132" s="1"/>
  <c r="G36" i="132"/>
  <c r="J36" i="132" s="1"/>
  <c r="N35" i="132"/>
  <c r="Q35" i="132" s="1"/>
  <c r="G35" i="132"/>
  <c r="J35" i="132" s="1"/>
  <c r="N34" i="132"/>
  <c r="G34" i="132"/>
  <c r="P31" i="132"/>
  <c r="O31" i="132"/>
  <c r="L31" i="132"/>
  <c r="E31" i="132"/>
  <c r="D31" i="132"/>
  <c r="M31" i="132"/>
  <c r="F31" i="132"/>
  <c r="N27" i="132"/>
  <c r="Q27" i="132" s="1"/>
  <c r="G27" i="132"/>
  <c r="J27" i="132" s="1"/>
  <c r="N26" i="132"/>
  <c r="Q26" i="132" s="1"/>
  <c r="G26" i="132"/>
  <c r="J26" i="132" s="1"/>
  <c r="N25" i="132"/>
  <c r="Q25" i="132" s="1"/>
  <c r="G25" i="132"/>
  <c r="J25" i="132" s="1"/>
  <c r="N24" i="132"/>
  <c r="Q24" i="132" s="1"/>
  <c r="G24" i="132"/>
  <c r="J24" i="132" s="1"/>
  <c r="N23" i="132"/>
  <c r="Q23" i="132" s="1"/>
  <c r="G23" i="132"/>
  <c r="J23" i="132" s="1"/>
  <c r="N22" i="132"/>
  <c r="Q22" i="132" s="1"/>
  <c r="G22" i="132"/>
  <c r="J22" i="132" s="1"/>
  <c r="N21" i="132"/>
  <c r="Q21" i="132" s="1"/>
  <c r="G21" i="132"/>
  <c r="J21" i="132" s="1"/>
  <c r="O14" i="132"/>
  <c r="O15" i="132" s="1"/>
  <c r="M14" i="132"/>
  <c r="M15" i="132" s="1"/>
  <c r="L14" i="132"/>
  <c r="L15" i="132" s="1"/>
  <c r="F14" i="132"/>
  <c r="F15" i="132" s="1"/>
  <c r="E14" i="132"/>
  <c r="E15" i="132" s="1"/>
  <c r="D14" i="132"/>
  <c r="D15" i="132" s="1"/>
  <c r="P13" i="132"/>
  <c r="P14" i="132" s="1"/>
  <c r="P15" i="132" s="1"/>
  <c r="N13" i="132"/>
  <c r="G13" i="132"/>
  <c r="J13" i="132" s="1"/>
  <c r="N12" i="132"/>
  <c r="Q12" i="132" s="1"/>
  <c r="G12" i="132"/>
  <c r="J12" i="132" s="1"/>
  <c r="N11" i="132"/>
  <c r="Q11" i="132" s="1"/>
  <c r="G11" i="132"/>
  <c r="N10" i="132"/>
  <c r="Q10" i="132" s="1"/>
  <c r="G10" i="132"/>
  <c r="J10" i="132" s="1"/>
  <c r="A10" i="132"/>
  <c r="A11" i="132" s="1"/>
  <c r="A12" i="132" s="1"/>
  <c r="A13" i="132" s="1"/>
  <c r="A14" i="132" s="1"/>
  <c r="A15" i="132" s="1"/>
  <c r="A22" i="132" l="1"/>
  <c r="A23" i="132" s="1"/>
  <c r="A24" i="132" s="1"/>
  <c r="A25" i="132" s="1"/>
  <c r="A26" i="132" s="1"/>
  <c r="A27" i="132" s="1"/>
  <c r="A28" i="132" s="1"/>
  <c r="A29" i="132" s="1"/>
  <c r="A30" i="132" s="1"/>
  <c r="A35" i="132" s="1"/>
  <c r="A36" i="132" s="1"/>
  <c r="A37" i="132" s="1"/>
  <c r="A38" i="132" s="1"/>
  <c r="A39" i="132" s="1"/>
  <c r="A40" i="132" s="1"/>
  <c r="E20" i="135"/>
  <c r="G9" i="67" s="1"/>
  <c r="D128" i="132"/>
  <c r="N118" i="132"/>
  <c r="J87" i="132"/>
  <c r="S95" i="132"/>
  <c r="V95" i="132" s="1"/>
  <c r="S69" i="132"/>
  <c r="V69" i="132" s="1"/>
  <c r="S55" i="132"/>
  <c r="V55" i="132" s="1"/>
  <c r="S60" i="132"/>
  <c r="V60" i="132" s="1"/>
  <c r="S50" i="132"/>
  <c r="V50" i="132" s="1"/>
  <c r="S58" i="132"/>
  <c r="V58" i="132" s="1"/>
  <c r="S36" i="132"/>
  <c r="V36" i="132" s="1"/>
  <c r="S51" i="132"/>
  <c r="V51" i="132" s="1"/>
  <c r="S72" i="132"/>
  <c r="V72" i="132" s="1"/>
  <c r="S83" i="132"/>
  <c r="V83" i="132" s="1"/>
  <c r="G104" i="132"/>
  <c r="J104" i="132" s="1"/>
  <c r="S12" i="132"/>
  <c r="V12" i="132" s="1"/>
  <c r="S37" i="132"/>
  <c r="V37" i="132" s="1"/>
  <c r="S94" i="132"/>
  <c r="V94" i="132" s="1"/>
  <c r="S59" i="132"/>
  <c r="V59" i="132" s="1"/>
  <c r="S71" i="132"/>
  <c r="V71" i="132" s="1"/>
  <c r="S52" i="132"/>
  <c r="V52" i="132" s="1"/>
  <c r="S82" i="132"/>
  <c r="V82" i="132" s="1"/>
  <c r="S88" i="132"/>
  <c r="V88" i="132" s="1"/>
  <c r="N104" i="132"/>
  <c r="Q104" i="132" s="1"/>
  <c r="S23" i="132"/>
  <c r="V23" i="132" s="1"/>
  <c r="S49" i="132"/>
  <c r="V49" i="132" s="1"/>
  <c r="S93" i="132"/>
  <c r="V93" i="132" s="1"/>
  <c r="S54" i="132"/>
  <c r="V54" i="132" s="1"/>
  <c r="S91" i="132"/>
  <c r="V91" i="132" s="1"/>
  <c r="S90" i="132"/>
  <c r="V90" i="132" s="1"/>
  <c r="S89" i="132"/>
  <c r="V89" i="132" s="1"/>
  <c r="S103" i="132"/>
  <c r="V103" i="132" s="1"/>
  <c r="F46" i="132"/>
  <c r="F108" i="132" s="1"/>
  <c r="L46" i="132"/>
  <c r="L108" i="132" s="1"/>
  <c r="S25" i="132"/>
  <c r="V25" i="132" s="1"/>
  <c r="S35" i="132"/>
  <c r="V35" i="132" s="1"/>
  <c r="S68" i="132"/>
  <c r="V68" i="132" s="1"/>
  <c r="S73" i="132"/>
  <c r="V73" i="132" s="1"/>
  <c r="S75" i="132"/>
  <c r="V75" i="132" s="1"/>
  <c r="F9" i="67"/>
  <c r="S24" i="132"/>
  <c r="V24" i="132" s="1"/>
  <c r="E46" i="132"/>
  <c r="E108" i="132" s="1"/>
  <c r="G14" i="132"/>
  <c r="G15" i="132" s="1"/>
  <c r="S27" i="132"/>
  <c r="V27" i="132" s="1"/>
  <c r="S40" i="132"/>
  <c r="V40" i="132" s="1"/>
  <c r="G44" i="132"/>
  <c r="Q84" i="132"/>
  <c r="S21" i="132"/>
  <c r="S26" i="132"/>
  <c r="V26" i="132" s="1"/>
  <c r="J34" i="132"/>
  <c r="J64" i="132"/>
  <c r="S22" i="132"/>
  <c r="V22" i="132" s="1"/>
  <c r="Q31" i="132"/>
  <c r="N44" i="132"/>
  <c r="M46" i="132"/>
  <c r="M108" i="132" s="1"/>
  <c r="J11" i="132"/>
  <c r="N14" i="132"/>
  <c r="N15" i="132" s="1"/>
  <c r="Q34" i="132"/>
  <c r="P44" i="132"/>
  <c r="P46" i="132" s="1"/>
  <c r="P108" i="132" s="1"/>
  <c r="O46" i="132"/>
  <c r="O108" i="132" s="1"/>
  <c r="S53" i="132"/>
  <c r="V53" i="132" s="1"/>
  <c r="N84" i="132"/>
  <c r="Q87" i="132"/>
  <c r="S10" i="132"/>
  <c r="Q13" i="132"/>
  <c r="S13" i="132" s="1"/>
  <c r="V13" i="132" s="1"/>
  <c r="S39" i="132"/>
  <c r="V39" i="132" s="1"/>
  <c r="Q64" i="132"/>
  <c r="S56" i="132"/>
  <c r="V56" i="132" s="1"/>
  <c r="S57" i="132"/>
  <c r="V57" i="132" s="1"/>
  <c r="G64" i="132"/>
  <c r="N64" i="132"/>
  <c r="S92" i="132"/>
  <c r="V92" i="132" s="1"/>
  <c r="S38" i="132"/>
  <c r="V38" i="132" s="1"/>
  <c r="D46" i="132"/>
  <c r="D108" i="132" s="1"/>
  <c r="D113" i="132" s="1"/>
  <c r="D116" i="132" s="1"/>
  <c r="G84" i="132"/>
  <c r="J67" i="132"/>
  <c r="S70" i="132"/>
  <c r="V70" i="132" s="1"/>
  <c r="S74" i="132"/>
  <c r="V74" i="132" s="1"/>
  <c r="S81" i="132"/>
  <c r="V81" i="132" s="1"/>
  <c r="J106" i="132" l="1"/>
  <c r="E22" i="135"/>
  <c r="G106" i="132"/>
  <c r="A41" i="132"/>
  <c r="A42" i="132" s="1"/>
  <c r="A43" i="132" s="1"/>
  <c r="A50" i="132" s="1"/>
  <c r="A51" i="132" s="1"/>
  <c r="A52" i="132" s="1"/>
  <c r="A53" i="132" s="1"/>
  <c r="A54" i="132" s="1"/>
  <c r="A55" i="132" s="1"/>
  <c r="A56" i="132" s="1"/>
  <c r="A57" i="132" s="1"/>
  <c r="A58" i="132" s="1"/>
  <c r="A59" i="132" s="1"/>
  <c r="A60" i="132" s="1"/>
  <c r="N106" i="132"/>
  <c r="Q106" i="132"/>
  <c r="S104" i="132"/>
  <c r="V104" i="132" s="1"/>
  <c r="V64" i="132"/>
  <c r="N31" i="132"/>
  <c r="N46" i="132" s="1"/>
  <c r="J14" i="132"/>
  <c r="J15" i="132" s="1"/>
  <c r="S11" i="132"/>
  <c r="Q14" i="132"/>
  <c r="Q15" i="132" s="1"/>
  <c r="V10" i="132"/>
  <c r="J84" i="132"/>
  <c r="S67" i="132"/>
  <c r="S87" i="132"/>
  <c r="J44" i="132"/>
  <c r="S34" i="132"/>
  <c r="V21" i="132"/>
  <c r="G31" i="132"/>
  <c r="G46" i="132" s="1"/>
  <c r="S64" i="132"/>
  <c r="A61" i="132" l="1"/>
  <c r="A62" i="132" s="1"/>
  <c r="A63" i="132" s="1"/>
  <c r="A64" i="132" s="1"/>
  <c r="A68" i="132" s="1"/>
  <c r="A69" i="132" s="1"/>
  <c r="A70" i="132" s="1"/>
  <c r="A71" i="132" s="1"/>
  <c r="A72" i="132" s="1"/>
  <c r="A73" i="132" s="1"/>
  <c r="A74" i="132" s="1"/>
  <c r="G108" i="132"/>
  <c r="N108" i="132"/>
  <c r="Q44" i="132"/>
  <c r="Q46" i="132" s="1"/>
  <c r="Q108" i="132" s="1"/>
  <c r="S106" i="132"/>
  <c r="V87" i="132"/>
  <c r="V106" i="132" s="1"/>
  <c r="S14" i="132"/>
  <c r="S15" i="132" s="1"/>
  <c r="V11" i="132"/>
  <c r="V14" i="132" s="1"/>
  <c r="V15" i="132" s="1"/>
  <c r="J31" i="132"/>
  <c r="J46" i="132" s="1"/>
  <c r="J108" i="132" s="1"/>
  <c r="O113" i="132" s="1"/>
  <c r="S44" i="132"/>
  <c r="V34" i="132"/>
  <c r="V44" i="132" s="1"/>
  <c r="S84" i="132"/>
  <c r="V67" i="132"/>
  <c r="V84" i="132" s="1"/>
  <c r="N113" i="132" l="1"/>
  <c r="N120" i="132" s="1"/>
  <c r="M122" i="132" s="1"/>
  <c r="A75" i="132"/>
  <c r="A76" i="132" s="1"/>
  <c r="A77" i="132" s="1"/>
  <c r="A78" i="132" s="1"/>
  <c r="A79" i="132" s="1"/>
  <c r="V31" i="132"/>
  <c r="V46" i="132" s="1"/>
  <c r="S31" i="132"/>
  <c r="S46" i="132" s="1"/>
  <c r="S108" i="132" s="1"/>
  <c r="V110" i="132" l="1"/>
  <c r="G38" i="67" s="1"/>
  <c r="J38" i="67" s="1"/>
  <c r="A80" i="132"/>
  <c r="A81" i="132" s="1"/>
  <c r="A82" i="132" s="1"/>
  <c r="A83" i="132" s="1"/>
  <c r="A84" i="132" s="1"/>
  <c r="D14" i="130"/>
  <c r="D16" i="130" s="1"/>
  <c r="G43" i="67" s="1"/>
  <c r="J43" i="67" s="1"/>
  <c r="J58" i="67"/>
  <c r="J9" i="67"/>
  <c r="J26" i="67"/>
  <c r="J39" i="67"/>
  <c r="J40" i="67"/>
  <c r="J42" i="67"/>
  <c r="J59" i="67"/>
  <c r="J55" i="67"/>
  <c r="J57" i="67"/>
  <c r="J54" i="67"/>
  <c r="J48" i="67"/>
  <c r="F4" i="67"/>
  <c r="J4" i="67" s="1"/>
  <c r="F16" i="67"/>
  <c r="A88" i="132" l="1"/>
  <c r="A89" i="132" s="1"/>
  <c r="A90" i="132" s="1"/>
  <c r="A91" i="132" s="1"/>
  <c r="A92" i="132" s="1"/>
  <c r="A93" i="132" s="1"/>
  <c r="A94" i="132" s="1"/>
  <c r="A95" i="132" s="1"/>
  <c r="A96" i="132" s="1"/>
  <c r="A97" i="132" s="1"/>
  <c r="A98" i="132" s="1"/>
  <c r="A99" i="132" s="1"/>
  <c r="A100" i="132" s="1"/>
  <c r="A101" i="132" s="1"/>
  <c r="A102" i="132" s="1"/>
  <c r="A103" i="132" s="1"/>
  <c r="A104" i="132" s="1"/>
  <c r="A105" i="132" s="1"/>
  <c r="A106" i="132" s="1"/>
  <c r="A114" i="132" s="1"/>
  <c r="A115" i="132" s="1"/>
  <c r="A116" i="132" s="1"/>
  <c r="A117" i="132" s="1"/>
  <c r="A118" i="132" s="1"/>
  <c r="A119" i="132" s="1"/>
  <c r="I11" i="125"/>
  <c r="F5" i="67" s="1"/>
  <c r="J5" i="67" s="1"/>
  <c r="F14" i="122"/>
  <c r="L13" i="122"/>
  <c r="L12" i="122"/>
  <c r="L11" i="122"/>
  <c r="L9" i="122"/>
  <c r="A9" i="122"/>
  <c r="A12" i="122" s="1"/>
  <c r="A13" i="122" s="1"/>
  <c r="A14" i="122" s="1"/>
  <c r="A17" i="122" s="1"/>
  <c r="F19" i="117"/>
  <c r="G18" i="67" s="1"/>
  <c r="F12" i="117"/>
  <c r="F18" i="67" s="1"/>
  <c r="J51" i="67"/>
  <c r="E17" i="115"/>
  <c r="F10" i="67"/>
  <c r="J18" i="67" l="1"/>
  <c r="E19" i="115"/>
  <c r="E22" i="115" s="1"/>
  <c r="L14" i="122"/>
  <c r="L16" i="122" s="1"/>
  <c r="F16" i="122"/>
  <c r="F17" i="122" s="1"/>
  <c r="E25" i="115"/>
  <c r="L17" i="122" l="1"/>
  <c r="I59" i="67" s="1"/>
  <c r="E29" i="115"/>
  <c r="E38" i="115" s="1"/>
  <c r="G10" i="67" l="1"/>
  <c r="J10" i="67" s="1"/>
  <c r="G30" i="114"/>
  <c r="F30" i="114"/>
  <c r="E30" i="114"/>
  <c r="G26" i="114"/>
  <c r="F26" i="114"/>
  <c r="E26" i="114"/>
  <c r="G22" i="114"/>
  <c r="F22" i="114"/>
  <c r="E22" i="114"/>
  <c r="G16" i="67"/>
  <c r="J16" i="67" s="1"/>
  <c r="I11" i="113"/>
  <c r="I11" i="112"/>
  <c r="F15" i="67" s="1"/>
  <c r="I11" i="111"/>
  <c r="G32" i="114" l="1"/>
  <c r="I13" i="113"/>
  <c r="I13" i="112"/>
  <c r="G15" i="67" s="1"/>
  <c r="J15" i="67" s="1"/>
  <c r="F3" i="67"/>
  <c r="J3" i="67" l="1"/>
  <c r="G36" i="114"/>
  <c r="D13" i="109"/>
  <c r="D17" i="109" s="1"/>
  <c r="G41" i="67" s="1"/>
  <c r="J41" i="67" s="1"/>
  <c r="G40" i="114" l="1"/>
  <c r="G25" i="67" s="1"/>
  <c r="J25" i="67" s="1"/>
  <c r="J46" i="67" l="1"/>
  <c r="G37" i="67"/>
  <c r="J37" i="67" s="1"/>
  <c r="G17" i="98" l="1"/>
  <c r="E14" i="98"/>
  <c r="E16" i="98" s="1"/>
  <c r="E18" i="98" s="1"/>
  <c r="E20" i="98" s="1"/>
  <c r="G13" i="98"/>
  <c r="G12" i="98"/>
  <c r="A12" i="98"/>
  <c r="A13" i="98" s="1"/>
  <c r="A14" i="98" s="1"/>
  <c r="A16" i="98" s="1"/>
  <c r="A17" i="98" s="1"/>
  <c r="A18" i="98" s="1"/>
  <c r="A19" i="98" s="1"/>
  <c r="A20" i="98" s="1"/>
  <c r="A22" i="98" s="1"/>
  <c r="A23" i="98" s="1"/>
  <c r="A24" i="98" s="1"/>
  <c r="A25" i="98" s="1"/>
  <c r="B20" i="89"/>
  <c r="D16" i="89"/>
  <c r="D20" i="89" s="1"/>
  <c r="G44" i="67" s="1"/>
  <c r="J44" i="67" s="1"/>
  <c r="B19" i="88"/>
  <c r="D15" i="88"/>
  <c r="D19" i="88" l="1"/>
  <c r="G45" i="67" s="1"/>
  <c r="J45" i="67" s="1"/>
  <c r="F14" i="90"/>
  <c r="O118" i="132"/>
  <c r="O120" i="132" s="1"/>
  <c r="G14" i="98"/>
  <c r="G16" i="98" s="1"/>
  <c r="G18" i="98" s="1"/>
  <c r="G33" i="67"/>
  <c r="J33" i="67" s="1"/>
  <c r="E21" i="87"/>
  <c r="F17" i="90" l="1"/>
  <c r="G29" i="67" s="1"/>
  <c r="J29" i="67" s="1"/>
  <c r="G19" i="98"/>
  <c r="G20" i="98" s="1"/>
  <c r="I20" i="98" s="1"/>
  <c r="I23" i="98" s="1"/>
  <c r="I25" i="98" s="1"/>
  <c r="G36" i="67" s="1"/>
  <c r="J36" i="67" s="1"/>
  <c r="G32" i="67"/>
  <c r="J32" i="67" s="1"/>
  <c r="J17" i="67"/>
  <c r="I21" i="87"/>
  <c r="F11" i="86"/>
  <c r="F14" i="86" s="1"/>
  <c r="F17" i="86" s="1"/>
  <c r="F20" i="86" s="1"/>
  <c r="G28" i="67" s="1"/>
  <c r="J28" i="67" s="1"/>
  <c r="A10" i="86"/>
  <c r="A11" i="86" s="1"/>
  <c r="A13" i="86" s="1"/>
  <c r="A14" i="86" s="1"/>
  <c r="A16" i="86" s="1"/>
  <c r="A17" i="86" s="1"/>
  <c r="A19" i="86" s="1"/>
  <c r="A20" i="86" s="1"/>
  <c r="H20" i="78"/>
  <c r="I22" i="78" s="1"/>
  <c r="H16" i="78"/>
  <c r="H14" i="78"/>
  <c r="N23" i="77"/>
  <c r="M23" i="77"/>
  <c r="L23" i="77"/>
  <c r="K23" i="77"/>
  <c r="J23" i="77"/>
  <c r="I23" i="77"/>
  <c r="H23" i="77"/>
  <c r="G23" i="77"/>
  <c r="F23" i="77"/>
  <c r="E23" i="77"/>
  <c r="D23" i="77"/>
  <c r="C23" i="77"/>
  <c r="N22" i="77"/>
  <c r="M22" i="77"/>
  <c r="L22" i="77"/>
  <c r="K22" i="77"/>
  <c r="J22" i="77"/>
  <c r="I22" i="77"/>
  <c r="H22" i="77"/>
  <c r="G22" i="77"/>
  <c r="F22" i="77"/>
  <c r="E22" i="77"/>
  <c r="D22" i="77"/>
  <c r="C22" i="77"/>
  <c r="N21" i="77"/>
  <c r="M21" i="77"/>
  <c r="L21" i="77"/>
  <c r="K21" i="77"/>
  <c r="J21" i="77"/>
  <c r="I21" i="77"/>
  <c r="H21" i="77"/>
  <c r="G21" i="77"/>
  <c r="F21" i="77"/>
  <c r="E21" i="77"/>
  <c r="D21" i="77"/>
  <c r="C21" i="77"/>
  <c r="N20" i="77"/>
  <c r="M20" i="77"/>
  <c r="L20" i="77"/>
  <c r="K20" i="77"/>
  <c r="J20" i="77"/>
  <c r="I20" i="77"/>
  <c r="H20" i="77"/>
  <c r="G20" i="77"/>
  <c r="F20" i="77"/>
  <c r="E20" i="77"/>
  <c r="D20" i="77"/>
  <c r="C20" i="77"/>
  <c r="A20" i="77"/>
  <c r="A21" i="77" s="1"/>
  <c r="A22" i="77" s="1"/>
  <c r="A23" i="77" s="1"/>
  <c r="N19" i="77"/>
  <c r="M19" i="77"/>
  <c r="L19" i="77"/>
  <c r="K19" i="77"/>
  <c r="J19" i="77"/>
  <c r="I19" i="77"/>
  <c r="H19" i="77"/>
  <c r="G19" i="77"/>
  <c r="F19" i="77"/>
  <c r="E19" i="77"/>
  <c r="D19" i="77"/>
  <c r="C19" i="77"/>
  <c r="N15" i="77"/>
  <c r="M15" i="77"/>
  <c r="L15" i="77"/>
  <c r="K15" i="77"/>
  <c r="J15" i="77"/>
  <c r="I15" i="77"/>
  <c r="H15" i="77"/>
  <c r="G15" i="77"/>
  <c r="F15" i="77"/>
  <c r="E15" i="77"/>
  <c r="D15" i="77"/>
  <c r="C15" i="77"/>
  <c r="G31" i="67" l="1"/>
  <c r="J31" i="67" s="1"/>
  <c r="E24" i="80"/>
  <c r="E28" i="80" s="1"/>
  <c r="E32" i="80" s="1"/>
  <c r="E36" i="80" s="1"/>
  <c r="J27" i="67"/>
  <c r="O20" i="77"/>
  <c r="O21" i="77"/>
  <c r="O22" i="77"/>
  <c r="O23" i="77"/>
  <c r="I18" i="78"/>
  <c r="I25" i="78" s="1"/>
  <c r="O19" i="77"/>
  <c r="G35" i="67"/>
  <c r="J35" i="67" s="1"/>
  <c r="G34" i="67"/>
  <c r="J34" i="67" s="1"/>
  <c r="J22" i="67"/>
  <c r="G21" i="67"/>
  <c r="J21" i="67" s="1"/>
  <c r="F17" i="75"/>
  <c r="G14" i="67" s="1"/>
  <c r="F11" i="75"/>
  <c r="F14" i="67" s="1"/>
  <c r="A10" i="75"/>
  <c r="A11" i="75" s="1"/>
  <c r="A15" i="75" s="1"/>
  <c r="A16" i="75" s="1"/>
  <c r="A17" i="75" s="1"/>
  <c r="F16" i="74"/>
  <c r="G13" i="67" s="1"/>
  <c r="F12" i="74"/>
  <c r="F13" i="67" s="1"/>
  <c r="A11" i="74"/>
  <c r="A12" i="74" s="1"/>
  <c r="A14" i="74" s="1"/>
  <c r="A15" i="74" s="1"/>
  <c r="A16" i="74" s="1"/>
  <c r="F24" i="73"/>
  <c r="F28" i="73" s="1"/>
  <c r="G12" i="67" s="1"/>
  <c r="F13" i="73"/>
  <c r="F17" i="73" s="1"/>
  <c r="F12" i="67" s="1"/>
  <c r="A10" i="73"/>
  <c r="A11" i="73" s="1"/>
  <c r="A12" i="73" s="1"/>
  <c r="F20" i="72"/>
  <c r="L23" i="71"/>
  <c r="L21" i="71"/>
  <c r="L19" i="71"/>
  <c r="F15" i="71"/>
  <c r="L10" i="71"/>
  <c r="A9" i="71"/>
  <c r="A10" i="71" s="1"/>
  <c r="A17" i="71" s="1"/>
  <c r="A19" i="71" s="1"/>
  <c r="A21" i="71" s="1"/>
  <c r="A23" i="71" s="1"/>
  <c r="F8" i="67"/>
  <c r="H58" i="67" l="1"/>
  <c r="N7" i="67" s="1"/>
  <c r="A13" i="73"/>
  <c r="A15" i="73" s="1"/>
  <c r="A17" i="73" s="1"/>
  <c r="A22" i="73" s="1"/>
  <c r="A23" i="73" s="1"/>
  <c r="A24" i="73" s="1"/>
  <c r="A26" i="73" s="1"/>
  <c r="A28" i="73" s="1"/>
  <c r="G24" i="67"/>
  <c r="J24" i="67" s="1"/>
  <c r="F35" i="72"/>
  <c r="F24" i="72"/>
  <c r="G11" i="67" s="1"/>
  <c r="F29" i="72"/>
  <c r="F33" i="72" s="1"/>
  <c r="J12" i="67"/>
  <c r="O26" i="77"/>
  <c r="G20" i="67" s="1"/>
  <c r="J20" i="67" s="1"/>
  <c r="J13" i="67"/>
  <c r="L15" i="71"/>
  <c r="L17" i="71" s="1"/>
  <c r="J17" i="71" s="1"/>
  <c r="J14" i="67"/>
  <c r="F14" i="72"/>
  <c r="F11" i="67" s="1"/>
  <c r="G8" i="67" l="1"/>
  <c r="I58" i="67"/>
  <c r="J11" i="67"/>
  <c r="F37" i="72"/>
  <c r="I12" i="69"/>
  <c r="I11" i="69"/>
  <c r="J8" i="67" l="1"/>
  <c r="P58" i="67" s="1"/>
  <c r="N4" i="67"/>
  <c r="I13" i="69"/>
  <c r="F2" i="67" s="1"/>
  <c r="N2" i="67" s="1"/>
  <c r="N5" i="67" l="1"/>
  <c r="N58" i="67" s="1"/>
  <c r="J2" i="67"/>
  <c r="Q58" i="67" l="1"/>
  <c r="D19" i="139" l="1"/>
  <c r="D10" i="139" l="1"/>
  <c r="D11" i="139"/>
  <c r="F13" i="133" l="1"/>
  <c r="F15" i="133" s="1"/>
  <c r="L15" i="133" s="1"/>
  <c r="L19" i="133" s="1"/>
  <c r="K42" i="67" s="1"/>
  <c r="F19" i="133" l="1"/>
  <c r="D14" i="139" l="1"/>
  <c r="D16" i="139" s="1"/>
  <c r="D9" i="139" l="1"/>
  <c r="D12" i="139" s="1"/>
  <c r="D18" i="139" s="1"/>
  <c r="D20" i="139" s="1"/>
  <c r="D22" i="139" l="1"/>
  <c r="D24" i="139" s="1"/>
  <c r="D26" i="139" s="1"/>
  <c r="K55" i="67" s="1"/>
  <c r="AC13" i="163" l="1"/>
  <c r="AC17" i="163"/>
  <c r="AC19" i="163" l="1"/>
  <c r="AC22" i="163" s="1"/>
</calcChain>
</file>

<file path=xl/sharedStrings.xml><?xml version="1.0" encoding="utf-8"?>
<sst xmlns="http://schemas.openxmlformats.org/spreadsheetml/2006/main" count="2192" uniqueCount="980">
  <si>
    <t>Kentucky Power Company</t>
  </si>
  <si>
    <t>LINE   NO.</t>
  </si>
  <si>
    <t>DESCRIPTION</t>
  </si>
  <si>
    <t>KPCO TOTAL COMPANY ADJUSTMENT</t>
  </si>
  <si>
    <t>ALLOCATION METHOD</t>
  </si>
  <si>
    <t>ALLOCATION FACTOR</t>
  </si>
  <si>
    <t>KENTUCKY PSC RETAIL JURISDICTION ADJUSTMENT</t>
  </si>
  <si>
    <t>44x</t>
  </si>
  <si>
    <t>Specific</t>
  </si>
  <si>
    <t>W02</t>
  </si>
  <si>
    <t>Line No.</t>
  </si>
  <si>
    <t>Description
(a)</t>
  </si>
  <si>
    <t>FERC Account
(b)</t>
  </si>
  <si>
    <t>Amount
(c)</t>
  </si>
  <si>
    <t>Allocation Factor
(d)</t>
  </si>
  <si>
    <t>Factor
(e)</t>
  </si>
  <si>
    <t>KPSC Jurisdictional Amount
(f) = (c * e)</t>
  </si>
  <si>
    <t>440-444</t>
  </si>
  <si>
    <t>Decrease Test Year O&amp;M Expense for Big Sandy Coal O&amp;M Costs:</t>
  </si>
  <si>
    <t>Fuel Expenses</t>
  </si>
  <si>
    <t>501</t>
  </si>
  <si>
    <t>(1)</t>
  </si>
  <si>
    <t>EAF</t>
  </si>
  <si>
    <t>506</t>
  </si>
  <si>
    <t>PDAF</t>
  </si>
  <si>
    <t>920</t>
  </si>
  <si>
    <t>A&amp;G</t>
  </si>
  <si>
    <t>Subtotal</t>
  </si>
  <si>
    <t>Increase Test Year O&amp;M Expense for Big Sandy Coal O&amp;M Deferral</t>
  </si>
  <si>
    <t>PDAF/EAF/A&amp;G</t>
  </si>
  <si>
    <t>Decrease Test Year ARO Accretion Expense for Big Sandy Coal</t>
  </si>
  <si>
    <t>Increase Test Year ARO Accretion Expense for Big Sandy Coal ARO Deferral</t>
  </si>
  <si>
    <t>Decrease Test Year Amortization Expense for Big Sandy Coal Amortization</t>
  </si>
  <si>
    <t>Witness:</t>
  </si>
  <si>
    <t>Number of Amortization Periods</t>
  </si>
  <si>
    <t>Allocation Factor - SPECIFIC</t>
  </si>
  <si>
    <t>KPSC Jurisdictional Amount (Ln 3 X Ln 4)</t>
  </si>
  <si>
    <t>W17</t>
  </si>
  <si>
    <t>W09</t>
  </si>
  <si>
    <t>Remove Interruptible Service Credit Expense</t>
  </si>
  <si>
    <t>W10</t>
  </si>
  <si>
    <t>Test Year Other Electric Revenue:</t>
  </si>
  <si>
    <t>Remove DSM Incentive Revenue Accrued</t>
  </si>
  <si>
    <t>456</t>
  </si>
  <si>
    <t>KPSC Jurisdictional Amount (Ln 6 X Ln 7)</t>
  </si>
  <si>
    <t>Test Year O&amp;M Expense Related to Program Costs:</t>
  </si>
  <si>
    <t>908</t>
  </si>
  <si>
    <t>W11</t>
  </si>
  <si>
    <t>KPSC Jurisdictional Amount (Ln 4 X Ln 5)</t>
  </si>
  <si>
    <t>KPSC Jurisdictional Amount (Ln 1 X Ln 2)</t>
  </si>
  <si>
    <t>Test Year Interest on Customer Deposits</t>
  </si>
  <si>
    <t xml:space="preserve"> </t>
  </si>
  <si>
    <t>KPSC Jurisdiction Amount (Ln 4 X Ln 5)</t>
  </si>
  <si>
    <t>W20</t>
  </si>
  <si>
    <t>FERC Account</t>
  </si>
  <si>
    <t>Annual Total</t>
  </si>
  <si>
    <t>Annualized Total</t>
  </si>
  <si>
    <t xml:space="preserve">Adjustment Needed </t>
  </si>
  <si>
    <t>Allocation Method</t>
  </si>
  <si>
    <t>Allocation Factor</t>
  </si>
  <si>
    <t>Allocated Amount</t>
  </si>
  <si>
    <t>GP-TRANS</t>
  </si>
  <si>
    <t>GP-DIST</t>
  </si>
  <si>
    <t>CUST.</t>
  </si>
  <si>
    <t>Adjust Pension and OPEB Expense</t>
  </si>
  <si>
    <t>Service Cost</t>
  </si>
  <si>
    <t>Non-Service Cost</t>
  </si>
  <si>
    <t>Total Service and Non-Service Cost</t>
  </si>
  <si>
    <t>KPCo O&amp;M% (FERC Form 1, pp. 354 &amp; 355) (Service Only)</t>
  </si>
  <si>
    <t>Test Year Period Per Books (Income) Expense:</t>
  </si>
  <si>
    <t>Account 9260003 (Pension Plan)</t>
  </si>
  <si>
    <t>Account 9260037 (Supplemental Pension)</t>
  </si>
  <si>
    <t>Account 9260042 (SERP Pension - Non-Service)</t>
  </si>
  <si>
    <t>Account 9260043 (OPEB- Non-Service)</t>
  </si>
  <si>
    <t>Account 9260062 (Pension Plan - Non-Service)</t>
  </si>
  <si>
    <t>Less Transfers:</t>
  </si>
  <si>
    <t>9260050 - Frg Ben Loading - Pension</t>
  </si>
  <si>
    <t>9260053 - Frg Ben Loading - OPEB</t>
  </si>
  <si>
    <t>Total Test Period Per Books</t>
  </si>
  <si>
    <t>KYJurisdictional Factor - OML</t>
  </si>
  <si>
    <t>W21</t>
  </si>
  <si>
    <t>Test Year Net Employee Related Expenses</t>
  </si>
  <si>
    <t>Cost Applicable to O&amp;M</t>
  </si>
  <si>
    <t>Allocation Factor - OML</t>
  </si>
  <si>
    <t>KPSC Jurisdictional Amount</t>
  </si>
  <si>
    <t>W22</t>
  </si>
  <si>
    <t>Amortization of NERC Compliance and Cybersecurity Cost Deferral</t>
  </si>
  <si>
    <t>W30</t>
  </si>
  <si>
    <t>(2)</t>
  </si>
  <si>
    <t>(3)</t>
  </si>
  <si>
    <t>Remove Severance Expense</t>
  </si>
  <si>
    <t>W26</t>
  </si>
  <si>
    <t>W27</t>
  </si>
  <si>
    <t>Test Year ICP</t>
  </si>
  <si>
    <t>Net Change in ICP Cost
(c-b)</t>
  </si>
  <si>
    <t>Test Year LTIP</t>
  </si>
  <si>
    <t>Net Change in LTIP Cost
(f-e)</t>
  </si>
  <si>
    <t>Total Adjustment to Incentive Compensation Expense
(d+g)</t>
  </si>
  <si>
    <t>KY Jurisdictional Factor - OML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</si>
  <si>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</si>
  <si>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</si>
  <si>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</si>
  <si>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</si>
  <si>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</si>
  <si>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</si>
  <si>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</si>
  <si>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</si>
  <si>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</si>
  <si>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Grand Total</t>
  </si>
  <si>
    <t>Test Year OT Payroll</t>
  </si>
  <si>
    <t>Total OT Related to Employee Merit Increase
(b+c)</t>
  </si>
  <si>
    <t>W29</t>
  </si>
  <si>
    <t>Test Year Base Payroll</t>
  </si>
  <si>
    <t>Merit/General Increase Adjustment
(e-c)</t>
  </si>
  <si>
    <t>Total Base Payroll Adjustment
(b+d+f)</t>
  </si>
  <si>
    <t>W28</t>
  </si>
  <si>
    <t>Line</t>
  </si>
  <si>
    <t>Description</t>
  </si>
  <si>
    <t>Amount</t>
  </si>
  <si>
    <t>No.</t>
  </si>
  <si>
    <t>1</t>
  </si>
  <si>
    <t>Change in O&amp;M Payroll</t>
  </si>
  <si>
    <t>Medicare Tax Rate</t>
  </si>
  <si>
    <t>W32</t>
  </si>
  <si>
    <t>Percentage Not Subject to Social Security Tax</t>
  </si>
  <si>
    <t>Percentage of Salaries Subject to Social Security Tax</t>
  </si>
  <si>
    <t>Adjustment to O&amp;M Payroll Subject to Social Security Tax</t>
  </si>
  <si>
    <t>Social Security Tax Rate</t>
  </si>
  <si>
    <t>W33</t>
  </si>
  <si>
    <t>KPCo (Excluding Mitchell)</t>
  </si>
  <si>
    <t>Mitchell</t>
  </si>
  <si>
    <t>Increase in Social Security Tax Base</t>
  </si>
  <si>
    <t>Adjustment to Social Security Base</t>
  </si>
  <si>
    <t>Increase in Social Security Tax due to Increase in Base</t>
  </si>
  <si>
    <t>50% billed to Wheeling Power Company</t>
  </si>
  <si>
    <t>Net KPCo Increase in Social Security Tax Expense</t>
  </si>
  <si>
    <t>KPCo O&amp;M%</t>
  </si>
  <si>
    <t>Adjustment to Increase O&amp;M Expense for Change in the Social Security Tax Base (FERC Account 408)</t>
  </si>
  <si>
    <t>Total</t>
  </si>
  <si>
    <t>Difference</t>
  </si>
  <si>
    <t>Tax</t>
  </si>
  <si>
    <t>W35</t>
  </si>
  <si>
    <t>Depreciation Expense</t>
  </si>
  <si>
    <t>Account</t>
  </si>
  <si>
    <t>Adjustments - Removal of 
Mitchell FGD (a)</t>
  </si>
  <si>
    <t xml:space="preserve">Adjustments - Other (b) (c) </t>
  </si>
  <si>
    <t>Current Rates</t>
  </si>
  <si>
    <t>Current Annual Depreciation Expense</t>
  </si>
  <si>
    <t>12 Month Depreciation Expense per Property Subledger</t>
  </si>
  <si>
    <t xml:space="preserve">12 Month Depreciation Expense per General Ledger Journal Entries (c) </t>
  </si>
  <si>
    <t xml:space="preserve">12 Month Depreciation Expense Per Books </t>
  </si>
  <si>
    <t>Adjustments - Removal of Mitchell FGD (a)</t>
  </si>
  <si>
    <t>Revised Per Books Depreciation Expense</t>
  </si>
  <si>
    <t>Jurisdictional Allocation Factor</t>
  </si>
  <si>
    <t>Adjustment</t>
  </si>
  <si>
    <t>.</t>
  </si>
  <si>
    <t>INTANGIBLE PLANT</t>
  </si>
  <si>
    <t>Franchises and Consents</t>
  </si>
  <si>
    <t>GP-TOT</t>
  </si>
  <si>
    <t xml:space="preserve">     Intangible Property - Maximo</t>
  </si>
  <si>
    <t xml:space="preserve">     Intangible Property - Oracle</t>
  </si>
  <si>
    <t xml:space="preserve">     Intangible Property - All Other</t>
  </si>
  <si>
    <t>Intangible Property - Total</t>
  </si>
  <si>
    <t>TOTAL INTANGIBLE PLANT</t>
  </si>
  <si>
    <t>PRODUCTION PLANT</t>
  </si>
  <si>
    <t>BIG SANDY PLANT</t>
  </si>
  <si>
    <t>Land</t>
  </si>
  <si>
    <t>GP-PTD</t>
  </si>
  <si>
    <t>Land Rights</t>
  </si>
  <si>
    <t xml:space="preserve">Structures &amp; Improvements </t>
  </si>
  <si>
    <t>Boiler Plant Equipment</t>
  </si>
  <si>
    <t xml:space="preserve">Turbogenerator Units      </t>
  </si>
  <si>
    <t>Accessory Electrical Equip.</t>
  </si>
  <si>
    <t xml:space="preserve">Misc. Power Plant Equip.  </t>
  </si>
  <si>
    <t>ARO Assets</t>
  </si>
  <si>
    <t>MITCHELL PLANT</t>
  </si>
  <si>
    <t>Boiler Plant Equip SCR Catalyst</t>
  </si>
  <si>
    <t>TOTAL PRODUCTION PLANT</t>
  </si>
  <si>
    <t>TRANSMISSION PLANT</t>
  </si>
  <si>
    <t>Structures and Improvements</t>
  </si>
  <si>
    <t>Station Equipment</t>
  </si>
  <si>
    <t>Station Equipment-SmartGrid</t>
  </si>
  <si>
    <t>Towers and Fixtures</t>
  </si>
  <si>
    <t>Poles and Fixtures</t>
  </si>
  <si>
    <t>Overhead Conductors, Device</t>
  </si>
  <si>
    <t>ROW Clearing OVH Conductors</t>
  </si>
  <si>
    <t>OVH Cond-Dev-Smart Grid</t>
  </si>
  <si>
    <t>Underground Conduit</t>
  </si>
  <si>
    <t>Undergrnd Conductors Device</t>
  </si>
  <si>
    <t>Ug Cond-Dev-Smart Grid</t>
  </si>
  <si>
    <t>TOTAL TRANSMISSION PLANT</t>
  </si>
  <si>
    <t>DISTRIBUTION PLANT</t>
  </si>
  <si>
    <t>Poles, Towers and Fixtures</t>
  </si>
  <si>
    <t>Undergrnd Conductors,Device</t>
  </si>
  <si>
    <t>Line Transformers</t>
  </si>
  <si>
    <t>Services</t>
  </si>
  <si>
    <t>Meters</t>
  </si>
  <si>
    <t>Installs Customer Premises</t>
  </si>
  <si>
    <t>Street Lghtng &amp; Signal Sys</t>
  </si>
  <si>
    <t>TOTAL DISTRIBUTION PLANT</t>
  </si>
  <si>
    <t xml:space="preserve">GENERAL PLANT </t>
  </si>
  <si>
    <t>Office Furniture, Equipment</t>
  </si>
  <si>
    <t>Transportation Equipment</t>
  </si>
  <si>
    <t>Stores Equipment</t>
  </si>
  <si>
    <t>Tools</t>
  </si>
  <si>
    <t>Laboratory Equipment</t>
  </si>
  <si>
    <t>Power Operated Equipment</t>
  </si>
  <si>
    <t>Communication Equipment</t>
  </si>
  <si>
    <t>GridSmart Communic Equip</t>
  </si>
  <si>
    <t>Miscellaneous Equipment</t>
  </si>
  <si>
    <t>ARO General Plant</t>
  </si>
  <si>
    <t>TOTAL GENERAL PLANT</t>
  </si>
  <si>
    <t>TOTAL</t>
  </si>
  <si>
    <t>TOTAL ADJUSTMENT TO INCREASE DEPRECIATION EXPENSE FOR ANNUALIZATION</t>
  </si>
  <si>
    <t>Accounts101/106 (above)</t>
  </si>
  <si>
    <t>Accounts 403/404  (above)</t>
  </si>
  <si>
    <t>Account 101 - Leases</t>
  </si>
  <si>
    <t>Account 406 - Amort of Plt Acq Adj</t>
  </si>
  <si>
    <t>AFUDC Adj</t>
  </si>
  <si>
    <t>Account 4030029 - Environmental Surcharge Rider Over/Under Recovery</t>
  </si>
  <si>
    <t>Total Plant in Service - Per Cost of Service</t>
  </si>
  <si>
    <t>Account 4073014 - Big Sandy Decommissioning Rider Over/Under Recovery</t>
  </si>
  <si>
    <t>Total Dep/Amort Exp - Per Cost of Service</t>
  </si>
  <si>
    <t>(a) Adjustments to remove property balances and test year depreciation expense related to Mitchell Plant FGD investments.</t>
  </si>
  <si>
    <t>(c) Includes adjustments to remove ARO property balances and related test year depreciation expense from "ARO Assets" rows.</t>
  </si>
  <si>
    <t>W36</t>
  </si>
  <si>
    <t>Adjustment to Increase Test Year ARO Depreciation Expense due to Annualization Adjustment</t>
  </si>
  <si>
    <t>KPSC Jurisdictional Adjustment to Increase ARO Depreciation Expense</t>
  </si>
  <si>
    <t>411.1</t>
  </si>
  <si>
    <t>AFUDC Offset Adjustment</t>
  </si>
  <si>
    <t>W40</t>
  </si>
  <si>
    <t xml:space="preserve">Portion of Line 1 Subject to AFUDC           </t>
  </si>
  <si>
    <t>Overall Cost of Capital (Section V, S-2, P 1, C6, Ln 5)</t>
  </si>
  <si>
    <t>AFUDC Recalculation (Ln 2 X Ln 3)</t>
  </si>
  <si>
    <t>AFUDC Offset Adjustment - Increase (Ln 4 - Ln 5)</t>
  </si>
  <si>
    <t>AFUDC Offset</t>
  </si>
  <si>
    <t>W42</t>
  </si>
  <si>
    <t>SPECIFIC</t>
  </si>
  <si>
    <t>Accumulated Deferred Income Taxes</t>
  </si>
  <si>
    <t>283</t>
  </si>
  <si>
    <t>(4)</t>
  </si>
  <si>
    <t>Allocation Factor - GP-DIST</t>
  </si>
  <si>
    <t>Def Depr-NERC Compli/Cybersec</t>
  </si>
  <si>
    <t>CC-NERC Compliance/Cyber Sec</t>
  </si>
  <si>
    <t>CC-NERC Compl/Cyber Unrec Eqty</t>
  </si>
  <si>
    <t>1823536</t>
  </si>
  <si>
    <t>Accumulated Deferred Income Taxes (21% Federal Tax Rate)</t>
  </si>
  <si>
    <t>Net Capitalization Decrease to Remove NERC Compliance and Cybersecurity Projects and Regulatory Asset / (Liability) Balances</t>
  </si>
  <si>
    <t>Adjustment to reset OSS margin baseline to test year OSS margin amount.</t>
  </si>
  <si>
    <t>Off System Sales</t>
  </si>
  <si>
    <t>SSC Billed Retail Revenue</t>
  </si>
  <si>
    <t>Decrease Firm Sales</t>
  </si>
  <si>
    <t>SSC Deferral</t>
  </si>
  <si>
    <t>Increase Firm Sales</t>
  </si>
  <si>
    <t>Removal of Mitchell FGD Environmental Surcharge Rider Revenues</t>
  </si>
  <si>
    <t>Billed &amp; Accrued Environmental Surcharge Revenues for Test Year</t>
  </si>
  <si>
    <t>Tariff ES</t>
  </si>
  <si>
    <t>Subtotal Environmental Cost Recovery Revenues (1+2-3)</t>
  </si>
  <si>
    <t>Reduce Base Revenues</t>
  </si>
  <si>
    <t>Less Deferrals:</t>
  </si>
  <si>
    <t>Allocated Adj Amount</t>
  </si>
  <si>
    <t>Over/Under</t>
  </si>
  <si>
    <t>FGD</t>
  </si>
  <si>
    <t xml:space="preserve">Mitchell FGD Electric Plant In Service </t>
  </si>
  <si>
    <t xml:space="preserve">Less Accum. Prov. For Depreciation </t>
  </si>
  <si>
    <t>Less Accumulated Deferred Income Tax</t>
  </si>
  <si>
    <t>Net Rate Base Reduction  (Ln 1 - Ln 2 - Ln 3)</t>
  </si>
  <si>
    <t xml:space="preserve">Remove FGD Consumable Inventory </t>
  </si>
  <si>
    <t>Eliminate Mitchell FGD Operating Expenses</t>
  </si>
  <si>
    <t>Total Operating Expense</t>
  </si>
  <si>
    <t>502X-Consumables</t>
  </si>
  <si>
    <t>408100515--Property Tax</t>
  </si>
  <si>
    <t>4030001--Depreciation</t>
  </si>
  <si>
    <t>5010027--Gypsum Disposal</t>
  </si>
  <si>
    <t>5120000--FGD Maintenance Expense</t>
  </si>
  <si>
    <t>Total Mitchell FGD Operating Expenses</t>
  </si>
  <si>
    <t xml:space="preserve">Retail Allocation Factor </t>
  </si>
  <si>
    <t>Retail Allocation of  FGD Expenses</t>
  </si>
  <si>
    <t>Total FGD Operating Expense Adjustment</t>
  </si>
  <si>
    <t>Synchronize Fuel Expense</t>
  </si>
  <si>
    <t>Fuel Adjustment Clause Revenue 44X</t>
  </si>
  <si>
    <t>Workpaper</t>
  </si>
  <si>
    <t>Base Fuel Revenue 44X</t>
  </si>
  <si>
    <t>Total Fuel Revenue 44X</t>
  </si>
  <si>
    <t>Total Fuel Expense in JCOS  501</t>
  </si>
  <si>
    <t>Deferred Fuel Expense 5010005</t>
  </si>
  <si>
    <t>Income Statement</t>
  </si>
  <si>
    <t>Total Fuel Expense</t>
  </si>
  <si>
    <t>TY Fuel Difference in JCOS</t>
  </si>
  <si>
    <t>Net Expense</t>
  </si>
  <si>
    <t>Synchronize TY Fuel in JCOS - 501005</t>
  </si>
  <si>
    <t>Specific Direct Assign 100% KY Retail Juris</t>
  </si>
  <si>
    <t>Decrease Fuel Expense</t>
  </si>
  <si>
    <t>Remove FAC Revenues from TY - 44X</t>
  </si>
  <si>
    <t>Offset FAC Revenue Removal in Fuel 501005</t>
  </si>
  <si>
    <t>Net Impact of Adjustment</t>
  </si>
  <si>
    <t>Amortization of Rate Case Expense</t>
  </si>
  <si>
    <t>Estimated Cost:</t>
  </si>
  <si>
    <t>Legal Expense</t>
  </si>
  <si>
    <t>Other Professional Services</t>
  </si>
  <si>
    <t>Publication Notices and Correspondence</t>
  </si>
  <si>
    <t>KPCo Overtime and Out of Pocket Costs</t>
  </si>
  <si>
    <t>Total Estimated Costs (Ln 1 + Ln 2 + Ln 3 + Ln 4)</t>
  </si>
  <si>
    <t>Number of Years of Amortization</t>
  </si>
  <si>
    <t>Rate Case Expense</t>
  </si>
  <si>
    <t>W41</t>
  </si>
  <si>
    <t>LSE OATT CHARGE ACCOUNTS</t>
  </si>
  <si>
    <t>Firm and Non-Firm Pt 2 Pt Transmision Revenues</t>
  </si>
  <si>
    <t>Increase Other Operating Revenues</t>
  </si>
  <si>
    <t>RTO Formation Costs</t>
  </si>
  <si>
    <t>Reduce Other Operating Revenues</t>
  </si>
  <si>
    <t>PJM Affiliated Trans NITS Cost</t>
  </si>
  <si>
    <t>PJM Affiliated Trans TO Cost</t>
  </si>
  <si>
    <t>Affil PJM Trans Enhancmnt Cost</t>
  </si>
  <si>
    <t>PJM Trans Enhancement Charge</t>
  </si>
  <si>
    <t>Increase Transmission Expense</t>
  </si>
  <si>
    <t>PJM NITS Expense - Affiliated</t>
  </si>
  <si>
    <t>Affil PJM Trans Enhncement Exp</t>
  </si>
  <si>
    <t>PJM NITS Expense - Non-Affiliated</t>
  </si>
  <si>
    <t>PJM TO Serv Expense - Affiliated</t>
  </si>
  <si>
    <t>Net Increase in LSE OATT Expense</t>
  </si>
  <si>
    <t>Employee Gifts, Awards, and Activities during Test Year</t>
  </si>
  <si>
    <t>*</t>
  </si>
  <si>
    <t>Charitable Contributions are in Account 426 and are not included in the</t>
  </si>
  <si>
    <t>Company's Cost of Service.</t>
  </si>
  <si>
    <t>Adjustment to recognize accrued surcharge revenue differences</t>
  </si>
  <si>
    <t>Retail Revenue</t>
  </si>
  <si>
    <t>Vegetation Management Tree Trimming</t>
  </si>
  <si>
    <t>Allocation Factor - Specific</t>
  </si>
  <si>
    <t>KENTUCKY POWER COMPANY</t>
  </si>
  <si>
    <t>STATE BUSINESS &amp; OCCUPATION TAX ADJUSTMENT</t>
  </si>
  <si>
    <t>Explanation of adjustment:</t>
  </si>
  <si>
    <t xml:space="preserve">To remove an Out-of-Period State Business &amp; Occupation Tax Adjustment.  </t>
  </si>
  <si>
    <t>COMPANY</t>
  </si>
  <si>
    <t>Per Books State Business &amp; Occupation Tax Expense (Acct 4081020)</t>
  </si>
  <si>
    <t>Proforma State Business &amp; Occupation Tax Expense</t>
  </si>
  <si>
    <t>Total Company Adjustment</t>
  </si>
  <si>
    <t>Allocation Factor (Demand)</t>
  </si>
  <si>
    <t>SALES AND USE TAX ADJUSTMENT</t>
  </si>
  <si>
    <t xml:space="preserve">To remove an Out-of-Period Sales and Use Tax Audit Adjustment.  </t>
  </si>
  <si>
    <t>Per Books Sales and Use Tax Expense (Acct 4081019)</t>
  </si>
  <si>
    <t>Proforma Sales and Use Tax Expense</t>
  </si>
  <si>
    <t>Allocation Factor (Gross Plant - Total)</t>
  </si>
  <si>
    <t>Annualization of Property Taxes</t>
  </si>
  <si>
    <t>Adjustment to remove Federal Tax Cut Rider credits from test year firm sales revenue</t>
  </si>
  <si>
    <t>Purchased Power</t>
  </si>
  <si>
    <t>Decrease Purchased Power Expense</t>
  </si>
  <si>
    <t>Adjust firm sales revenue to annualize end of test year number of customers on each tariff</t>
  </si>
  <si>
    <t>Adjust test year weather to normal weather</t>
  </si>
  <si>
    <t>Annualization of Kentucky Public Service Commission</t>
  </si>
  <si>
    <t>Maintenance Assessment to Reflect Going Level Assessment  Fee</t>
  </si>
  <si>
    <t>Test Year KPSC Maint Fee Amount</t>
  </si>
  <si>
    <t>Most Recent Assessment Amount</t>
  </si>
  <si>
    <t>KY Retail Allocator - Specific</t>
  </si>
  <si>
    <t>KY Retail Adjustment</t>
  </si>
  <si>
    <t xml:space="preserve">Adjust per books firm sales revenue to billing analysis level of firm sales revenue </t>
  </si>
  <si>
    <t>Remove Tariff D.R. Revenues and Expenses</t>
  </si>
  <si>
    <t>Decrease Test Year Revenue to Remove Tariff D.R. Revenues</t>
  </si>
  <si>
    <t>Remove Tariff P.P.A. Revenues and Expenses</t>
  </si>
  <si>
    <t xml:space="preserve">Remove Tariff P.P.A. (Over)/Under Recovery </t>
  </si>
  <si>
    <t>Remove Tariff D.S.M.C. Revenues and Expenses</t>
  </si>
  <si>
    <t>Remove Tariff R.E.A. Revenues and Expenses</t>
  </si>
  <si>
    <t>Decrease in Test Year Retail Revenue for Tariff R.E.A. Revenue</t>
  </si>
  <si>
    <t>Decrease in Test Year O&amp;M for Tariff R.E.A. Expense</t>
  </si>
  <si>
    <t>Remove Tariff K.E.D.S. Revenues and Expenses</t>
  </si>
  <si>
    <t xml:space="preserve">Decrease Test Year Retail Revenue for Tariff K.E.D.S. Revenue </t>
  </si>
  <si>
    <t>Decrease Test Year O&amp;M Expense for Tariff K.E.D.S. Expense</t>
  </si>
  <si>
    <t>Adjust Interest on Customer Deposits</t>
  </si>
  <si>
    <t>Annualization of Lease Expense</t>
  </si>
  <si>
    <t>Adjust Employee Related Group Benefit Expense</t>
  </si>
  <si>
    <t>KPCo Incentive Compensation Expense Adjustment</t>
  </si>
  <si>
    <t>KPCo Annualization of Payroll Expense Adjustment</t>
  </si>
  <si>
    <t>KPCo Overtime Related to Employee Merit Increases Adjustment</t>
  </si>
  <si>
    <t>Change in O&amp;M ICP Incentives</t>
  </si>
  <si>
    <t>Change in O&amp;M LTIP Incentives</t>
  </si>
  <si>
    <t>Annualization Adjustment of O&amp;M Base Payroll</t>
  </si>
  <si>
    <t>KPCo Medicare Tax Expense Adjustment</t>
  </si>
  <si>
    <t>KPCo Social Security Tax Expense Adjustment</t>
  </si>
  <si>
    <t>KPCo Social Security Tax Base Adjustment</t>
  </si>
  <si>
    <t>Annualization of Depreciation Expense (Excluding ARO Depreciation)</t>
  </si>
  <si>
    <t>(b) Includes adjustments to remove plant in service and deferral of depreciation expense (net of deferral amortization) related to the NERC Compliance and Cybersecurity Cost Deferral.</t>
  </si>
  <si>
    <t>ARO Property Balances Removed:</t>
  </si>
  <si>
    <t>ARO Depreciation Expense Removed</t>
  </si>
  <si>
    <t>Annualization of ARO Depreciation Expense</t>
  </si>
  <si>
    <t>Annualization of ARO Accretion Expense</t>
  </si>
  <si>
    <t>Remove Adjustment to Joint Use Pole Rental Revenue and Expense Related to a Prior Period</t>
  </si>
  <si>
    <t>Remove NERC Compliance and Cybersecurity Investment from Capitalization and Rate Base</t>
  </si>
  <si>
    <t>Regulatory Asset Related to NERC Compliance and Cybersecurity Projects</t>
  </si>
  <si>
    <t>#</t>
  </si>
  <si>
    <t>Adjustment Type</t>
  </si>
  <si>
    <t>Revenue &amp; Expense</t>
  </si>
  <si>
    <t>Remove Mitchell FGD Operating Expenses</t>
  </si>
  <si>
    <t>Expense</t>
  </si>
  <si>
    <t>Remove Mitchell Plant FGD and Consumable Inventory from Rate Base</t>
  </si>
  <si>
    <t>Capital</t>
  </si>
  <si>
    <t>Revenue</t>
  </si>
  <si>
    <t>Customer Annualization Adjustment</t>
  </si>
  <si>
    <t>Eliminate Non-Recoverable Business Expenses</t>
  </si>
  <si>
    <t>Depreciation</t>
  </si>
  <si>
    <t>KPSC Maintenance Assessment</t>
  </si>
  <si>
    <t>Adjustment to Recognize Accrued Surcharge Revenue Differences</t>
  </si>
  <si>
    <t>Book to Bill</t>
  </si>
  <si>
    <t>Remove Federal Income Tax Rider Expenses</t>
  </si>
  <si>
    <t>Remove Federal Income Tax Rider Revenues</t>
  </si>
  <si>
    <t>Adjust PJM LSE OATT Expense</t>
  </si>
  <si>
    <t>Adjust Vegetation Management Tree Trimming</t>
  </si>
  <si>
    <t>Adjustment to Remove Joint Use Pole Rental Revenue and Expense Related to a Prior Period</t>
  </si>
  <si>
    <t>Revenue/Expense</t>
  </si>
  <si>
    <t>Cash Working Capital Adjustment</t>
  </si>
  <si>
    <t>Reset OSS Margin Baseline to Test Year</t>
  </si>
  <si>
    <t>Rate Base</t>
  </si>
  <si>
    <t>Net Income Impact</t>
  </si>
  <si>
    <t>Pre-Tax Adjustments - Total</t>
  </si>
  <si>
    <t>check</t>
  </si>
  <si>
    <t>Notes</t>
  </si>
  <si>
    <t>Capitalization</t>
  </si>
  <si>
    <t>Amortize Non FAC Eligible Fuel Costs Since Last Base Case</t>
  </si>
  <si>
    <t>Remove Tariff P.P.A. Revenues and Non-Transmission Expenses Recovered Through Tariff P.P.A.</t>
  </si>
  <si>
    <t>Remove Tariff P.P.A. Revenue (1)</t>
  </si>
  <si>
    <t>Decrease Test Year Revenue to Remove Tariff P.P.A. Revenues</t>
  </si>
  <si>
    <t>Decrease to Revenue</t>
  </si>
  <si>
    <t>Remove Tariff P.P.A. O&amp;M Expense (1)</t>
  </si>
  <si>
    <t>(1) Reconciliation of Test Year Tariff P.P.A. Rider Revenues to Recoverable Costs:</t>
  </si>
  <si>
    <t>555/566</t>
  </si>
  <si>
    <t>Recovery of Estimated Rockport Offset</t>
  </si>
  <si>
    <t>Check</t>
  </si>
  <si>
    <t xml:space="preserve">Remove DSM Rider Revenues </t>
  </si>
  <si>
    <t>Remove DSM Over/Under Recovery (Incentives &amp; Lost Revenue)</t>
  </si>
  <si>
    <t>Net Decrease in Test Year Other Electric Revenue</t>
  </si>
  <si>
    <t>Remove DSM Over/Under Recovery (O&amp;M Program Cost)</t>
  </si>
  <si>
    <t>Remove DSM O&amp;M Program Cost Expense</t>
  </si>
  <si>
    <t>Remove DSM O&amp;M Program Cost Over/under Deferral</t>
  </si>
  <si>
    <t>Net Decrease in Test Year O&amp;M Expense Related to Program Costs</t>
  </si>
  <si>
    <t>Increase (Ln 2 - Ln 3)</t>
  </si>
  <si>
    <r>
      <t xml:space="preserve">Line </t>
    </r>
    <r>
      <rPr>
        <b/>
        <u/>
        <sz val="10"/>
        <rFont val="Times New Roman"/>
        <family val="1"/>
      </rPr>
      <t>No.</t>
    </r>
  </si>
  <si>
    <r>
      <t xml:space="preserve">Total Company </t>
    </r>
    <r>
      <rPr>
        <b/>
        <u/>
        <sz val="10"/>
        <rFont val="Times New Roman"/>
        <family val="1"/>
      </rPr>
      <t>Adjustment</t>
    </r>
  </si>
  <si>
    <r>
      <t xml:space="preserve">Allocation </t>
    </r>
    <r>
      <rPr>
        <b/>
        <u/>
        <sz val="10"/>
        <rFont val="Times New Roman"/>
        <family val="1"/>
      </rPr>
      <t>Code</t>
    </r>
  </si>
  <si>
    <r>
      <t>Allocation</t>
    </r>
    <r>
      <rPr>
        <b/>
        <u/>
        <sz val="10"/>
        <rFont val="Times New Roman"/>
        <family val="1"/>
      </rPr>
      <t xml:space="preserve"> Factors</t>
    </r>
  </si>
  <si>
    <r>
      <t xml:space="preserve">Kentucky PSC Retail </t>
    </r>
    <r>
      <rPr>
        <b/>
        <u/>
        <sz val="10"/>
        <rFont val="Times New Roman"/>
        <family val="1"/>
      </rPr>
      <t>Jurisdiction Adjustment</t>
    </r>
  </si>
  <si>
    <t>(3)*(5)</t>
  </si>
  <si>
    <t>PDAF/EAF</t>
  </si>
  <si>
    <t>Removal of Mitchell FGD and Rockport Environmental Surcharge Rider Revenues</t>
  </si>
  <si>
    <t>Environmental Base Revenue for Base Period</t>
  </si>
  <si>
    <t>Mitchell Retail Revenues to Remain in Base Rates</t>
  </si>
  <si>
    <t>W16</t>
  </si>
  <si>
    <t>PDAF / EAF</t>
  </si>
  <si>
    <t>Total Company
(b)</t>
  </si>
  <si>
    <t>Expected Pension and OPEB Costs (Actuarial Estimates)</t>
  </si>
  <si>
    <t>Expected Pension and OPEB Expense</t>
  </si>
  <si>
    <t>Change in Pension and OPEB O&amp;M expense</t>
  </si>
  <si>
    <t>FOR THE TEST YEAR ENDED MARCH 31, 2023</t>
  </si>
  <si>
    <t>Adjusted NERC Compliance and Cybersecurity Amortization (Ln 3 + Ln 4)</t>
  </si>
  <si>
    <t>404</t>
  </si>
  <si>
    <t>Total Increase to Annual Amortization Expense Related to NERC Compliance and Cybersecurity Cost Deferral Ln 7 x Ln 8</t>
  </si>
  <si>
    <t xml:space="preserve">Total Adjustment to Increase O&amp;M Expense for Medicare Tax </t>
  </si>
  <si>
    <t>Total Adjustment to Increase O&amp;M Expense for Social Security Tax</t>
  </si>
  <si>
    <t>KPSC Jurisdictional Amount (Ln 9 X Ln 10)</t>
  </si>
  <si>
    <t>Adjustment to Eliminate Non-Recoverable Business Expenses</t>
  </si>
  <si>
    <t>Office Equip - Computers</t>
  </si>
  <si>
    <t>(5)</t>
  </si>
  <si>
    <t>Amortization Period</t>
  </si>
  <si>
    <t>Eliminate Miscellaneous Expense</t>
  </si>
  <si>
    <t>Adjustment to Miscellaneus Business Expenses</t>
  </si>
  <si>
    <t>Total Expense</t>
  </si>
  <si>
    <t>Recoverable</t>
  </si>
  <si>
    <t>Eliminated</t>
  </si>
  <si>
    <t>Test Year Miscellaneous Expense</t>
  </si>
  <si>
    <t>FERC 930 Account</t>
  </si>
  <si>
    <t>Sub-Total FERC 930</t>
  </si>
  <si>
    <t>FERC 909 Account</t>
  </si>
  <si>
    <t>Sub-Total FERC 909</t>
  </si>
  <si>
    <t>FERC 913 Account</t>
  </si>
  <si>
    <t>Sub-Total FERC 913</t>
  </si>
  <si>
    <t>Amount of Miscellaneous Expense to be Eliminated</t>
  </si>
  <si>
    <t>decrease</t>
  </si>
  <si>
    <t>Remove NERC Compliance and Cybersecurity Investment from Capitalization</t>
  </si>
  <si>
    <t>Net Plant in Service Related to NERC Compliance and Cybersecurity Projects</t>
  </si>
  <si>
    <t>101/106/108</t>
  </si>
  <si>
    <t>593</t>
  </si>
  <si>
    <t xml:space="preserve">Line
No.
</t>
  </si>
  <si>
    <t xml:space="preserve">Amount
</t>
  </si>
  <si>
    <t>Adjustment to Property Tax Expense (Ln 3 - Ln 6)</t>
  </si>
  <si>
    <t>Allocation Factor - Gross Plant Total</t>
  </si>
  <si>
    <t>(1) Portion of Line 1 Not Subject to AFUDC</t>
  </si>
  <si>
    <t>Reconciliation of 12 Months Ended Depreciation and Amortization Expense:</t>
  </si>
  <si>
    <t>Per Books Total Company</t>
  </si>
  <si>
    <t>Adjusted Total Company</t>
  </si>
  <si>
    <t>Account 4040001 - Amortization of NERC Compliance and Cybersecurity Cost Deferral</t>
  </si>
  <si>
    <t>Account 403.1 - ARO Depreciation</t>
  </si>
  <si>
    <t>Remove NERC Compliance and Cybersecurity Net Plant from Rate Base</t>
  </si>
  <si>
    <t>Interest Sync</t>
  </si>
  <si>
    <t>ADIT Adjustment</t>
  </si>
  <si>
    <t>Inc Tax Exp</t>
  </si>
  <si>
    <t>Decrease Firm Sales Revenue</t>
  </si>
  <si>
    <t>3 = 1-2</t>
  </si>
  <si>
    <t>W04</t>
  </si>
  <si>
    <t>W24</t>
  </si>
  <si>
    <t>W31</t>
  </si>
  <si>
    <t>W38</t>
  </si>
  <si>
    <t>W39</t>
  </si>
  <si>
    <t>W45</t>
  </si>
  <si>
    <t>W46</t>
  </si>
  <si>
    <t>W49</t>
  </si>
  <si>
    <t>W55</t>
  </si>
  <si>
    <t>W56</t>
  </si>
  <si>
    <t>W57</t>
  </si>
  <si>
    <t>W58</t>
  </si>
  <si>
    <t>W03</t>
  </si>
  <si>
    <t>W06</t>
  </si>
  <si>
    <t>W07</t>
  </si>
  <si>
    <t>W12</t>
  </si>
  <si>
    <t>W13</t>
  </si>
  <si>
    <t>W18</t>
  </si>
  <si>
    <t>W19</t>
  </si>
  <si>
    <t>W23</t>
  </si>
  <si>
    <t>Weather Normal Revenue Adjustment</t>
  </si>
  <si>
    <t>Line       No.</t>
  </si>
  <si>
    <t>Remove FIT Expenses - Excess Related to Tax Rider</t>
  </si>
  <si>
    <t>Total Co Electric Utility</t>
  </si>
  <si>
    <t>KY Jurisdictional Allocation Factor</t>
  </si>
  <si>
    <t>KY Jurisdictional Allocated Amount</t>
  </si>
  <si>
    <t>Allocation Basis</t>
  </si>
  <si>
    <t>KY Jurisdictional Adjustment</t>
  </si>
  <si>
    <t xml:space="preserve">Cash Working Capital </t>
  </si>
  <si>
    <t>Adjusted Test Year Amount
(b)</t>
  </si>
  <si>
    <t>Prepayments
(c)</t>
  </si>
  <si>
    <t>Cash Working Capital Amount
(d)</t>
  </si>
  <si>
    <t>Avg. Daily Expense
(e)</t>
  </si>
  <si>
    <t>Revenue Lag Days
(f)</t>
  </si>
  <si>
    <t xml:space="preserve">Expense Lead Days
(g) </t>
  </si>
  <si>
    <t>Net (Lead)/Lag
(h)</t>
  </si>
  <si>
    <t>Working Capital Requirement
(i)</t>
  </si>
  <si>
    <t>Fuel Expense</t>
  </si>
  <si>
    <t>FERC Account 501 - Exclude Regulatory Asset Account 5010005 (Test-Year Book)</t>
  </si>
  <si>
    <t xml:space="preserve">Purchased Power </t>
  </si>
  <si>
    <t>FERC Account 555 (Test -Year Book plus RockPort Adjustment and Capacity Replacement Adj)</t>
  </si>
  <si>
    <t xml:space="preserve">Operation &amp; Maintenance Expense </t>
  </si>
  <si>
    <t>Total Proforma O&amp;M per Section V - Sch 4 less Proforma Payroll, Fuel Expense, and Purchase Power… Also added customer deposit interest and Business Occ Taxes</t>
  </si>
  <si>
    <t>Payroll</t>
  </si>
  <si>
    <t>Link to Adjusted Test-Year Amount included in the following Adjustments:
(1)  KPCo Incentive Compensation Expense Adjustment 
(2) KPCo Annualization of Payroll Expense Adjustment
(3)  KPCo Overtime Related to Employee Merit Increases Adjustment</t>
  </si>
  <si>
    <t>Linked into Schedule 4 (Depreciation)</t>
  </si>
  <si>
    <t>Federal Excise Taxes</t>
  </si>
  <si>
    <t>Section V Sch 4 (Federal Excise)</t>
  </si>
  <si>
    <t>Kentucky Sales and Use Tax - Energy Exemption Annual Return</t>
  </si>
  <si>
    <t>See w/ps (Sales and Use Tax - Energy Exam)</t>
  </si>
  <si>
    <t>Local Street Lighting Fee</t>
  </si>
  <si>
    <t>927-Franchise Requirements</t>
  </si>
  <si>
    <t>Property / Real Estate Tax</t>
  </si>
  <si>
    <t>Section V Sch 4 ( Real and Personal Property Tax.)</t>
  </si>
  <si>
    <t>Federal Unemployment Taxes</t>
  </si>
  <si>
    <t>State Unemployment Taxes - Kentucky</t>
  </si>
  <si>
    <t>State Unemployment Taxes - West Virginia</t>
  </si>
  <si>
    <t xml:space="preserve">Federal Income Taxes </t>
  </si>
  <si>
    <t xml:space="preserve">           Current </t>
  </si>
  <si>
    <t>Section V Sch 4 -Income Taxes</t>
  </si>
  <si>
    <t xml:space="preserve">           Deferred </t>
  </si>
  <si>
    <t xml:space="preserve">                     Total FIT </t>
  </si>
  <si>
    <t xml:space="preserve">State Income Taxes </t>
  </si>
  <si>
    <t xml:space="preserve">Interest on Long Term Debt </t>
  </si>
  <si>
    <t>Linked into Schedule V (After Tax WACC X Rate base)</t>
  </si>
  <si>
    <t>Return</t>
  </si>
  <si>
    <t>See CWC WPS</t>
  </si>
  <si>
    <t>Deferred SIT from Tax Schedule</t>
  </si>
  <si>
    <t>Adjustments to ADFIT</t>
  </si>
  <si>
    <t xml:space="preserve">Source: </t>
  </si>
  <si>
    <t>Net Increase to ADFIT. Accounts 1901001, 2821001,  2831001</t>
  </si>
  <si>
    <t>ADFIT Schedule</t>
  </si>
  <si>
    <t>Interest Synchronization Adjustment</t>
  </si>
  <si>
    <t>W54</t>
  </si>
  <si>
    <t xml:space="preserve"> Rate Base  (Section V, Sch 4, C F, Ln 47)</t>
  </si>
  <si>
    <t>Weighted Average Cost of Long-Term Debt (Section V, Sch 2, P 1, C 6, Ln 1)</t>
  </si>
  <si>
    <t>Weighted Average Cost of Short-Term Debt (Section V, Sch 2, P 1, C 6, Ln 2)</t>
  </si>
  <si>
    <t>Annualized Interest (Ln 1 x (Ln 2 + Ln3))</t>
  </si>
  <si>
    <t>Allowance for Borrowed Funds Used During Construction</t>
  </si>
  <si>
    <t>SPECIFIC Allocator</t>
  </si>
  <si>
    <t>Retail Interest (Ln 5 X Ln 6)</t>
  </si>
  <si>
    <t>Decrease Interest Expense (Ln 4 - Ln 7)</t>
  </si>
  <si>
    <t>SIT Rate (Section V, Sch 2, P2, C 3, LN 5)</t>
  </si>
  <si>
    <t>SIT Adjustment (Ln 8 X Ln 9)</t>
  </si>
  <si>
    <t>Net Change for FIT (Ln 8 + Ln 10)</t>
  </si>
  <si>
    <t>FIT Rate</t>
  </si>
  <si>
    <t>FIT Adjustment (Ln 11 X Ln 12)</t>
  </si>
  <si>
    <t>Total State and Federal Income Tax Expense ( Ln 10 + Ln 13)</t>
  </si>
  <si>
    <t>W43</t>
  </si>
  <si>
    <t>2025 Adjustment</t>
  </si>
  <si>
    <t>2025
Witness</t>
  </si>
  <si>
    <t>Michael Spaeth</t>
  </si>
  <si>
    <t>Adjustment to Increase PJM LSE OATT expense to reflect 2025 filed rates</t>
  </si>
  <si>
    <t>Test Year Twelve Months Ended 5/31/2025</t>
  </si>
  <si>
    <t xml:space="preserve">Witness: Michael Spaeth </t>
  </si>
  <si>
    <t>B.C. Ciborek</t>
  </si>
  <si>
    <t>Test Year Ended May 31, 2025</t>
  </si>
  <si>
    <t>Brian Ciborek</t>
  </si>
  <si>
    <t>Decrease Test Year Expense to Remove Severance Adjustments Made:</t>
  </si>
  <si>
    <t>Misc Steam Power Expenses</t>
  </si>
  <si>
    <t>Miscellaneous Distribution Exp</t>
  </si>
  <si>
    <t>Administrative &amp; Gen Salaries</t>
  </si>
  <si>
    <t>588</t>
  </si>
  <si>
    <t>OML</t>
  </si>
  <si>
    <t>Test Year Ended 05/31/2025</t>
  </si>
  <si>
    <t>Twelve Months Ended</t>
  </si>
  <si>
    <t>Storm Damage Expense Excluding In-House Labor</t>
  </si>
  <si>
    <t>Constant Dollar Expense</t>
  </si>
  <si>
    <t>(Col. 3 * Col. 5)</t>
  </si>
  <si>
    <t>12 Months Ended 05/31/25</t>
  </si>
  <si>
    <t>12 Months Ended 05/31/24</t>
  </si>
  <si>
    <t>***</t>
  </si>
  <si>
    <t>12 Months Ended 05/31/23</t>
  </si>
  <si>
    <t xml:space="preserve">Test Year Storm Damage </t>
  </si>
  <si>
    <t>(*1)</t>
  </si>
  <si>
    <t>Handy-Whitman Contract Labor Index</t>
  </si>
  <si>
    <t>Current base level amount:</t>
  </si>
  <si>
    <t>Reference E-2 Line 42</t>
  </si>
  <si>
    <t>2025/Jan</t>
  </si>
  <si>
    <t>2024/Jan</t>
  </si>
  <si>
    <t>2023/Jan</t>
  </si>
  <si>
    <t>Twelve Months Ended 5/31/2025</t>
  </si>
  <si>
    <t xml:space="preserve">Net Estimated Property Tax Based on December 31, 2024 Assessible Property Value and Latest Actual Property Rates </t>
  </si>
  <si>
    <t>Net Property Tax Charged
4081005, 4081029 &amp; 4081036
12 Months Ended 05/31/2025</t>
  </si>
  <si>
    <t>FOR THE TEST YEAR ENDED MAY 31, 2025</t>
  </si>
  <si>
    <t>Amoritization of Storm Expense Reg Assets</t>
  </si>
  <si>
    <t>Michele Ross</t>
  </si>
  <si>
    <t>Tanner Wolffram</t>
  </si>
  <si>
    <t>Misc Charges Revenue (Increased Charges)</t>
  </si>
  <si>
    <t>Wholesale Load (Due to Ceasing in May 2025)</t>
  </si>
  <si>
    <t>Mitchell Non-ELG Adjustments</t>
  </si>
  <si>
    <t xml:space="preserve">Adjustment to Capital Structure for Securitization </t>
  </si>
  <si>
    <t>Franz Messner</t>
  </si>
  <si>
    <t>Cap Structure</t>
  </si>
  <si>
    <t>Remove Pension Settlement Costs from Rate Base</t>
  </si>
  <si>
    <t>Adjust depreciation rates</t>
  </si>
  <si>
    <t>Remove Mitchell from Rate Base and Cost of Service</t>
  </si>
  <si>
    <t>Turbine Reservation Fee</t>
  </si>
  <si>
    <t xml:space="preserve">Tanner Wolffram </t>
  </si>
  <si>
    <t>Remove Recovery of Capacity Purchases</t>
  </si>
  <si>
    <t>Estimated Rockport Offset Revenue Recognized but not Yet Recovered</t>
  </si>
  <si>
    <t>Tariff CC Amortization (Oct 2024 through September 2025)</t>
  </si>
  <si>
    <t>Total Costs Recoverable Through Tariff P.P.A. for the Test Year Ended 5/31/2025</t>
  </si>
  <si>
    <t>Tariff P.P.A. Revenue for the Test Year Ended 5/31/2025</t>
  </si>
  <si>
    <t>Balance as of May 31, 2025</t>
  </si>
  <si>
    <t>Interest at 4.19% (Ln 1 X 4.19%)</t>
  </si>
  <si>
    <t>Adjustments to Remove: Mitchell Plant FGD; FGD Consumable Inventory</t>
  </si>
  <si>
    <t>Witness: John D. Cullop</t>
  </si>
  <si>
    <t>J.D. Cullop</t>
  </si>
  <si>
    <t>Test Year Ended 5/31/2025</t>
  </si>
  <si>
    <t>Expected balance of Regulatory Asset approved in Case No. 2023-00159 at 3/1/2026</t>
  </si>
  <si>
    <t>Total Estimated Rate Case Expense Regulatory Asset Balance (Ln 5 + Ln 6)</t>
  </si>
  <si>
    <t>Less: Regulatory Asset amortization included in Test Year</t>
  </si>
  <si>
    <t>Witness:  John D. Cullop</t>
  </si>
  <si>
    <t>Less: EEI expense not included in Test Year</t>
  </si>
  <si>
    <t>Adjusted amount of Miscellaneous Expense to be Eliminated (Ln 2 - Ln 3)</t>
  </si>
  <si>
    <t>Account 9260021 (Postretirement Benefits - OPEB)</t>
  </si>
  <si>
    <t>Remove Direct Pension Settlement Costs Recorded in the Test Year Resulting in Decrease to Acct 926 Expense</t>
  </si>
  <si>
    <t xml:space="preserve">KPSC Jurisdictional Adjustment to Decrease Expense </t>
  </si>
  <si>
    <t>Request to Defer and Amortize Pension Settlement Costs</t>
  </si>
  <si>
    <t>Request to Defer and Amortize Direct Pension Settlement Costs</t>
  </si>
  <si>
    <t>Unrecovered  Direct Pension Settlement Costs Incurred Since Prior Base Case</t>
  </si>
  <si>
    <t>12 Years</t>
  </si>
  <si>
    <t>KPSC Jurisdictional Adjustment to Increase Expense</t>
  </si>
  <si>
    <t>May 2025 Expense</t>
  </si>
  <si>
    <t>2025 Total Calculated Costs</t>
  </si>
  <si>
    <t xml:space="preserve">Plus: 2025 Mitchell Calculated Costs to be Billed by Wheeling </t>
  </si>
  <si>
    <t>2025 Net Calculated Costs</t>
  </si>
  <si>
    <t>Decrease in Employee Related Group Benefit Expenses</t>
  </si>
  <si>
    <t>Adjustment to Decrease Group Benefit Costs Applicable to O&amp;M</t>
  </si>
  <si>
    <t>KPCo Jurisdictional Amount</t>
  </si>
  <si>
    <t>May 31, 2025 balance of post March 31, 2023 NERC expense deferral as authorized per order dated January 19, 2024 in Case No. 2023-00159.</t>
  </si>
  <si>
    <t>Annual Amortization of Post March 31, 2023 Deferral (Ln 1 / Ln 2)</t>
  </si>
  <si>
    <t>Annual Amortization for April 1, 2020 through March 31, 2023 deferral, authorized to amortize over 5 years per order dated January 19, 2024 in Case No. 2023-00159.</t>
  </si>
  <si>
    <t>Test year amortization approved for recovery by KPSC in Case No. 2020-00174 and  Case No. 2023-00159, as recorded to FERC Account 404.</t>
  </si>
  <si>
    <t>Increase to Amortization Expense</t>
  </si>
  <si>
    <t>2025 O&amp;M Merit Increases</t>
  </si>
  <si>
    <t>2025 O&amp;M Merit Increases Effect on Overtime</t>
  </si>
  <si>
    <t>2024 Salaries in Excess of Social Security Taxes (Adjusted for 50% Mitchell)</t>
  </si>
  <si>
    <t>2024 Salaries, Paid Overtime and other remunerations</t>
  </si>
  <si>
    <t>Employees earning more than $168,600 limit in 2024</t>
  </si>
  <si>
    <t>Social Security Tax Base for 2025</t>
  </si>
  <si>
    <t>Social Security Tax Base for 2024</t>
  </si>
  <si>
    <t>KPCo Jurisdictional Adjustment to Increase O&amp;M for Change in the Social Security Tax Base (FERC Account 408)</t>
  </si>
  <si>
    <t>May 31, 2025 Property Balances</t>
  </si>
  <si>
    <t>Adjusted May 31, 2025 Property Balances</t>
  </si>
  <si>
    <t>Computer Hardware Coal</t>
  </si>
  <si>
    <t>Comm Equipment Coal</t>
  </si>
  <si>
    <t>Computer Software</t>
  </si>
  <si>
    <t>AMI Communication Equipment</t>
  </si>
  <si>
    <t>Computer Hardware</t>
  </si>
  <si>
    <t>Computer Software - Maximo</t>
  </si>
  <si>
    <t>Computer Software - Oracle</t>
  </si>
  <si>
    <t>Computer Software - All Other</t>
  </si>
  <si>
    <t>Reconciliation of May 31, 2025 Property Balances:</t>
  </si>
  <si>
    <t>Trial Balance</t>
  </si>
  <si>
    <t>Variance</t>
  </si>
  <si>
    <t>Account 407.4 - Reg Credits &amp; PPA Over/Under</t>
  </si>
  <si>
    <t>CWIP Balance at 05/31/2025 (Section V, S-4, C 2, Ln 213)</t>
  </si>
  <si>
    <t>Booked AFUDC in Test Year (Section V, S-8, C 15, Ln 13)</t>
  </si>
  <si>
    <t xml:space="preserve">Note:  Refer to Section V, Tab "CWC" for a copy of this adjustment, with spreadsheet formulas in-tact that link certain amounts reported in column (b) "Adjusted Test Year Amount" to Section V, Schedule 4 - Jurisdictional Cost-of-Service and Section V, Schedule 2 - Revenue Requirement, as appropriate.    </t>
  </si>
  <si>
    <t>Witness: B.C. Ciborek</t>
  </si>
  <si>
    <t>Adjustments - Other (b) (c)</t>
  </si>
  <si>
    <t>Revised Rates per Depreciation Study</t>
  </si>
  <si>
    <t>Updated Depreciation Expense</t>
  </si>
  <si>
    <t>Intangible Property - Maximo</t>
  </si>
  <si>
    <t>Intangible Property - Oracle</t>
  </si>
  <si>
    <t>Intangible Property - All Other</t>
  </si>
  <si>
    <t>Structures &amp; Improvements</t>
  </si>
  <si>
    <t>Turbogenerator Units</t>
  </si>
  <si>
    <t>Misc. Power Plant Equip.</t>
  </si>
  <si>
    <t>GENERAL PLANT</t>
  </si>
  <si>
    <t>TOTAL ADJUSTMENT TO INCREASE DEPRECIATION EXPENSE FOR RATE CHANGE</t>
  </si>
  <si>
    <t>Adjustments - Removal of 
Mitchell Non-FGD (b)</t>
  </si>
  <si>
    <t>Adjustments - Other (c)</t>
  </si>
  <si>
    <t>Adjusted May 31, 2025 Property Balances to be Removed from Rate Base</t>
  </si>
  <si>
    <t>KPCo Mitchell Depreciation Expense Removed from Cost of Service</t>
  </si>
  <si>
    <t>Intangible Property</t>
  </si>
  <si>
    <t>Total Electric Plant in Service</t>
  </si>
  <si>
    <t>Accumulated Depreciation (Non-ARO)</t>
  </si>
  <si>
    <t>Accumulated Depreciation (ARO)</t>
  </si>
  <si>
    <t>Total Accumulatd Depreciation</t>
  </si>
  <si>
    <t>Net Book Value (101/106/108)</t>
  </si>
  <si>
    <t>TOTAL ADJUSTMENT TO REMOVE MITCHELL PROPERTY FROM RATE BASE (101/106/108)</t>
  </si>
  <si>
    <t>TOTAL ADJUSTMENT TO DECREASE DEPRECIATION EXPENSE FOR REMOVAL OF MITCHELL</t>
  </si>
  <si>
    <t>(a) Adjustments to remove property balances and test year depreciation expense related to Mitchell Plant FGD investments included in Environmental Surcharge.</t>
  </si>
  <si>
    <t>(b) Adjustments to remove property balances and test year depreciation expense related to Mitchell Plant Non-FGD investments included in Environmental Surcharge.</t>
  </si>
  <si>
    <t>W25</t>
  </si>
  <si>
    <t>Witness: Michael Speath</t>
  </si>
  <si>
    <t>Witness: Michael Spaeth</t>
  </si>
  <si>
    <t>David Hodgson</t>
  </si>
  <si>
    <t>Witness: Dave Hodgson</t>
  </si>
  <si>
    <t>Jaclyn Cost</t>
  </si>
  <si>
    <t>Going Forward Vegetation Management O&amp;M</t>
  </si>
  <si>
    <t>Current Vegetation Management O&amp;M</t>
  </si>
  <si>
    <t>Change to Vegetation Management O&amp;M (Ln 1 - Ln 2)</t>
  </si>
  <si>
    <t>Set Going Level of Non-FAC Eligible Fuel Costs</t>
  </si>
  <si>
    <t>Tanner S. Wolffram</t>
  </si>
  <si>
    <t xml:space="preserve">Test-Year Amount of Non-FAC Eligible Fuel Costs </t>
  </si>
  <si>
    <t>Adjusted Test-Year Level Reflecting Settlement in 2023-00008</t>
  </si>
  <si>
    <t>Vegetation Management ROW Widening</t>
  </si>
  <si>
    <t>Incremental TOR Vegetation Management Capital Costs  - Enhanced Reliability Capital Widening</t>
  </si>
  <si>
    <t>365</t>
  </si>
  <si>
    <t>Miscellaneous Revenue Adjustment</t>
  </si>
  <si>
    <t>Revenue From Miscellaneous Service</t>
  </si>
  <si>
    <t>Charges Adjusted For Increased Rates</t>
  </si>
  <si>
    <t>Test Year Revenue From Miscellaneous</t>
  </si>
  <si>
    <t>Witness: Tanner S. Wolffram</t>
  </si>
  <si>
    <t>Mitchell Non-ELG Captial Adjustment</t>
  </si>
  <si>
    <t>FERC Account(s)</t>
  </si>
  <si>
    <t>Amounts</t>
  </si>
  <si>
    <t>Accumulated Depreciation</t>
  </si>
  <si>
    <t>EPIS:</t>
  </si>
  <si>
    <t>Structures, Improvement- Coal as of December 2025</t>
  </si>
  <si>
    <t>Boiler Plant Equip- Coal</t>
  </si>
  <si>
    <t>Turbogenerator Units- Coal</t>
  </si>
  <si>
    <t>Accessory Elect Equip- Coal</t>
  </si>
  <si>
    <t>Misc Pwr Plant Equip- Coal</t>
  </si>
  <si>
    <t>EPIS AND ACCUM DEPRECIATION TOTALS</t>
  </si>
  <si>
    <t>CWIP</t>
  </si>
  <si>
    <t>Estimated CWIP through December 2025</t>
  </si>
  <si>
    <t>COMPANY TOTALS</t>
  </si>
  <si>
    <t>Amortization of Major Storm Cost Deferral</t>
  </si>
  <si>
    <t>W15</t>
  </si>
  <si>
    <t>Storm Cost Deferral Excludes In-House Labor</t>
  </si>
  <si>
    <t>Test Year Amortization</t>
  </si>
  <si>
    <t>*Current storm deferral application is pending</t>
  </si>
  <si>
    <t>Adjustment to Increase Test-Year Non FAC Eligible Fuel Costs</t>
  </si>
  <si>
    <t>KPCO TOTAL COMPANY ADJUSTMENT TO 2025 RATES</t>
  </si>
  <si>
    <t>Increase to lease expense</t>
  </si>
  <si>
    <t>Removal of Wholesale Customer Load</t>
  </si>
  <si>
    <t>KPCo TOTAL</t>
  </si>
  <si>
    <t>KPCo Retail</t>
  </si>
  <si>
    <t>PER BOOKS</t>
  </si>
  <si>
    <t>ADJUSTED PER BOOKS</t>
  </si>
  <si>
    <t>Operating Revenues - Sales of Electricity</t>
  </si>
  <si>
    <t>Operating Revenues - Firm Wholesale Sales of Electricity</t>
  </si>
  <si>
    <t>Provision for Rate Refund</t>
  </si>
  <si>
    <t>Other Electric Operating Revenues</t>
  </si>
  <si>
    <t>Non-Firm Sales Revenues</t>
  </si>
  <si>
    <t xml:space="preserve">    Total Operating Revenues</t>
  </si>
  <si>
    <t>Operation and Maintenance Expenses</t>
  </si>
  <si>
    <t>Power Production</t>
  </si>
  <si>
    <t>Transmission</t>
  </si>
  <si>
    <t>Distribution</t>
  </si>
  <si>
    <t>Customer Accounts</t>
  </si>
  <si>
    <t>Sales Expense</t>
  </si>
  <si>
    <t>Customer Service &amp; Information</t>
  </si>
  <si>
    <t>Administrative and General</t>
  </si>
  <si>
    <t>Undistributed Adjustments</t>
  </si>
  <si>
    <t xml:space="preserve">    Total Operation and Maintenance Expense</t>
  </si>
  <si>
    <t>Depreciation and Amortization Expense</t>
  </si>
  <si>
    <t>Taxes Other than Federal Income Taxes</t>
  </si>
  <si>
    <t>State Income Tax</t>
  </si>
  <si>
    <t>Interest on Customer Deposits</t>
  </si>
  <si>
    <t>Other</t>
  </si>
  <si>
    <t>Net Operating Income Before F.I.T.</t>
  </si>
  <si>
    <t>Federal Income Tax</t>
  </si>
  <si>
    <t xml:space="preserve">  Current Federal Income Tax</t>
  </si>
  <si>
    <t xml:space="preserve">  Deferred Federal Income Tax</t>
  </si>
  <si>
    <t xml:space="preserve">  Deferred Investment Tax Credit</t>
  </si>
  <si>
    <t xml:space="preserve">  ITC Adjustment</t>
  </si>
  <si>
    <t xml:space="preserve">    Total Federal Income Taxes</t>
  </si>
  <si>
    <t>Operating Income</t>
  </si>
  <si>
    <t>Net Operating Income</t>
  </si>
  <si>
    <t>Electric Plant in Service - Original Cost</t>
  </si>
  <si>
    <t>Accumulated Provision for Depreciation &amp; Amortization</t>
  </si>
  <si>
    <t xml:space="preserve">    Electric Plant In Service - Net</t>
  </si>
  <si>
    <t>Electric Plant Held for Future Use</t>
  </si>
  <si>
    <t>Prepayments</t>
  </si>
  <si>
    <t>Materials &amp; Supplies</t>
  </si>
  <si>
    <t>Cash Working Capital</t>
  </si>
  <si>
    <t>Construction Work in Progress (excludes AFUDC in CWIP)</t>
  </si>
  <si>
    <t>Customer Advances &amp; Deposits &amp; Other</t>
  </si>
  <si>
    <t>Revenue, Expense, RB</t>
  </si>
  <si>
    <t>2009 - EXCESS ADFIT 281 - PROTECTED. - KY</t>
  </si>
  <si>
    <t>2010 - EXCESS ADFIT 282 - PROTECTED. - KY</t>
  </si>
  <si>
    <t>2011 - EXCESS ADFIT 282 - UNPROTECTED. - KY</t>
  </si>
  <si>
    <t>2012 - EXCESS ADFIT 283 - UNPROTECTED. - KY</t>
  </si>
  <si>
    <t>Adjustment W03</t>
  </si>
  <si>
    <t>Decrease Test Year Revenue to Remove Estimated Rockport Offset Revenue Recognized but not Yet Recovered</t>
  </si>
  <si>
    <t>Expected Return on Prepaid Pension and OPEB Assets</t>
  </si>
  <si>
    <t>Increase in O&amp;M Expense for Pension and OPEB Actuarial Estimates</t>
  </si>
  <si>
    <t>KPCo Jurisdictional Adjustment to Increase O&amp;M Expense for Pension and OPEB Actuarial Estimates</t>
  </si>
  <si>
    <t>Expected Cost at a Level 1.0 Target</t>
  </si>
  <si>
    <t>All amounts include 50% of Mitchell</t>
  </si>
  <si>
    <t>Annualized Base as of Test Year End</t>
  </si>
  <si>
    <t>Base Payroll Annualization Adjustment
(c-b)</t>
  </si>
  <si>
    <t>Annualized Base with Merit/General Increases as of Test Year End</t>
  </si>
  <si>
    <t>Note: Changes to base payroll exclude overtime, severance payments, incentive payments and other remunerations</t>
  </si>
  <si>
    <t>All amounts includes 50% of Mitchell</t>
  </si>
  <si>
    <t>Blended Base Increase Percentage</t>
  </si>
  <si>
    <t>Base Increase Percentage based on 2.5% merit increase</t>
  </si>
  <si>
    <t>KPCo Jurisdictional Adjustment to Increase O&amp;M Expense for Medicare Tax</t>
  </si>
  <si>
    <t>KPCo Jurisdictional Adjustment to Increase O&amp;M Expense for Social Security Tax</t>
  </si>
  <si>
    <t>Total Incentive Compensation &amp; Payroll Adjustments</t>
  </si>
  <si>
    <t>CAPITALIZATION</t>
  </si>
  <si>
    <t>TEST YEAR ENDED MAY 31, 2025</t>
  </si>
  <si>
    <t>KY Retail</t>
  </si>
  <si>
    <t>ALLOCATED</t>
  </si>
  <si>
    <t>Mitchell FGD</t>
  </si>
  <si>
    <t>NERC Compliance</t>
  </si>
  <si>
    <t>Vegetation Management</t>
  </si>
  <si>
    <t>FRECO</t>
  </si>
  <si>
    <t>Non</t>
  </si>
  <si>
    <t xml:space="preserve"> Adjustments</t>
  </si>
  <si>
    <t>Kentucky</t>
  </si>
  <si>
    <t>PER BOOK</t>
  </si>
  <si>
    <t>ADJUSTED</t>
  </si>
  <si>
    <t>Consumables</t>
  </si>
  <si>
    <t>From Base to</t>
  </si>
  <si>
    <t>Cyber Security</t>
  </si>
  <si>
    <t>ROW Widening</t>
  </si>
  <si>
    <t>A/C 124</t>
  </si>
  <si>
    <t>Utility</t>
  </si>
  <si>
    <t>Kentucky Jurisdiction</t>
  </si>
  <si>
    <t>Jurisdictional</t>
  </si>
  <si>
    <t>BALANCE</t>
  </si>
  <si>
    <t>Removal</t>
  </si>
  <si>
    <t>Environmental</t>
  </si>
  <si>
    <t>Property</t>
  </si>
  <si>
    <t>Allocated</t>
  </si>
  <si>
    <t>Long Term Debt</t>
  </si>
  <si>
    <t>Short Term Debt</t>
  </si>
  <si>
    <t>Common Equity</t>
  </si>
  <si>
    <t>-------------------</t>
  </si>
  <si>
    <t>Sub-Total</t>
  </si>
  <si>
    <t>=============</t>
  </si>
  <si>
    <t>============</t>
  </si>
  <si>
    <t>FAC Credit</t>
  </si>
  <si>
    <t>Further Adjustments to Going Level Fuel Expense After Incorporating Annualized Base Fuel Revenue</t>
  </si>
  <si>
    <t>Base Fuel Revenue - Annualized Billing Units and Base Fuel Rate</t>
  </si>
  <si>
    <t>Increase to TY Base Fuel</t>
  </si>
  <si>
    <t>Increase Fuel Expense - Allocation to 1.0</t>
  </si>
  <si>
    <t>Net Impact to Going-Level Fuel Expense</t>
  </si>
  <si>
    <t>Source: Revenue Proof, tab "Fuel Summary" cell Q65</t>
  </si>
  <si>
    <t>Amount included in Customer Annualization Adjustment</t>
  </si>
  <si>
    <t>Increase Fuel Expense to Sync Fuel Revenue and Expense</t>
  </si>
  <si>
    <t>Annualize Base Rate Revenues</t>
  </si>
  <si>
    <t>Adjustment to annualize base rate revenues due to December 31, 2024 base fuel rate change and remand rate changes</t>
  </si>
  <si>
    <t>Annualized Rate Revenues</t>
  </si>
  <si>
    <t>W05</t>
  </si>
  <si>
    <t>Annual Average Rate Case Costs (Ln 7 / Ln 8)</t>
  </si>
  <si>
    <t>Adjustment to Test Year O&amp;M Expense (Ln 9- Ln 10)</t>
  </si>
  <si>
    <t>KPSC Jurisdiction Amount (Ln 11 X Ln 12)</t>
  </si>
  <si>
    <t>Expense/Capital</t>
  </si>
  <si>
    <t>Depreciation Expense - 365</t>
  </si>
  <si>
    <t>Remove Pension Settlement Costs</t>
  </si>
  <si>
    <t>Working Funds and Other</t>
  </si>
  <si>
    <t>net reduction</t>
  </si>
  <si>
    <t>***excludes July 2022 Historic Flood event and 2021 Ice Events</t>
  </si>
  <si>
    <t>12 Months Ended 05/31/22</t>
  </si>
  <si>
    <t>12 Months Ended 05/31/21</t>
  </si>
  <si>
    <t>2022/Jan</t>
  </si>
  <si>
    <t>2021/Jan</t>
  </si>
  <si>
    <t>Decrease to O&amp;M Expense</t>
  </si>
  <si>
    <t>14+12-15</t>
  </si>
  <si>
    <t>KPCo Adjustment to Decrease O&amp;M Expense for Severance Adjustment</t>
  </si>
  <si>
    <t>( c )</t>
  </si>
  <si>
    <t>( e )</t>
  </si>
  <si>
    <t>Test Year Expenses (Ln 1 + Ln 2 + Ln 3 + Ln 4 + Ln5)</t>
  </si>
  <si>
    <t xml:space="preserve">Allocation Factor </t>
  </si>
  <si>
    <t>Adjustment to Decrease Test Year ARO Accretion Expense due to Annualization Adjustment</t>
  </si>
  <si>
    <t>KPCo Jurisdictional Adjustment to Decrease ARO Accretion Expense</t>
  </si>
  <si>
    <t>RB &amp; Capital</t>
  </si>
  <si>
    <t>W01</t>
  </si>
  <si>
    <t>KPSC Jurisdiction Amount (Ln 3 X Ln 4)</t>
  </si>
  <si>
    <t>W08</t>
  </si>
  <si>
    <t>Remove Tariff D.S.M Revenues and Expenses</t>
  </si>
  <si>
    <t>W14</t>
  </si>
  <si>
    <t>W34</t>
  </si>
  <si>
    <t>W47</t>
  </si>
  <si>
    <t>W50</t>
  </si>
  <si>
    <t>W51-A &amp; W51-B</t>
  </si>
  <si>
    <t>W53</t>
  </si>
  <si>
    <t>51-A and 51-B</t>
  </si>
  <si>
    <t>W52</t>
  </si>
  <si>
    <t>NOI</t>
  </si>
  <si>
    <t>Witness: Jaclyn Cost</t>
  </si>
  <si>
    <t>Line No.
(a)</t>
  </si>
  <si>
    <t>Description
(b)</t>
  </si>
  <si>
    <t>FERC Account
(c)</t>
  </si>
  <si>
    <t>Amount
(d)</t>
  </si>
  <si>
    <t>Allocation Factor 
(e)</t>
  </si>
  <si>
    <t>Factor
(f)</t>
  </si>
  <si>
    <t>KPSC Jurisdictional Amount
(g)=(d*f)</t>
  </si>
  <si>
    <t>Total Adj</t>
  </si>
  <si>
    <t>Increase</t>
  </si>
  <si>
    <t>( c)</t>
  </si>
  <si>
    <t>W44</t>
  </si>
  <si>
    <t>Witness: Franz Messner</t>
  </si>
  <si>
    <t>Dave Hodgson</t>
  </si>
  <si>
    <t>From the Issuance Advice Letter</t>
  </si>
  <si>
    <t>Principal Amount of Issuance</t>
  </si>
  <si>
    <t>Less: Upfront Financing Costs</t>
  </si>
  <si>
    <t>Less $300,000,000 term loan repayment</t>
  </si>
  <si>
    <t>Less $85,199,814 5/31/25 short term debt balance repayment</t>
  </si>
  <si>
    <t>Kentucky Power Severance Expense Removal</t>
  </si>
  <si>
    <t>KPSC Jurisdictional Amount (Ln 10 X Ln 11)</t>
  </si>
  <si>
    <t>KPSC Jurisdictional Amount (Ln 2 X Ln 3)</t>
  </si>
  <si>
    <t>KPSC Jurisdictional Amount of Revenue Decrease  (Ln 1 X Ln 2)</t>
  </si>
  <si>
    <t>KPSC Jurisdictional Amount of Expense Decrease (Ln 4 X Ln 5)</t>
  </si>
  <si>
    <t>Remove Prior Period Adjustment to Pole Rental Revenues, Resulting in an Decrease to Test Year Pole Rental Revenues</t>
  </si>
  <si>
    <t>Remove Prior Period Adjustment to Pole Rental Expenses, Resulting in an Decrease to Test Year Pole Rental Expenses</t>
  </si>
  <si>
    <t>Net Proceeds Available for Debt/Equity Repayment</t>
  </si>
  <si>
    <t xml:space="preserve">Proposed Equity Reduction Adjustment </t>
  </si>
  <si>
    <t>(I + AA)</t>
  </si>
  <si>
    <t>(ADJ-50)</t>
  </si>
  <si>
    <t>(ADJ-57)</t>
  </si>
  <si>
    <t>(ADJ-58)</t>
  </si>
  <si>
    <t>(Acct 1240029)</t>
  </si>
  <si>
    <t>(Acct 1210001)</t>
  </si>
  <si>
    <t>Test Year Storm Expense Deferral</t>
  </si>
  <si>
    <t>Total Test Year Storm Expense</t>
  </si>
  <si>
    <t>Adjustment to O&amp;M to set Storm Damage Expense at $0</t>
  </si>
  <si>
    <t>Witness:  Tanner Wolffram</t>
  </si>
  <si>
    <t>Deferral Amount Authorized By Orders: 2024-00241, 2024-00345, 2025-0031 and current storm deferral application to be filed in July 2025, Dated: July 29, 2024, September 27, 2024, and March 31, 2025,respectively</t>
  </si>
  <si>
    <t>N/A</t>
  </si>
  <si>
    <t>Witness: Tanner Wolffram</t>
  </si>
  <si>
    <t xml:space="preserve"> (c )</t>
  </si>
  <si>
    <t>( d )</t>
  </si>
  <si>
    <t>Current Annual Depreciation Expense as Proposed in Adjustment W37</t>
  </si>
  <si>
    <t>Storm Damage Expense</t>
  </si>
  <si>
    <t xml:space="preserve">Adjustment to Remove Mitchell Non-ELG Capital for Inclusion 
in Generation Rider </t>
  </si>
  <si>
    <t>Non-Transmission Expenses Recovered Through Tariff P.P.A. - W10 (Above)</t>
  </si>
  <si>
    <t>Mitchell Plant</t>
  </si>
  <si>
    <t>Depreciation Expense at Current Rates</t>
  </si>
  <si>
    <t>Prod Plant</t>
  </si>
  <si>
    <t>General Plant</t>
  </si>
  <si>
    <r>
      <t xml:space="preserve">Service Charges </t>
    </r>
    <r>
      <rPr>
        <vertAlign val="superscript"/>
        <sz val="10"/>
        <rFont val="Times New Roman"/>
        <family val="1"/>
      </rPr>
      <t>1/</t>
    </r>
  </si>
  <si>
    <r>
      <t xml:space="preserve">Increase Other Operating Revenue (Ln 1 - Ln 2) </t>
    </r>
    <r>
      <rPr>
        <vertAlign val="superscript"/>
        <sz val="10"/>
        <rFont val="Times New Roman"/>
        <family val="1"/>
      </rPr>
      <t>2/</t>
    </r>
  </si>
  <si>
    <t>Handy -Whitman Index (*1)</t>
  </si>
  <si>
    <t>Constant Dollar Index (*1)</t>
  </si>
  <si>
    <t>5-Year Total Storm Damage (Ln 1 + Ln 2 + Ln 3 + Ln4 + Ln5)</t>
  </si>
  <si>
    <t>5-Year Average (Ln 6 / 5 yrs)</t>
  </si>
  <si>
    <t>KPSC Jurisdictional Amount (Ln 11 x Ln 12)</t>
  </si>
  <si>
    <t>Annual Amortization Amount (Ln 1 / Ln 2)</t>
  </si>
  <si>
    <t>Total Annual Amortization Amount (Ln 3)</t>
  </si>
  <si>
    <t>Amortization Adjustment (Ln 4 - Ln 5)</t>
  </si>
  <si>
    <r>
      <t>Remove Net Plant in Service Related to NERC Compliance and Cybersecurity Projects from Rate Base</t>
    </r>
    <r>
      <rPr>
        <sz val="10"/>
        <color rgb="FF000000"/>
        <rFont val="Times New Roman"/>
        <family val="1"/>
      </rPr>
      <t xml:space="preserve"> </t>
    </r>
  </si>
  <si>
    <t>Per KPSC order dated June 25, 2015, Case No. 2014-00396, KPCo was authorized to defer depreciation expense and debt and equity carrying charges for NERC and cyber security assets placed in service post June 30, 2015.</t>
  </si>
  <si>
    <t>Net Plant in Service Related to NERC Compliance and Cybersecurity Projects (1)</t>
  </si>
  <si>
    <r>
      <t>Remove Net Plant in Service Related to NERC Compliance and Cybersecurity Projects and Related Regulatory Asset / (Liability) Balances from Capitalization</t>
    </r>
    <r>
      <rPr>
        <sz val="10"/>
        <color rgb="FF000000"/>
        <rFont val="Times New Roman"/>
        <family val="1"/>
      </rPr>
      <t xml:space="preserve"> (1)</t>
    </r>
  </si>
  <si>
    <t>W50 - Rate Base &amp; Capitalization</t>
  </si>
  <si>
    <t>W59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</si>
</sst>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0;&quot;-&quot;#0;#0;_(@_)"/>
    <numFmt numFmtId="167" formatCode="#0.000;&quot;-&quot;#0.000;#0.000;_(@_)"/>
    <numFmt numFmtId="168" formatCode="#0.#######################;&quot;-&quot;#0.#######################;#0.#######################;_(@_)"/>
    <numFmt numFmtId="169" formatCode="* #,##0;* \(#,##0\);* #,##0;_(@_)"/>
    <numFmt numFmtId="170" formatCode="&quot;$&quot;* #,##0_);&quot;$&quot;* \(#,##0\);&quot;$&quot;* #,##0_);_(@_)"/>
    <numFmt numFmtId="171" formatCode="#,##0.000;\(#,##0.000\);#,##0.000;_(@_)"/>
    <numFmt numFmtId="172" formatCode="&quot;$&quot;#,##0_);&quot;$&quot;\(#,##0\);&quot;$&quot;#,##0_);_(@_)"/>
    <numFmt numFmtId="173" formatCode="#0.00%;&quot;-&quot;#0.00%;#0.00%;_(@_)"/>
    <numFmt numFmtId="174" formatCode="#0;\(#0\);#0;_(@_)"/>
    <numFmt numFmtId="175" formatCode="&quot;$&quot;#,##0;&quot;-&quot;&quot;$&quot;#,##0;&quot;$&quot;#,##0;_(@_)"/>
    <numFmt numFmtId="176" formatCode="#,##0;&quot;-&quot;#,##0;#,##0;_(@_)"/>
    <numFmt numFmtId="177" formatCode="&quot;$&quot;#,##0.00;&quot;-&quot;&quot;$&quot;#,##0.00;&quot;$&quot;#,##0.00;_(@_)"/>
    <numFmt numFmtId="178" formatCode="#0.0;&quot;-&quot;#0.0;#0.0;_(@_)"/>
    <numFmt numFmtId="179" formatCode="#0.000%;&quot;-&quot;#0.000%;#0.000%;_(@_)"/>
    <numFmt numFmtId="180" formatCode="0_);\(0\)"/>
    <numFmt numFmtId="181" formatCode="&quot;$&quot;#,##0"/>
    <numFmt numFmtId="182" formatCode="&quot;$&quot;#,##0.00"/>
    <numFmt numFmtId="183" formatCode="0.0%"/>
    <numFmt numFmtId="184" formatCode="#,##0.000_);\(#,##0.000\)"/>
    <numFmt numFmtId="185" formatCode="0.000"/>
    <numFmt numFmtId="186" formatCode="_(* #,##0.000000_);_(* \(#,##0.000000\);_(* &quot;-&quot;??_);_(@_)"/>
    <numFmt numFmtId="187" formatCode="&quot;$&quot;* #,##0_);&quot;$&quot;* \(#,##0\);&quot;$&quot;* &quot;—&quot;_);_(@_)"/>
    <numFmt numFmtId="188" formatCode="* #,##0;* \(#,##0\);* &quot;—&quot;;_(@_)"/>
    <numFmt numFmtId="189" formatCode="* #,##0.000;* \(#,##0.000\);* &quot;—&quot;;_(@_)"/>
    <numFmt numFmtId="190" formatCode="#,##0;\(#,##0\);&quot;—&quot;;_(@_)"/>
    <numFmt numFmtId="191" formatCode="&quot;$&quot;* #,##0.00_);&quot;$&quot;* \(#,##0.00\);&quot;$&quot;* &quot;—&quot;_);_(@_)"/>
    <numFmt numFmtId="192" formatCode="#0.00_)%;\(#0.00\)%;&quot;—&quot;_)\%;_(@_)"/>
    <numFmt numFmtId="193" formatCode="#0.00;&quot;-&quot;#0.00;#0.00;_(@_)"/>
    <numFmt numFmtId="194" formatCode="0.000%"/>
    <numFmt numFmtId="195" formatCode="0.000000"/>
    <numFmt numFmtId="196" formatCode="* #,##0.00;* \(#,##0.00\);* &quot;—&quot;;_(@_)"/>
    <numFmt numFmtId="197" formatCode="#,##0;\(#,##0\);#,##0;_(@_)"/>
    <numFmt numFmtId="198" formatCode="#0.0000%;&quot;-&quot;#0.0000%;#0.0000%;_(@_)"/>
    <numFmt numFmtId="199" formatCode="&quot;&quot;* #,##0_);&quot;&quot;* \(#,##0\);&quot;&quot;* #,##0_);_(@_)"/>
    <numFmt numFmtId="200" formatCode="#,##0.000;\(#,##0.000\);&quot;—&quot;;_(@_)"/>
    <numFmt numFmtId="201" formatCode="#,##0;&quot;-&quot;#,##0;&quot;—&quot;;_(@_)"/>
    <numFmt numFmtId="202" formatCode="&quot;&quot;#,##0.00_);&quot;&quot;\(#,##0.00\);&quot;&quot;#,##0.00_);_(@_)"/>
    <numFmt numFmtId="203" formatCode="* #0.00;* \(#0.00\);* &quot;—&quot;;_(@_)"/>
    <numFmt numFmtId="204" formatCode="_(* #,##0.0_);_(* \(#,##0.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name val="Arial MT"/>
    </font>
    <font>
      <sz val="10"/>
      <name val="Arial Unicode MS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vertAlign val="superscript"/>
      <sz val="10"/>
      <name val="Times New Roman"/>
      <family val="1"/>
    </font>
    <font>
      <sz val="10"/>
      <color rgb="FF000000"/>
      <name val="Times New Roman"/>
      <family val="1"/>
    </font>
    <font>
      <b/>
      <i/>
      <u/>
      <sz val="10"/>
      <color rgb="FF000000"/>
      <name val="Times New Roman"/>
      <family val="1"/>
    </font>
    <font>
      <i/>
      <u/>
      <sz val="10"/>
      <color rgb="FF000000"/>
      <name val="Times New Roman"/>
      <family val="1"/>
    </font>
    <font>
      <u/>
      <sz val="10"/>
      <color indexed="8"/>
      <name val="Times New Roman"/>
      <family val="1"/>
    </font>
    <font>
      <u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darkDown"/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Border="0">
      <alignment wrapText="1"/>
    </xf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20" fillId="0" borderId="0" applyBorder="0">
      <alignment wrapText="1"/>
    </xf>
    <xf numFmtId="0" fontId="21" fillId="0" borderId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922">
    <xf numFmtId="0" fontId="0" fillId="0" borderId="0" xfId="0"/>
    <xf numFmtId="0" fontId="10" fillId="0" borderId="0" xfId="0" applyFont="1" applyFill="1"/>
    <xf numFmtId="43" fontId="10" fillId="0" borderId="0" xfId="1" applyFont="1" applyFill="1"/>
    <xf numFmtId="164" fontId="10" fillId="0" borderId="0" xfId="1" applyNumberFormat="1" applyFont="1" applyFill="1"/>
    <xf numFmtId="164" fontId="10" fillId="0" borderId="0" xfId="0" applyNumberFormat="1" applyFont="1" applyFill="1"/>
    <xf numFmtId="165" fontId="11" fillId="0" borderId="17" xfId="7" applyNumberFormat="1" applyFont="1" applyFill="1" applyBorder="1"/>
    <xf numFmtId="165" fontId="11" fillId="0" borderId="18" xfId="7" applyNumberFormat="1" applyFont="1" applyFill="1" applyBorder="1"/>
    <xf numFmtId="165" fontId="11" fillId="0" borderId="0" xfId="18" applyNumberFormat="1" applyFont="1" applyFill="1" applyAlignment="1">
      <alignment horizontal="right"/>
    </xf>
    <xf numFmtId="165" fontId="12" fillId="0" borderId="0" xfId="7" applyNumberFormat="1" applyFont="1" applyFill="1"/>
    <xf numFmtId="165" fontId="11" fillId="0" borderId="0" xfId="15" applyNumberFormat="1" applyFont="1" applyFill="1"/>
    <xf numFmtId="165" fontId="16" fillId="0" borderId="0" xfId="16" applyNumberFormat="1" applyFont="1" applyFill="1" applyBorder="1"/>
    <xf numFmtId="0" fontId="19" fillId="0" borderId="0" xfId="41"/>
    <xf numFmtId="0" fontId="9" fillId="0" borderId="14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21" fillId="0" borderId="0" xfId="43"/>
    <xf numFmtId="0" fontId="21" fillId="0" borderId="0" xfId="43" applyAlignment="1">
      <alignment horizontal="center"/>
    </xf>
    <xf numFmtId="0" fontId="11" fillId="0" borderId="0" xfId="10" applyFont="1" applyFill="1"/>
    <xf numFmtId="0" fontId="11" fillId="0" borderId="0" xfId="10" applyFont="1" applyFill="1" applyAlignment="1">
      <alignment horizontal="right"/>
    </xf>
    <xf numFmtId="0" fontId="11" fillId="0" borderId="0" xfId="11" applyFont="1" applyFill="1" applyAlignment="1">
      <alignment horizontal="right"/>
    </xf>
    <xf numFmtId="49" fontId="11" fillId="0" borderId="0" xfId="10" applyNumberFormat="1" applyFont="1" applyFill="1" applyAlignment="1">
      <alignment horizontal="center" wrapText="1"/>
    </xf>
    <xf numFmtId="49" fontId="12" fillId="0" borderId="0" xfId="10" applyNumberFormat="1" applyFont="1" applyFill="1" applyAlignment="1">
      <alignment horizontal="center" wrapText="1"/>
    </xf>
    <xf numFmtId="49" fontId="13" fillId="0" borderId="0" xfId="10" applyNumberFormat="1" applyFont="1" applyFill="1" applyAlignment="1">
      <alignment horizontal="center" wrapText="1"/>
    </xf>
    <xf numFmtId="0" fontId="12" fillId="0" borderId="0" xfId="10" applyFont="1" applyFill="1"/>
    <xf numFmtId="37" fontId="12" fillId="0" borderId="0" xfId="10" applyNumberFormat="1" applyFont="1" applyFill="1" applyAlignment="1">
      <alignment horizontal="center"/>
    </xf>
    <xf numFmtId="0" fontId="11" fillId="0" borderId="0" xfId="10" applyFont="1" applyFill="1" applyAlignment="1">
      <alignment horizontal="center"/>
    </xf>
    <xf numFmtId="49" fontId="13" fillId="0" borderId="0" xfId="10" applyNumberFormat="1" applyFont="1" applyFill="1" applyAlignment="1">
      <alignment horizontal="left"/>
    </xf>
    <xf numFmtId="49" fontId="11" fillId="0" borderId="0" xfId="10" applyNumberFormat="1" applyFont="1" applyFill="1"/>
    <xf numFmtId="165" fontId="11" fillId="0" borderId="0" xfId="10" applyNumberFormat="1" applyFont="1" applyFill="1"/>
    <xf numFmtId="181" fontId="14" fillId="0" borderId="0" xfId="18" applyNumberFormat="1" applyFont="1" applyFill="1"/>
    <xf numFmtId="181" fontId="11" fillId="0" borderId="0" xfId="10" applyNumberFormat="1" applyFont="1" applyFill="1"/>
    <xf numFmtId="165" fontId="11" fillId="0" borderId="19" xfId="7" applyNumberFormat="1" applyFont="1" applyFill="1" applyBorder="1"/>
    <xf numFmtId="5" fontId="12" fillId="0" borderId="0" xfId="19" applyNumberFormat="1" applyFont="1" applyFill="1" applyAlignment="1">
      <alignment horizontal="right"/>
    </xf>
    <xf numFmtId="182" fontId="11" fillId="0" borderId="0" xfId="10" applyNumberFormat="1" applyFont="1" applyFill="1"/>
    <xf numFmtId="49" fontId="11" fillId="0" borderId="0" xfId="10" applyNumberFormat="1" applyFont="1" applyFill="1" applyAlignment="1">
      <alignment horizontal="left" wrapText="1"/>
    </xf>
    <xf numFmtId="49" fontId="12" fillId="0" borderId="0" xfId="10" applyNumberFormat="1" applyFont="1" applyFill="1" applyAlignment="1">
      <alignment horizontal="left"/>
    </xf>
    <xf numFmtId="183" fontId="12" fillId="0" borderId="20" xfId="0" applyNumberFormat="1" applyFont="1" applyFill="1" applyBorder="1" applyAlignment="1">
      <alignment horizontal="center"/>
    </xf>
    <xf numFmtId="49" fontId="11" fillId="0" borderId="0" xfId="10" applyNumberFormat="1" applyFont="1" applyFill="1" applyAlignment="1">
      <alignment horizontal="left"/>
    </xf>
    <xf numFmtId="184" fontId="11" fillId="0" borderId="0" xfId="19" applyNumberFormat="1" applyFont="1" applyFill="1" applyAlignment="1">
      <alignment horizontal="right"/>
    </xf>
    <xf numFmtId="49" fontId="13" fillId="0" borderId="0" xfId="10" applyNumberFormat="1" applyFont="1" applyFill="1" applyAlignment="1">
      <alignment horizontal="left" wrapText="1"/>
    </xf>
    <xf numFmtId="0" fontId="11" fillId="0" borderId="0" xfId="19" applyFont="1" applyFill="1" applyAlignment="1">
      <alignment horizontal="right"/>
    </xf>
    <xf numFmtId="165" fontId="11" fillId="0" borderId="21" xfId="7" applyNumberFormat="1" applyFont="1" applyFill="1" applyBorder="1"/>
    <xf numFmtId="165" fontId="11" fillId="0" borderId="22" xfId="7" applyNumberFormat="1" applyFont="1" applyFill="1" applyBorder="1"/>
    <xf numFmtId="165" fontId="12" fillId="0" borderId="17" xfId="7" applyNumberFormat="1" applyFont="1" applyFill="1" applyBorder="1"/>
    <xf numFmtId="165" fontId="11" fillId="0" borderId="0" xfId="7" applyNumberFormat="1" applyFont="1" applyFill="1" applyBorder="1"/>
    <xf numFmtId="165" fontId="11" fillId="0" borderId="23" xfId="7" applyNumberFormat="1" applyFont="1" applyFill="1" applyBorder="1"/>
    <xf numFmtId="165" fontId="11" fillId="0" borderId="24" xfId="7" applyNumberFormat="1" applyFont="1" applyFill="1" applyBorder="1"/>
    <xf numFmtId="165" fontId="11" fillId="0" borderId="25" xfId="7" applyNumberFormat="1" applyFont="1" applyFill="1" applyBorder="1"/>
    <xf numFmtId="164" fontId="11" fillId="0" borderId="0" xfId="10" applyNumberFormat="1" applyFont="1" applyFill="1"/>
    <xf numFmtId="0" fontId="12" fillId="0" borderId="0" xfId="10" applyFont="1" applyFill="1" applyAlignment="1">
      <alignment horizontal="right"/>
    </xf>
    <xf numFmtId="0" fontId="11" fillId="0" borderId="0" xfId="20" applyFont="1" applyFill="1"/>
    <xf numFmtId="0" fontId="11" fillId="0" borderId="0" xfId="14" applyFont="1" applyFill="1"/>
    <xf numFmtId="0" fontId="15" fillId="0" borderId="0" xfId="10" applyFont="1" applyFill="1" applyAlignment="1">
      <alignment horizontal="right"/>
    </xf>
    <xf numFmtId="0" fontId="12" fillId="0" borderId="0" xfId="20" applyFont="1" applyFill="1" applyAlignment="1">
      <alignment horizontal="center" vertical="center"/>
    </xf>
    <xf numFmtId="0" fontId="13" fillId="0" borderId="0" xfId="10" applyFont="1" applyFill="1" applyAlignment="1">
      <alignment horizontal="center" vertical="center" wrapText="1"/>
    </xf>
    <xf numFmtId="0" fontId="13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horizontal="center" vertical="center" wrapText="1"/>
    </xf>
    <xf numFmtId="0" fontId="12" fillId="0" borderId="0" xfId="20" applyFont="1" applyFill="1"/>
    <xf numFmtId="180" fontId="12" fillId="0" borderId="0" xfId="14" applyNumberFormat="1" applyFont="1" applyFill="1" applyAlignment="1">
      <alignment horizontal="center"/>
    </xf>
    <xf numFmtId="0" fontId="11" fillId="0" borderId="0" xfId="14" applyFont="1" applyFill="1" applyAlignment="1">
      <alignment horizontal="center"/>
    </xf>
    <xf numFmtId="0" fontId="11" fillId="0" borderId="0" xfId="14" applyFont="1" applyFill="1" applyAlignment="1">
      <alignment wrapText="1"/>
    </xf>
    <xf numFmtId="0" fontId="11" fillId="0" borderId="0" xfId="14" applyFont="1" applyFill="1" applyAlignment="1">
      <alignment horizontal="right"/>
    </xf>
    <xf numFmtId="165" fontId="11" fillId="0" borderId="15" xfId="15" applyNumberFormat="1" applyFont="1" applyFill="1" applyBorder="1"/>
    <xf numFmtId="0" fontId="11" fillId="0" borderId="0" xfId="20" applyFont="1" applyFill="1" applyAlignment="1">
      <alignment horizontal="right"/>
    </xf>
    <xf numFmtId="165" fontId="11" fillId="0" borderId="0" xfId="20" applyNumberFormat="1" applyFont="1" applyFill="1"/>
    <xf numFmtId="0" fontId="12" fillId="0" borderId="0" xfId="14" applyFont="1" applyFill="1" applyAlignment="1">
      <alignment horizontal="left" wrapText="1"/>
    </xf>
    <xf numFmtId="0" fontId="12" fillId="0" borderId="0" xfId="14" applyFont="1" applyFill="1" applyAlignment="1">
      <alignment wrapText="1"/>
    </xf>
    <xf numFmtId="0" fontId="11" fillId="0" borderId="0" xfId="20" applyFont="1" applyFill="1" applyAlignment="1">
      <alignment horizontal="left"/>
    </xf>
    <xf numFmtId="0" fontId="2" fillId="0" borderId="0" xfId="20" applyFill="1"/>
    <xf numFmtId="6" fontId="16" fillId="0" borderId="0" xfId="34" applyNumberFormat="1" applyFont="1" applyFill="1"/>
    <xf numFmtId="165" fontId="16" fillId="0" borderId="0" xfId="34" applyNumberFormat="1" applyFont="1" applyFill="1"/>
    <xf numFmtId="165" fontId="17" fillId="0" borderId="0" xfId="34" applyNumberFormat="1" applyFont="1" applyFill="1"/>
    <xf numFmtId="0" fontId="10" fillId="0" borderId="0" xfId="12" applyFont="1" applyFill="1"/>
    <xf numFmtId="0" fontId="12" fillId="0" borderId="0" xfId="11" applyFont="1" applyFill="1" applyAlignment="1">
      <alignment horizontal="center"/>
    </xf>
    <xf numFmtId="0" fontId="11" fillId="0" borderId="0" xfId="11" applyFont="1" applyFill="1"/>
    <xf numFmtId="49" fontId="12" fillId="0" borderId="0" xfId="11" applyNumberFormat="1" applyFont="1" applyFill="1" applyAlignment="1">
      <alignment horizontal="center"/>
    </xf>
    <xf numFmtId="0" fontId="9" fillId="0" borderId="0" xfId="12" applyFont="1" applyFill="1"/>
    <xf numFmtId="180" fontId="9" fillId="0" borderId="0" xfId="12" applyNumberFormat="1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8" fillId="0" borderId="0" xfId="0" applyFont="1" applyFill="1" applyAlignment="1">
      <alignment horizontal="center"/>
    </xf>
    <xf numFmtId="180" fontId="10" fillId="0" borderId="0" xfId="0" applyNumberFormat="1" applyFont="1" applyFill="1" applyAlignment="1">
      <alignment horizontal="center"/>
    </xf>
    <xf numFmtId="5" fontId="10" fillId="0" borderId="0" xfId="0" applyNumberFormat="1" applyFont="1" applyFill="1"/>
    <xf numFmtId="181" fontId="11" fillId="0" borderId="0" xfId="0" applyNumberFormat="1" applyFont="1" applyFill="1"/>
    <xf numFmtId="181" fontId="10" fillId="0" borderId="0" xfId="0" applyNumberFormat="1" applyFont="1" applyFill="1"/>
    <xf numFmtId="0" fontId="2" fillId="0" borderId="0" xfId="24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14" applyFont="1"/>
    <xf numFmtId="17" fontId="9" fillId="0" borderId="16" xfId="0" applyNumberFormat="1" applyFont="1" applyBorder="1" applyAlignment="1">
      <alignment horizontal="center"/>
    </xf>
    <xf numFmtId="0" fontId="11" fillId="0" borderId="0" xfId="10" applyFont="1"/>
    <xf numFmtId="0" fontId="9" fillId="0" borderId="0" xfId="0" applyFont="1" applyFill="1"/>
    <xf numFmtId="164" fontId="10" fillId="0" borderId="1" xfId="0" applyNumberFormat="1" applyFont="1" applyFill="1" applyBorder="1"/>
    <xf numFmtId="43" fontId="10" fillId="0" borderId="0" xfId="0" applyNumberFormat="1" applyFont="1" applyFill="1"/>
    <xf numFmtId="37" fontId="10" fillId="0" borderId="0" xfId="0" applyNumberFormat="1" applyFont="1" applyFill="1"/>
    <xf numFmtId="0" fontId="1" fillId="0" borderId="0" xfId="48"/>
    <xf numFmtId="181" fontId="1" fillId="0" borderId="0" xfId="48" applyNumberFormat="1"/>
    <xf numFmtId="0" fontId="10" fillId="0" borderId="14" xfId="0" applyFont="1" applyFill="1" applyBorder="1" applyAlignment="1">
      <alignment wrapText="1"/>
    </xf>
    <xf numFmtId="0" fontId="10" fillId="0" borderId="14" xfId="0" applyFont="1" applyFill="1" applyBorder="1"/>
    <xf numFmtId="165" fontId="12" fillId="0" borderId="20" xfId="7" applyNumberFormat="1" applyFont="1" applyFill="1" applyBorder="1"/>
    <xf numFmtId="0" fontId="10" fillId="0" borderId="14" xfId="0" applyFont="1" applyFill="1" applyBorder="1" applyAlignment="1">
      <alignment horizontal="left" wrapText="1"/>
    </xf>
    <xf numFmtId="0" fontId="10" fillId="0" borderId="14" xfId="0" applyFont="1" applyFill="1" applyBorder="1" applyAlignment="1"/>
    <xf numFmtId="0" fontId="10" fillId="0" borderId="14" xfId="0" applyFont="1" applyFill="1" applyBorder="1" applyAlignment="1">
      <alignment horizontal="center"/>
    </xf>
    <xf numFmtId="37" fontId="5" fillId="0" borderId="0" xfId="25" quotePrefix="1" applyNumberFormat="1" applyFont="1" applyAlignment="1">
      <alignment horizontal="center"/>
    </xf>
    <xf numFmtId="0" fontId="10" fillId="0" borderId="14" xfId="0" quotePrefix="1" applyFont="1" applyFill="1" applyBorder="1" applyAlignment="1">
      <alignment horizontal="center"/>
    </xf>
    <xf numFmtId="165" fontId="11" fillId="0" borderId="15" xfId="20" applyNumberFormat="1" applyFont="1" applyFill="1" applyBorder="1"/>
    <xf numFmtId="0" fontId="0" fillId="0" borderId="0" xfId="0"/>
    <xf numFmtId="0" fontId="22" fillId="0" borderId="0" xfId="0" applyFont="1" applyFill="1"/>
    <xf numFmtId="180" fontId="11" fillId="0" borderId="0" xfId="14" quotePrefix="1" applyNumberFormat="1" applyFont="1" applyFill="1" applyAlignment="1">
      <alignment horizontal="center"/>
    </xf>
    <xf numFmtId="0" fontId="11" fillId="0" borderId="0" xfId="20" applyFont="1" applyFill="1" applyAlignment="1">
      <alignment horizontal="center"/>
    </xf>
    <xf numFmtId="0" fontId="12" fillId="0" borderId="0" xfId="1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49" fontId="12" fillId="0" borderId="0" xfId="0" applyNumberFormat="1" applyFont="1" applyFill="1" applyAlignment="1">
      <alignment horizontal="center"/>
    </xf>
    <xf numFmtId="0" fontId="11" fillId="0" borderId="0" xfId="2" applyFont="1" applyFill="1"/>
    <xf numFmtId="0" fontId="11" fillId="0" borderId="1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/>
    </xf>
    <xf numFmtId="164" fontId="11" fillId="0" borderId="0" xfId="3" applyNumberFormat="1" applyFont="1" applyFill="1" applyAlignment="1"/>
    <xf numFmtId="164" fontId="11" fillId="0" borderId="0" xfId="3" applyNumberFormat="1" applyFont="1" applyFill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165" fontId="11" fillId="0" borderId="0" xfId="4" applyNumberFormat="1" applyFont="1" applyFill="1"/>
    <xf numFmtId="0" fontId="11" fillId="0" borderId="0" xfId="2" applyFont="1" applyFill="1" applyBorder="1"/>
    <xf numFmtId="0" fontId="18" fillId="0" borderId="0" xfId="2" applyFont="1" applyFill="1"/>
    <xf numFmtId="165" fontId="11" fillId="0" borderId="0" xfId="4" applyNumberFormat="1" applyFont="1" applyFill="1" applyBorder="1"/>
    <xf numFmtId="43" fontId="11" fillId="0" borderId="0" xfId="1" applyFont="1" applyFill="1" applyBorder="1" applyAlignment="1">
      <alignment horizontal="center"/>
    </xf>
    <xf numFmtId="0" fontId="12" fillId="0" borderId="0" xfId="2" applyFont="1" applyFill="1"/>
    <xf numFmtId="165" fontId="11" fillId="0" borderId="1" xfId="4" applyNumberFormat="1" applyFont="1" applyFill="1" applyBorder="1"/>
    <xf numFmtId="43" fontId="11" fillId="2" borderId="15" xfId="1" applyFont="1" applyFill="1" applyBorder="1" applyAlignment="1">
      <alignment horizontal="center"/>
    </xf>
    <xf numFmtId="0" fontId="11" fillId="0" borderId="0" xfId="21" applyFont="1" applyFill="1"/>
    <xf numFmtId="43" fontId="11" fillId="0" borderId="0" xfId="1" applyFont="1" applyFill="1" applyAlignment="1">
      <alignment horizontal="center"/>
    </xf>
    <xf numFmtId="165" fontId="10" fillId="0" borderId="0" xfId="7" applyNumberFormat="1" applyFont="1" applyFill="1"/>
    <xf numFmtId="0" fontId="10" fillId="0" borderId="0" xfId="0" applyFont="1" applyFill="1" applyBorder="1"/>
    <xf numFmtId="0" fontId="11" fillId="2" borderId="0" xfId="2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/>
    </xf>
    <xf numFmtId="164" fontId="11" fillId="2" borderId="0" xfId="3" applyNumberFormat="1" applyFont="1" applyFill="1" applyAlignment="1"/>
    <xf numFmtId="164" fontId="11" fillId="2" borderId="0" xfId="3" applyNumberFormat="1" applyFont="1" applyFill="1" applyAlignment="1">
      <alignment horizontal="center"/>
    </xf>
    <xf numFmtId="164" fontId="11" fillId="2" borderId="0" xfId="3" applyNumberFormat="1" applyFont="1" applyFill="1" applyBorder="1" applyAlignment="1">
      <alignment horizontal="center"/>
    </xf>
    <xf numFmtId="165" fontId="11" fillId="2" borderId="0" xfId="4" applyNumberFormat="1" applyFont="1" applyFill="1"/>
    <xf numFmtId="0" fontId="11" fillId="2" borderId="0" xfId="2" applyFont="1" applyFill="1" applyBorder="1"/>
    <xf numFmtId="0" fontId="18" fillId="2" borderId="0" xfId="2" applyFont="1" applyFill="1"/>
    <xf numFmtId="165" fontId="11" fillId="2" borderId="0" xfId="4" applyNumberFormat="1" applyFont="1" applyFill="1" applyBorder="1"/>
    <xf numFmtId="43" fontId="11" fillId="2" borderId="0" xfId="1" applyFont="1" applyFill="1" applyAlignment="1">
      <alignment horizontal="center"/>
    </xf>
    <xf numFmtId="0" fontId="12" fillId="2" borderId="0" xfId="2" applyFont="1" applyFill="1"/>
    <xf numFmtId="0" fontId="10" fillId="2" borderId="0" xfId="0" applyFont="1" applyFill="1"/>
    <xf numFmtId="0" fontId="10" fillId="2" borderId="0" xfId="0" applyFont="1" applyFill="1" applyBorder="1"/>
    <xf numFmtId="165" fontId="10" fillId="2" borderId="0" xfId="7" applyNumberFormat="1" applyFont="1" applyFill="1"/>
    <xf numFmtId="165" fontId="10" fillId="0" borderId="0" xfId="7" applyNumberFormat="1" applyFont="1" applyFill="1" applyBorder="1"/>
    <xf numFmtId="164" fontId="10" fillId="2" borderId="0" xfId="1" applyNumberFormat="1" applyFont="1" applyFill="1" applyBorder="1"/>
    <xf numFmtId="164" fontId="10" fillId="2" borderId="0" xfId="1" applyNumberFormat="1" applyFont="1" applyFill="1"/>
    <xf numFmtId="165" fontId="10" fillId="2" borderId="0" xfId="0" applyNumberFormat="1" applyFont="1" applyFill="1"/>
    <xf numFmtId="164" fontId="10" fillId="2" borderId="0" xfId="0" applyNumberFormat="1" applyFont="1" applyFill="1"/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/>
    <xf numFmtId="7" fontId="11" fillId="0" borderId="0" xfId="0" applyNumberFormat="1" applyFont="1"/>
    <xf numFmtId="5" fontId="11" fillId="0" borderId="0" xfId="0" applyNumberFormat="1" applyFont="1"/>
    <xf numFmtId="49" fontId="11" fillId="0" borderId="0" xfId="0" applyNumberFormat="1" applyFont="1" applyAlignment="1">
      <alignment horizontal="left"/>
    </xf>
    <xf numFmtId="0" fontId="24" fillId="0" borderId="0" xfId="0" applyFont="1" applyFill="1"/>
    <xf numFmtId="49" fontId="10" fillId="0" borderId="0" xfId="0" applyNumberFormat="1" applyFont="1" applyFill="1"/>
    <xf numFmtId="49" fontId="11" fillId="0" borderId="0" xfId="0" applyNumberFormat="1" applyFont="1" applyFill="1"/>
    <xf numFmtId="180" fontId="10" fillId="0" borderId="0" xfId="0" quotePrefix="1" applyNumberFormat="1" applyFont="1" applyAlignment="1">
      <alignment horizontal="center"/>
    </xf>
    <xf numFmtId="180" fontId="10" fillId="0" borderId="0" xfId="0" applyNumberFormat="1" applyFont="1" applyAlignment="1">
      <alignment horizontal="center"/>
    </xf>
    <xf numFmtId="5" fontId="10" fillId="0" borderId="0" xfId="0" applyNumberFormat="1" applyFont="1"/>
    <xf numFmtId="0" fontId="10" fillId="0" borderId="0" xfId="0" applyFont="1" applyAlignment="1">
      <alignment horizontal="center" vertical="center"/>
    </xf>
    <xf numFmtId="6" fontId="10" fillId="0" borderId="0" xfId="0" applyNumberFormat="1" applyFont="1"/>
    <xf numFmtId="5" fontId="10" fillId="0" borderId="0" xfId="0" applyNumberFormat="1" applyFont="1" applyBorder="1"/>
    <xf numFmtId="5" fontId="10" fillId="0" borderId="27" xfId="0" applyNumberFormat="1" applyFont="1" applyBorder="1"/>
    <xf numFmtId="185" fontId="10" fillId="0" borderId="1" xfId="0" applyNumberFormat="1" applyFont="1" applyBorder="1"/>
    <xf numFmtId="5" fontId="10" fillId="0" borderId="15" xfId="0" applyNumberFormat="1" applyFont="1" applyBorder="1"/>
    <xf numFmtId="0" fontId="11" fillId="0" borderId="0" xfId="21" applyFont="1"/>
    <xf numFmtId="0" fontId="25" fillId="0" borderId="0" xfId="21" applyFont="1" applyAlignment="1">
      <alignment horizontal="center" wrapText="1"/>
    </xf>
    <xf numFmtId="166" fontId="25" fillId="0" borderId="0" xfId="21" applyNumberFormat="1" applyFont="1" applyAlignment="1">
      <alignment horizontal="center" vertical="top" wrapText="1"/>
    </xf>
    <xf numFmtId="0" fontId="25" fillId="0" borderId="0" xfId="21" applyFont="1" applyAlignment="1">
      <alignment horizontal="left" vertical="top" wrapText="1"/>
    </xf>
    <xf numFmtId="187" fontId="25" fillId="0" borderId="3" xfId="21" applyNumberFormat="1" applyFont="1" applyBorder="1" applyAlignment="1">
      <alignment vertical="top" wrapText="1"/>
    </xf>
    <xf numFmtId="167" fontId="25" fillId="0" borderId="0" xfId="21" applyNumberFormat="1" applyFont="1" applyAlignment="1">
      <alignment horizontal="center" wrapText="1"/>
    </xf>
    <xf numFmtId="0" fontId="11" fillId="0" borderId="0" xfId="21" applyFont="1" applyAlignment="1">
      <alignment horizontal="center"/>
    </xf>
    <xf numFmtId="165" fontId="25" fillId="0" borderId="0" xfId="7" applyNumberFormat="1" applyFont="1" applyAlignment="1">
      <alignment wrapText="1"/>
    </xf>
    <xf numFmtId="165" fontId="25" fillId="0" borderId="0" xfId="7" applyNumberFormat="1" applyFont="1" applyFill="1" applyAlignment="1">
      <alignment vertical="top" wrapText="1"/>
    </xf>
    <xf numFmtId="188" fontId="25" fillId="0" borderId="0" xfId="21" applyNumberFormat="1" applyFont="1" applyAlignment="1">
      <alignment wrapText="1"/>
    </xf>
    <xf numFmtId="188" fontId="25" fillId="0" borderId="0" xfId="21" applyNumberFormat="1" applyFont="1" applyFill="1" applyAlignment="1">
      <alignment vertical="top" wrapText="1"/>
    </xf>
    <xf numFmtId="0" fontId="25" fillId="0" borderId="0" xfId="21" applyFont="1" applyAlignment="1">
      <alignment horizontal="center" vertical="top" wrapText="1"/>
    </xf>
    <xf numFmtId="188" fontId="25" fillId="0" borderId="2" xfId="21" applyNumberFormat="1" applyFont="1" applyBorder="1" applyAlignment="1">
      <alignment wrapText="1"/>
    </xf>
    <xf numFmtId="188" fontId="25" fillId="0" borderId="2" xfId="21" applyNumberFormat="1" applyFont="1" applyFill="1" applyBorder="1" applyAlignment="1">
      <alignment vertical="top" wrapText="1"/>
    </xf>
    <xf numFmtId="0" fontId="25" fillId="0" borderId="4" xfId="21" applyFont="1" applyBorder="1" applyAlignment="1">
      <alignment vertical="top" wrapText="1"/>
    </xf>
    <xf numFmtId="0" fontId="25" fillId="0" borderId="4" xfId="21" applyFont="1" applyFill="1" applyBorder="1" applyAlignment="1">
      <alignment vertical="top" wrapText="1"/>
    </xf>
    <xf numFmtId="166" fontId="25" fillId="0" borderId="0" xfId="21" applyNumberFormat="1" applyFont="1" applyAlignment="1">
      <alignment horizontal="center" wrapText="1"/>
    </xf>
    <xf numFmtId="187" fontId="25" fillId="0" borderId="0" xfId="0" applyNumberFormat="1" applyFont="1" applyAlignment="1">
      <alignment vertical="top" wrapText="1"/>
    </xf>
    <xf numFmtId="187" fontId="25" fillId="0" borderId="0" xfId="21" applyNumberFormat="1" applyFont="1" applyFill="1" applyAlignment="1">
      <alignment vertical="top" wrapText="1"/>
    </xf>
    <xf numFmtId="0" fontId="25" fillId="0" borderId="0" xfId="21" applyFont="1" applyAlignment="1">
      <alignment wrapText="1"/>
    </xf>
    <xf numFmtId="168" fontId="25" fillId="0" borderId="0" xfId="21" applyNumberFormat="1" applyFont="1" applyAlignment="1">
      <alignment horizontal="center" wrapText="1"/>
    </xf>
    <xf numFmtId="0" fontId="25" fillId="0" borderId="0" xfId="21" applyFont="1" applyAlignment="1">
      <alignment horizontal="right" wrapText="1"/>
    </xf>
    <xf numFmtId="0" fontId="25" fillId="0" borderId="0" xfId="0" applyFont="1" applyAlignment="1">
      <alignment horizontal="left" wrapText="1"/>
    </xf>
    <xf numFmtId="0" fontId="25" fillId="0" borderId="0" xfId="21" applyFont="1" applyAlignment="1">
      <alignment horizontal="left" wrapText="1"/>
    </xf>
    <xf numFmtId="0" fontId="10" fillId="0" borderId="0" xfId="12" applyFont="1" applyFill="1" applyAlignment="1">
      <alignment horizontal="center" vertical="center"/>
    </xf>
    <xf numFmtId="0" fontId="11" fillId="0" borderId="0" xfId="11" applyFont="1"/>
    <xf numFmtId="0" fontId="10" fillId="0" borderId="0" xfId="12" applyFont="1" applyFill="1" applyAlignment="1">
      <alignment horizontal="center"/>
    </xf>
    <xf numFmtId="0" fontId="10" fillId="0" borderId="0" xfId="12" applyFont="1"/>
    <xf numFmtId="165" fontId="11" fillId="0" borderId="15" xfId="10" applyNumberFormat="1" applyFont="1" applyFill="1" applyBorder="1"/>
    <xf numFmtId="0" fontId="11" fillId="0" borderId="0" xfId="0" applyFont="1" applyFill="1" applyAlignment="1">
      <alignment horizontal="center"/>
    </xf>
    <xf numFmtId="40" fontId="11" fillId="0" borderId="0" xfId="0" applyNumberFormat="1" applyFont="1" applyFill="1" applyAlignment="1">
      <alignment horizontal="left" vertical="top"/>
    </xf>
    <xf numFmtId="165" fontId="11" fillId="0" borderId="0" xfId="7" applyNumberFormat="1" applyFont="1" applyFill="1" applyAlignment="1">
      <alignment horizontal="right"/>
    </xf>
    <xf numFmtId="165" fontId="11" fillId="0" borderId="27" xfId="10" applyNumberFormat="1" applyFont="1" applyFill="1" applyBorder="1"/>
    <xf numFmtId="49" fontId="11" fillId="0" borderId="0" xfId="13" applyNumberFormat="1" applyFont="1" applyFill="1" applyAlignment="1">
      <alignment horizontal="left"/>
    </xf>
    <xf numFmtId="0" fontId="11" fillId="0" borderId="0" xfId="20" applyFont="1" applyAlignment="1">
      <alignment horizontal="center"/>
    </xf>
    <xf numFmtId="0" fontId="11" fillId="0" borderId="0" xfId="20" applyFont="1"/>
    <xf numFmtId="0" fontId="12" fillId="0" borderId="0" xfId="20" applyFont="1" applyAlignment="1">
      <alignment horizontal="center"/>
    </xf>
    <xf numFmtId="49" fontId="11" fillId="0" borderId="0" xfId="20" applyNumberFormat="1" applyFont="1" applyAlignment="1">
      <alignment horizontal="center"/>
    </xf>
    <xf numFmtId="49" fontId="11" fillId="0" borderId="0" xfId="20" applyNumberFormat="1" applyFont="1"/>
    <xf numFmtId="0" fontId="18" fillId="0" borderId="0" xfId="20" applyFont="1" applyAlignment="1">
      <alignment horizontal="center"/>
    </xf>
    <xf numFmtId="180" fontId="11" fillId="0" borderId="0" xfId="20" applyNumberFormat="1" applyFont="1" applyAlignment="1">
      <alignment horizontal="center"/>
    </xf>
    <xf numFmtId="5" fontId="11" fillId="0" borderId="0" xfId="20" applyNumberFormat="1" applyFont="1"/>
    <xf numFmtId="37" fontId="11" fillId="0" borderId="0" xfId="21" applyNumberFormat="1" applyFont="1"/>
    <xf numFmtId="165" fontId="11" fillId="0" borderId="1" xfId="7" applyNumberFormat="1" applyFont="1" applyFill="1" applyBorder="1"/>
    <xf numFmtId="165" fontId="11" fillId="0" borderId="0" xfId="7" applyNumberFormat="1" applyFont="1"/>
    <xf numFmtId="0" fontId="11" fillId="4" borderId="0" xfId="20" applyFont="1" applyFill="1"/>
    <xf numFmtId="0" fontId="11" fillId="4" borderId="0" xfId="21" applyFont="1" applyFill="1"/>
    <xf numFmtId="37" fontId="11" fillId="4" borderId="0" xfId="21" applyNumberFormat="1" applyFont="1" applyFill="1"/>
    <xf numFmtId="37" fontId="11" fillId="0" borderId="0" xfId="21" applyNumberFormat="1" applyFont="1" applyFill="1"/>
    <xf numFmtId="165" fontId="11" fillId="0" borderId="0" xfId="7" applyNumberFormat="1" applyFont="1" applyFill="1"/>
    <xf numFmtId="165" fontId="11" fillId="0" borderId="0" xfId="21" applyNumberFormat="1" applyFont="1" applyFill="1"/>
    <xf numFmtId="165" fontId="10" fillId="0" borderId="0" xfId="18" applyNumberFormat="1" applyFont="1"/>
    <xf numFmtId="165" fontId="10" fillId="0" borderId="1" xfId="18" applyNumberFormat="1" applyFont="1" applyBorder="1"/>
    <xf numFmtId="44" fontId="10" fillId="0" borderId="27" xfId="7" applyFont="1" applyBorder="1"/>
    <xf numFmtId="0" fontId="12" fillId="0" borderId="0" xfId="21" applyFont="1"/>
    <xf numFmtId="0" fontId="9" fillId="0" borderId="0" xfId="0" applyFont="1"/>
    <xf numFmtId="165" fontId="10" fillId="0" borderId="0" xfId="18" applyNumberFormat="1" applyFont="1" applyFill="1"/>
    <xf numFmtId="0" fontId="10" fillId="5" borderId="0" xfId="0" applyFont="1" applyFill="1"/>
    <xf numFmtId="165" fontId="10" fillId="0" borderId="1" xfId="18" applyNumberFormat="1" applyFont="1" applyFill="1" applyBorder="1"/>
    <xf numFmtId="0" fontId="10" fillId="0" borderId="0" xfId="0" quotePrefix="1" applyFont="1" applyAlignment="1">
      <alignment horizontal="center"/>
    </xf>
    <xf numFmtId="165" fontId="9" fillId="0" borderId="0" xfId="0" applyNumberFormat="1" applyFont="1" applyFill="1"/>
    <xf numFmtId="0" fontId="25" fillId="0" borderId="0" xfId="21" applyFont="1" applyFill="1" applyAlignment="1">
      <alignment horizontal="center" wrapText="1"/>
    </xf>
    <xf numFmtId="166" fontId="25" fillId="0" borderId="0" xfId="21" applyNumberFormat="1" applyFont="1" applyFill="1" applyAlignment="1">
      <alignment horizontal="center" wrapText="1"/>
    </xf>
    <xf numFmtId="0" fontId="26" fillId="0" borderId="0" xfId="21" applyFont="1" applyFill="1" applyAlignment="1">
      <alignment wrapText="1"/>
    </xf>
    <xf numFmtId="0" fontId="25" fillId="0" borderId="0" xfId="36" applyFont="1" applyFill="1">
      <alignment wrapText="1"/>
    </xf>
    <xf numFmtId="187" fontId="25" fillId="0" borderId="0" xfId="0" applyNumberFormat="1" applyFont="1" applyFill="1" applyAlignment="1">
      <alignment wrapText="1"/>
    </xf>
    <xf numFmtId="165" fontId="25" fillId="0" borderId="2" xfId="7" applyNumberFormat="1" applyFont="1" applyFill="1" applyBorder="1" applyAlignment="1">
      <alignment wrapText="1"/>
    </xf>
    <xf numFmtId="0" fontId="23" fillId="0" borderId="0" xfId="21" applyFont="1" applyFill="1" applyAlignment="1">
      <alignment wrapText="1"/>
    </xf>
    <xf numFmtId="188" fontId="23" fillId="0" borderId="4" xfId="21" applyNumberFormat="1" applyFont="1" applyFill="1" applyBorder="1" applyAlignment="1">
      <alignment wrapText="1"/>
    </xf>
    <xf numFmtId="0" fontId="25" fillId="0" borderId="0" xfId="21" applyFont="1" applyFill="1" applyAlignment="1">
      <alignment horizontal="left" vertical="top" wrapText="1"/>
    </xf>
    <xf numFmtId="167" fontId="25" fillId="0" borderId="0" xfId="21" applyNumberFormat="1" applyFont="1" applyFill="1" applyAlignment="1">
      <alignment wrapText="1"/>
    </xf>
    <xf numFmtId="165" fontId="25" fillId="0" borderId="5" xfId="7" applyNumberFormat="1" applyFont="1" applyFill="1" applyBorder="1" applyAlignment="1">
      <alignment wrapText="1"/>
    </xf>
    <xf numFmtId="0" fontId="25" fillId="0" borderId="6" xfId="21" applyFont="1" applyFill="1" applyBorder="1" applyAlignment="1">
      <alignment wrapText="1"/>
    </xf>
    <xf numFmtId="165" fontId="25" fillId="0" borderId="0" xfId="7" applyNumberFormat="1" applyFont="1" applyFill="1" applyAlignment="1">
      <alignment wrapText="1"/>
    </xf>
    <xf numFmtId="165" fontId="23" fillId="0" borderId="4" xfId="7" applyNumberFormat="1" applyFont="1" applyFill="1" applyBorder="1" applyAlignment="1">
      <alignment wrapText="1"/>
    </xf>
    <xf numFmtId="166" fontId="25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wrapText="1"/>
    </xf>
    <xf numFmtId="0" fontId="25" fillId="0" borderId="0" xfId="0" applyFont="1" applyFill="1" applyAlignment="1">
      <alignment horizontal="center" wrapText="1"/>
    </xf>
    <xf numFmtId="165" fontId="25" fillId="0" borderId="3" xfId="7" applyNumberFormat="1" applyFont="1" applyFill="1" applyBorder="1" applyAlignment="1">
      <alignment wrapText="1"/>
    </xf>
    <xf numFmtId="0" fontId="25" fillId="0" borderId="3" xfId="0" applyFont="1" applyFill="1" applyBorder="1" applyAlignment="1">
      <alignment wrapText="1"/>
    </xf>
    <xf numFmtId="0" fontId="25" fillId="0" borderId="0" xfId="42" applyFont="1" applyFill="1">
      <alignment wrapText="1"/>
    </xf>
    <xf numFmtId="188" fontId="25" fillId="0" borderId="32" xfId="0" applyNumberFormat="1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Alignment="1">
      <alignment horizontal="right" wrapText="1"/>
    </xf>
    <xf numFmtId="0" fontId="25" fillId="0" borderId="0" xfId="0" applyFont="1" applyFill="1" applyAlignment="1">
      <alignment horizontal="left" wrapText="1"/>
    </xf>
    <xf numFmtId="188" fontId="25" fillId="0" borderId="0" xfId="21" applyNumberFormat="1" applyFont="1" applyFill="1" applyBorder="1" applyAlignment="1">
      <alignment wrapText="1"/>
    </xf>
    <xf numFmtId="0" fontId="25" fillId="0" borderId="0" xfId="21" applyFont="1" applyFill="1" applyBorder="1" applyAlignment="1">
      <alignment wrapText="1"/>
    </xf>
    <xf numFmtId="0" fontId="25" fillId="0" borderId="0" xfId="21" applyFont="1" applyFill="1" applyAlignment="1">
      <alignment horizontal="right" wrapText="1"/>
    </xf>
    <xf numFmtId="0" fontId="25" fillId="0" borderId="0" xfId="21" applyFont="1" applyFill="1" applyAlignment="1">
      <alignment horizontal="left" wrapText="1"/>
    </xf>
    <xf numFmtId="0" fontId="11" fillId="0" borderId="0" xfId="21" applyFont="1" applyFill="1" applyBorder="1"/>
    <xf numFmtId="0" fontId="27" fillId="0" borderId="0" xfId="21" applyFont="1" applyAlignment="1">
      <alignment wrapText="1"/>
    </xf>
    <xf numFmtId="0" fontId="25" fillId="0" borderId="0" xfId="21" applyFont="1" applyAlignment="1">
      <alignment horizontal="left" vertical="center" wrapText="1" indent="1"/>
    </xf>
    <xf numFmtId="187" fontId="25" fillId="0" borderId="0" xfId="21" applyNumberFormat="1" applyFont="1" applyAlignment="1">
      <alignment wrapText="1"/>
    </xf>
    <xf numFmtId="189" fontId="25" fillId="0" borderId="0" xfId="21" applyNumberFormat="1" applyFont="1" applyAlignment="1">
      <alignment wrapText="1"/>
    </xf>
    <xf numFmtId="187" fontId="25" fillId="0" borderId="5" xfId="21" applyNumberFormat="1" applyFont="1" applyBorder="1" applyAlignment="1">
      <alignment vertical="top" wrapText="1"/>
    </xf>
    <xf numFmtId="0" fontId="25" fillId="0" borderId="6" xfId="21" applyFont="1" applyBorder="1" applyAlignment="1">
      <alignment vertical="top" wrapText="1"/>
    </xf>
    <xf numFmtId="0" fontId="25" fillId="0" borderId="0" xfId="21" applyFont="1" applyAlignment="1">
      <alignment wrapText="1" indent="1"/>
    </xf>
    <xf numFmtId="187" fontId="25" fillId="0" borderId="0" xfId="0" applyNumberFormat="1" applyFont="1" applyAlignment="1">
      <alignment wrapText="1"/>
    </xf>
    <xf numFmtId="0" fontId="25" fillId="0" borderId="0" xfId="36" applyFont="1">
      <alignment wrapText="1"/>
    </xf>
    <xf numFmtId="165" fontId="25" fillId="0" borderId="4" xfId="7" applyNumberFormat="1" applyFont="1" applyBorder="1" applyAlignment="1">
      <alignment vertical="top" wrapText="1"/>
    </xf>
    <xf numFmtId="0" fontId="25" fillId="0" borderId="6" xfId="21" applyFont="1" applyBorder="1" applyAlignment="1">
      <alignment wrapText="1"/>
    </xf>
    <xf numFmtId="0" fontId="25" fillId="0" borderId="0" xfId="0" applyFont="1" applyAlignment="1">
      <alignment horizontal="left" vertical="top" wrapText="1"/>
    </xf>
    <xf numFmtId="167" fontId="25" fillId="0" borderId="0" xfId="21" applyNumberFormat="1" applyFont="1" applyAlignment="1">
      <alignment wrapText="1"/>
    </xf>
    <xf numFmtId="187" fontId="25" fillId="0" borderId="33" xfId="21" applyNumberFormat="1" applyFont="1" applyBorder="1" applyAlignment="1">
      <alignment vertical="top" wrapText="1"/>
    </xf>
    <xf numFmtId="165" fontId="11" fillId="0" borderId="15" xfId="4" applyNumberFormat="1" applyFont="1" applyFill="1" applyBorder="1"/>
    <xf numFmtId="0" fontId="11" fillId="0" borderId="0" xfId="2" applyFont="1" applyFill="1" applyAlignment="1">
      <alignment horizontal="left"/>
    </xf>
    <xf numFmtId="2" fontId="10" fillId="0" borderId="0" xfId="0" applyNumberFormat="1" applyFont="1" applyFill="1"/>
    <xf numFmtId="0" fontId="12" fillId="2" borderId="0" xfId="2" applyFont="1" applyFill="1" applyAlignment="1">
      <alignment horizontal="left"/>
    </xf>
    <xf numFmtId="165" fontId="11" fillId="2" borderId="1" xfId="4" applyNumberFormat="1" applyFont="1" applyFill="1" applyBorder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5" fontId="10" fillId="2" borderId="1" xfId="7" applyNumberFormat="1" applyFont="1" applyFill="1" applyBorder="1"/>
    <xf numFmtId="165" fontId="10" fillId="2" borderId="15" xfId="0" applyNumberFormat="1" applyFont="1" applyFill="1" applyBorder="1"/>
    <xf numFmtId="165" fontId="10" fillId="2" borderId="26" xfId="0" applyNumberFormat="1" applyFont="1" applyFill="1" applyBorder="1"/>
    <xf numFmtId="188" fontId="25" fillId="0" borderId="0" xfId="0" applyNumberFormat="1" applyFont="1" applyAlignment="1">
      <alignment vertical="top" wrapText="1"/>
    </xf>
    <xf numFmtId="187" fontId="25" fillId="0" borderId="5" xfId="21" applyNumberFormat="1" applyFont="1" applyBorder="1" applyAlignment="1">
      <alignment wrapText="1"/>
    </xf>
    <xf numFmtId="0" fontId="25" fillId="0" borderId="0" xfId="42" applyFont="1">
      <alignment wrapText="1"/>
    </xf>
    <xf numFmtId="49" fontId="11" fillId="0" borderId="0" xfId="25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64" fontId="11" fillId="0" borderId="0" xfId="1" quotePrefix="1" applyNumberFormat="1" applyFont="1" applyFill="1" applyAlignment="1">
      <alignment horizontal="center"/>
    </xf>
    <xf numFmtId="37" fontId="11" fillId="0" borderId="0" xfId="0" applyNumberFormat="1" applyFont="1" applyFill="1"/>
    <xf numFmtId="37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/>
    <xf numFmtId="37" fontId="11" fillId="0" borderId="1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 vertical="center"/>
    </xf>
    <xf numFmtId="37" fontId="11" fillId="0" borderId="0" xfId="0" applyNumberFormat="1" applyFont="1" applyFill="1" applyAlignment="1">
      <alignment horizontal="right" vertical="center"/>
    </xf>
    <xf numFmtId="37" fontId="12" fillId="0" borderId="15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37" fontId="11" fillId="0" borderId="27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37" fontId="11" fillId="0" borderId="15" xfId="0" applyNumberFormat="1" applyFont="1" applyFill="1" applyBorder="1" applyAlignment="1">
      <alignment horizontal="right"/>
    </xf>
    <xf numFmtId="0" fontId="12" fillId="0" borderId="26" xfId="0" applyFont="1" applyFill="1" applyBorder="1" applyAlignment="1">
      <alignment horizontal="left" vertical="center"/>
    </xf>
    <xf numFmtId="37" fontId="11" fillId="0" borderId="26" xfId="0" applyNumberFormat="1" applyFont="1" applyFill="1" applyBorder="1" applyAlignment="1">
      <alignment horizontal="right" vertical="center"/>
    </xf>
    <xf numFmtId="37" fontId="12" fillId="0" borderId="26" xfId="0" applyNumberFormat="1" applyFont="1" applyFill="1" applyBorder="1" applyAlignment="1">
      <alignment horizontal="right" vertical="center"/>
    </xf>
    <xf numFmtId="37" fontId="10" fillId="0" borderId="1" xfId="0" applyNumberFormat="1" applyFont="1" applyFill="1" applyBorder="1"/>
    <xf numFmtId="188" fontId="25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2" fontId="11" fillId="0" borderId="0" xfId="21" applyNumberFormat="1" applyFont="1"/>
    <xf numFmtId="187" fontId="25" fillId="0" borderId="5" xfId="21" applyNumberFormat="1" applyFont="1" applyFill="1" applyBorder="1" applyAlignment="1">
      <alignment wrapText="1"/>
    </xf>
    <xf numFmtId="0" fontId="11" fillId="0" borderId="0" xfId="24" applyFont="1" applyAlignment="1">
      <alignment horizontal="center" vertical="center" wrapText="1"/>
    </xf>
    <xf numFmtId="0" fontId="11" fillId="0" borderId="0" xfId="24" applyFont="1"/>
    <xf numFmtId="0" fontId="18" fillId="0" borderId="0" xfId="24" applyFont="1" applyAlignment="1">
      <alignment horizontal="center"/>
    </xf>
    <xf numFmtId="180" fontId="11" fillId="0" borderId="0" xfId="24" applyNumberFormat="1" applyFont="1" applyAlignment="1">
      <alignment horizontal="center"/>
    </xf>
    <xf numFmtId="0" fontId="11" fillId="0" borderId="0" xfId="24" applyFont="1" applyAlignment="1">
      <alignment horizontal="center"/>
    </xf>
    <xf numFmtId="49" fontId="11" fillId="0" borderId="0" xfId="24" applyNumberFormat="1" applyFont="1"/>
    <xf numFmtId="5" fontId="11" fillId="0" borderId="0" xfId="24" applyNumberFormat="1" applyFont="1"/>
    <xf numFmtId="37" fontId="11" fillId="0" borderId="0" xfId="24" applyNumberFormat="1" applyFont="1"/>
    <xf numFmtId="39" fontId="11" fillId="0" borderId="0" xfId="24" applyNumberFormat="1" applyFont="1" applyAlignment="1">
      <alignment horizontal="center" wrapText="1"/>
    </xf>
    <xf numFmtId="2" fontId="11" fillId="0" borderId="0" xfId="24" applyNumberFormat="1" applyFont="1"/>
    <xf numFmtId="5" fontId="11" fillId="0" borderId="26" xfId="24" applyNumberFormat="1" applyFont="1" applyBorder="1"/>
    <xf numFmtId="181" fontId="11" fillId="0" borderId="0" xfId="24" applyNumberFormat="1" applyFont="1"/>
    <xf numFmtId="184" fontId="11" fillId="0" borderId="0" xfId="24" applyNumberFormat="1" applyFont="1"/>
    <xf numFmtId="5" fontId="11" fillId="2" borderId="15" xfId="24" applyNumberFormat="1" applyFont="1" applyFill="1" applyBorder="1"/>
    <xf numFmtId="0" fontId="24" fillId="0" borderId="0" xfId="24" applyFont="1" applyAlignment="1">
      <alignment horizontal="right"/>
    </xf>
    <xf numFmtId="181" fontId="11" fillId="0" borderId="31" xfId="24" applyNumberFormat="1" applyFont="1" applyBorder="1"/>
    <xf numFmtId="0" fontId="12" fillId="0" borderId="0" xfId="24" applyFont="1"/>
    <xf numFmtId="0" fontId="10" fillId="0" borderId="0" xfId="48" applyFont="1"/>
    <xf numFmtId="0" fontId="28" fillId="0" borderId="0" xfId="48" applyFont="1" applyAlignment="1">
      <alignment horizontal="center"/>
    </xf>
    <xf numFmtId="0" fontId="11" fillId="0" borderId="0" xfId="24" applyFont="1" applyAlignment="1">
      <alignment horizontal="left" vertical="top"/>
    </xf>
    <xf numFmtId="0" fontId="11" fillId="0" borderId="0" xfId="14" applyFont="1" applyAlignment="1">
      <alignment horizontal="right"/>
    </xf>
    <xf numFmtId="0" fontId="11" fillId="0" borderId="0" xfId="25" applyFont="1"/>
    <xf numFmtId="49" fontId="11" fillId="0" borderId="0" xfId="25" applyNumberFormat="1" applyFont="1" applyAlignment="1">
      <alignment horizontal="center"/>
    </xf>
    <xf numFmtId="49" fontId="11" fillId="0" borderId="0" xfId="25" applyNumberFormat="1" applyFont="1"/>
    <xf numFmtId="49" fontId="11" fillId="0" borderId="0" xfId="25" applyNumberFormat="1" applyFont="1" applyAlignment="1">
      <alignment horizontal="center" vertical="center" wrapText="1"/>
    </xf>
    <xf numFmtId="49" fontId="11" fillId="0" borderId="0" xfId="25" applyNumberFormat="1" applyFont="1" applyAlignment="1">
      <alignment horizontal="center" wrapText="1"/>
    </xf>
    <xf numFmtId="37" fontId="11" fillId="0" borderId="0" xfId="25" applyNumberFormat="1" applyFont="1" applyAlignment="1">
      <alignment horizontal="center"/>
    </xf>
    <xf numFmtId="0" fontId="11" fillId="0" borderId="0" xfId="25" applyFont="1" applyAlignment="1">
      <alignment horizontal="center" vertical="center"/>
    </xf>
    <xf numFmtId="0" fontId="11" fillId="0" borderId="0" xfId="25" applyFont="1" applyAlignment="1">
      <alignment horizontal="center"/>
    </xf>
    <xf numFmtId="0" fontId="11" fillId="0" borderId="0" xfId="25" applyFont="1" applyAlignment="1">
      <alignment horizontal="left" vertical="center" wrapText="1"/>
    </xf>
    <xf numFmtId="49" fontId="11" fillId="0" borderId="0" xfId="25" applyNumberFormat="1" applyFont="1" applyAlignment="1">
      <alignment horizontal="left" wrapText="1"/>
    </xf>
    <xf numFmtId="181" fontId="11" fillId="0" borderId="0" xfId="29" applyNumberFormat="1" applyFont="1" applyAlignment="1">
      <alignment horizontal="right" wrapText="1"/>
    </xf>
    <xf numFmtId="0" fontId="11" fillId="0" borderId="0" xfId="25" applyFont="1" applyAlignment="1">
      <alignment horizontal="left" wrapText="1"/>
    </xf>
    <xf numFmtId="165" fontId="11" fillId="0" borderId="0" xfId="29" applyNumberFormat="1" applyFont="1" applyAlignment="1">
      <alignment horizontal="right" wrapText="1"/>
    </xf>
    <xf numFmtId="37" fontId="11" fillId="0" borderId="0" xfId="25" applyNumberFormat="1" applyFont="1" applyAlignment="1">
      <alignment horizontal="right" wrapText="1"/>
    </xf>
    <xf numFmtId="49" fontId="11" fillId="0" borderId="0" xfId="25" applyNumberFormat="1" applyFont="1" applyAlignment="1">
      <alignment horizontal="left"/>
    </xf>
    <xf numFmtId="0" fontId="11" fillId="0" borderId="0" xfId="25" applyFont="1" applyAlignment="1">
      <alignment horizontal="right"/>
    </xf>
    <xf numFmtId="5" fontId="11" fillId="0" borderId="26" xfId="25" applyNumberFormat="1" applyFont="1" applyBorder="1" applyAlignment="1">
      <alignment wrapText="1"/>
    </xf>
    <xf numFmtId="49" fontId="11" fillId="0" borderId="0" xfId="25" applyNumberFormat="1" applyFont="1" applyBorder="1" applyAlignment="1">
      <alignment horizontal="left"/>
    </xf>
    <xf numFmtId="5" fontId="11" fillId="0" borderId="0" xfId="25" applyNumberFormat="1" applyFont="1" applyAlignment="1">
      <alignment horizontal="right"/>
    </xf>
    <xf numFmtId="181" fontId="11" fillId="0" borderId="1" xfId="46" applyNumberFormat="1" applyFont="1" applyBorder="1" applyAlignment="1">
      <alignment horizontal="right"/>
    </xf>
    <xf numFmtId="184" fontId="11" fillId="0" borderId="1" xfId="25" applyNumberFormat="1" applyFont="1" applyBorder="1" applyAlignment="1">
      <alignment horizontal="right"/>
    </xf>
    <xf numFmtId="5" fontId="11" fillId="0" borderId="26" xfId="25" applyNumberFormat="1" applyFont="1" applyBorder="1" applyAlignment="1">
      <alignment horizontal="right"/>
    </xf>
    <xf numFmtId="184" fontId="11" fillId="0" borderId="0" xfId="25" applyNumberFormat="1" applyFont="1" applyAlignment="1">
      <alignment horizontal="right"/>
    </xf>
    <xf numFmtId="0" fontId="10" fillId="0" borderId="0" xfId="31" applyFont="1"/>
    <xf numFmtId="0" fontId="11" fillId="0" borderId="0" xfId="21" applyFont="1" applyAlignment="1">
      <alignment horizontal="right"/>
    </xf>
    <xf numFmtId="0" fontId="10" fillId="0" borderId="0" xfId="27" applyFont="1" applyAlignment="1">
      <alignment horizontal="right"/>
    </xf>
    <xf numFmtId="49" fontId="18" fillId="0" borderId="0" xfId="25" applyNumberFormat="1" applyFont="1" applyAlignment="1">
      <alignment horizontal="center" vertical="center" wrapText="1"/>
    </xf>
    <xf numFmtId="0" fontId="18" fillId="0" borderId="0" xfId="25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7" fontId="11" fillId="0" borderId="0" xfId="25" applyNumberFormat="1" applyFont="1" applyAlignment="1">
      <alignment horizontal="center" vertical="center"/>
    </xf>
    <xf numFmtId="0" fontId="11" fillId="0" borderId="0" xfId="25" applyFont="1" applyAlignment="1">
      <alignment vertical="center"/>
    </xf>
    <xf numFmtId="37" fontId="11" fillId="0" borderId="0" xfId="25" quotePrefix="1" applyNumberFormat="1" applyFont="1" applyAlignment="1">
      <alignment horizontal="center" vertical="center"/>
    </xf>
    <xf numFmtId="165" fontId="11" fillId="0" borderId="0" xfId="25" applyNumberFormat="1" applyFont="1" applyAlignment="1">
      <alignment wrapText="1"/>
    </xf>
    <xf numFmtId="5" fontId="11" fillId="0" borderId="0" xfId="25" applyNumberFormat="1" applyFont="1" applyAlignment="1">
      <alignment wrapText="1"/>
    </xf>
    <xf numFmtId="185" fontId="10" fillId="0" borderId="0" xfId="0" applyNumberFormat="1" applyFont="1"/>
    <xf numFmtId="165" fontId="10" fillId="0" borderId="0" xfId="7" applyNumberFormat="1" applyFont="1"/>
    <xf numFmtId="0" fontId="11" fillId="0" borderId="0" xfId="25" applyFont="1" applyFill="1" applyAlignment="1">
      <alignment horizontal="center"/>
    </xf>
    <xf numFmtId="165" fontId="11" fillId="0" borderId="0" xfId="25" applyNumberFormat="1" applyFont="1" applyBorder="1" applyAlignment="1">
      <alignment wrapText="1"/>
    </xf>
    <xf numFmtId="165" fontId="10" fillId="0" borderId="0" xfId="7" applyNumberFormat="1" applyFont="1" applyBorder="1"/>
    <xf numFmtId="2" fontId="11" fillId="0" borderId="0" xfId="25" applyNumberFormat="1" applyFont="1" applyAlignment="1">
      <alignment wrapText="1"/>
    </xf>
    <xf numFmtId="165" fontId="11" fillId="0" borderId="15" xfId="25" applyNumberFormat="1" applyFont="1" applyBorder="1" applyAlignment="1">
      <alignment wrapText="1"/>
    </xf>
    <xf numFmtId="10" fontId="11" fillId="0" borderId="0" xfId="25" applyNumberFormat="1" applyFont="1" applyAlignment="1">
      <alignment wrapText="1"/>
    </xf>
    <xf numFmtId="43" fontId="11" fillId="0" borderId="0" xfId="1" applyFont="1" applyAlignment="1">
      <alignment wrapText="1"/>
    </xf>
    <xf numFmtId="43" fontId="10" fillId="0" borderId="0" xfId="1" applyFont="1"/>
    <xf numFmtId="43" fontId="10" fillId="0" borderId="0" xfId="1" applyFont="1" applyAlignment="1">
      <alignment horizontal="right"/>
    </xf>
    <xf numFmtId="43" fontId="11" fillId="0" borderId="0" xfId="1" applyFont="1"/>
    <xf numFmtId="43" fontId="10" fillId="0" borderId="29" xfId="0" applyNumberFormat="1" applyFont="1" applyBorder="1"/>
    <xf numFmtId="43" fontId="10" fillId="0" borderId="29" xfId="1" applyFont="1" applyBorder="1"/>
    <xf numFmtId="165" fontId="10" fillId="0" borderId="0" xfId="0" applyNumberFormat="1" applyFont="1"/>
    <xf numFmtId="0" fontId="11" fillId="0" borderId="0" xfId="41" applyFont="1"/>
    <xf numFmtId="0" fontId="11" fillId="0" borderId="0" xfId="41" applyFont="1" applyFill="1"/>
    <xf numFmtId="0" fontId="23" fillId="0" borderId="10" xfId="41" applyFont="1" applyBorder="1" applyAlignment="1">
      <alignment wrapText="1"/>
    </xf>
    <xf numFmtId="0" fontId="23" fillId="0" borderId="8" xfId="41" applyFont="1" applyBorder="1" applyAlignment="1">
      <alignment wrapText="1"/>
    </xf>
    <xf numFmtId="0" fontId="23" fillId="0" borderId="8" xfId="0" applyFont="1" applyBorder="1" applyAlignment="1">
      <alignment horizontal="center" wrapText="1"/>
    </xf>
    <xf numFmtId="0" fontId="23" fillId="0" borderId="8" xfId="41" applyFont="1" applyBorder="1" applyAlignment="1">
      <alignment horizontal="right" wrapText="1"/>
    </xf>
    <xf numFmtId="0" fontId="23" fillId="0" borderId="8" xfId="41" applyFont="1" applyBorder="1" applyAlignment="1">
      <alignment horizontal="center" wrapText="1"/>
    </xf>
    <xf numFmtId="0" fontId="23" fillId="0" borderId="8" xfId="41" applyFont="1" applyFill="1" applyBorder="1" applyAlignment="1">
      <alignment wrapText="1"/>
    </xf>
    <xf numFmtId="0" fontId="25" fillId="0" borderId="9" xfId="41" applyFont="1" applyBorder="1" applyAlignment="1">
      <alignment wrapText="1"/>
    </xf>
    <xf numFmtId="166" fontId="25" fillId="0" borderId="10" xfId="41" applyNumberFormat="1" applyFont="1" applyBorder="1" applyAlignment="1">
      <alignment horizontal="center" wrapText="1"/>
    </xf>
    <xf numFmtId="166" fontId="25" fillId="0" borderId="8" xfId="0" applyNumberFormat="1" applyFont="1" applyBorder="1" applyAlignment="1">
      <alignment wrapText="1"/>
    </xf>
    <xf numFmtId="191" fontId="25" fillId="0" borderId="8" xfId="0" applyNumberFormat="1" applyFont="1" applyBorder="1" applyAlignment="1">
      <alignment wrapText="1"/>
    </xf>
    <xf numFmtId="0" fontId="25" fillId="0" borderId="8" xfId="41" applyFont="1" applyBorder="1" applyAlignment="1">
      <alignment horizontal="right" wrapText="1"/>
    </xf>
    <xf numFmtId="187" fontId="25" fillId="0" borderId="8" xfId="0" applyNumberFormat="1" applyFont="1" applyBorder="1" applyAlignment="1">
      <alignment wrapText="1"/>
    </xf>
    <xf numFmtId="187" fontId="25" fillId="0" borderId="8" xfId="41" applyNumberFormat="1" applyFont="1" applyBorder="1" applyAlignment="1">
      <alignment wrapText="1"/>
    </xf>
    <xf numFmtId="0" fontId="25" fillId="0" borderId="8" xfId="0" applyFont="1" applyBorder="1" applyAlignment="1">
      <alignment wrapText="1"/>
    </xf>
    <xf numFmtId="193" fontId="25" fillId="0" borderId="8" xfId="0" applyNumberFormat="1" applyFont="1" applyBorder="1" applyAlignment="1">
      <alignment wrapText="1"/>
    </xf>
    <xf numFmtId="187" fontId="25" fillId="0" borderId="8" xfId="41" applyNumberFormat="1" applyFont="1" applyFill="1" applyBorder="1" applyAlignment="1">
      <alignment wrapText="1"/>
    </xf>
    <xf numFmtId="188" fontId="25" fillId="0" borderId="8" xfId="0" applyNumberFormat="1" applyFont="1" applyBorder="1" applyAlignment="1">
      <alignment wrapText="1"/>
    </xf>
    <xf numFmtId="193" fontId="25" fillId="0" borderId="8" xfId="0" applyNumberFormat="1" applyFont="1" applyBorder="1" applyAlignment="1">
      <alignment vertical="top" wrapText="1"/>
    </xf>
    <xf numFmtId="166" fontId="25" fillId="0" borderId="0" xfId="41" applyNumberFormat="1" applyFont="1" applyAlignment="1">
      <alignment horizontal="center" wrapText="1"/>
    </xf>
    <xf numFmtId="0" fontId="25" fillId="0" borderId="4" xfId="41" applyFont="1" applyBorder="1" applyAlignment="1">
      <alignment wrapText="1"/>
    </xf>
    <xf numFmtId="0" fontId="25" fillId="0" borderId="3" xfId="41" applyFont="1" applyBorder="1" applyAlignment="1">
      <alignment wrapText="1"/>
    </xf>
    <xf numFmtId="0" fontId="25" fillId="0" borderId="4" xfId="41" applyFont="1" applyBorder="1" applyAlignment="1">
      <alignment horizontal="right" wrapText="1"/>
    </xf>
    <xf numFmtId="0" fontId="25" fillId="0" borderId="3" xfId="41" applyFont="1" applyBorder="1" applyAlignment="1">
      <alignment horizontal="right" wrapText="1"/>
    </xf>
    <xf numFmtId="0" fontId="25" fillId="0" borderId="3" xfId="41" applyFont="1" applyFill="1" applyBorder="1" applyAlignment="1">
      <alignment wrapText="1"/>
    </xf>
    <xf numFmtId="187" fontId="23" fillId="0" borderId="5" xfId="41" applyNumberFormat="1" applyFont="1" applyBorder="1" applyAlignment="1">
      <alignment wrapText="1"/>
    </xf>
    <xf numFmtId="187" fontId="23" fillId="0" borderId="5" xfId="41" applyNumberFormat="1" applyFont="1" applyFill="1" applyBorder="1" applyAlignment="1">
      <alignment wrapText="1"/>
    </xf>
    <xf numFmtId="0" fontId="25" fillId="0" borderId="0" xfId="41" applyFont="1" applyAlignment="1">
      <alignment horizontal="center" wrapText="1"/>
    </xf>
    <xf numFmtId="0" fontId="25" fillId="0" borderId="6" xfId="41" applyFont="1" applyBorder="1" applyAlignment="1">
      <alignment wrapText="1"/>
    </xf>
    <xf numFmtId="0" fontId="25" fillId="0" borderId="0" xfId="41" applyFont="1" applyAlignment="1">
      <alignment wrapText="1"/>
    </xf>
    <xf numFmtId="0" fontId="25" fillId="0" borderId="6" xfId="41" applyFont="1" applyFill="1" applyBorder="1" applyAlignment="1">
      <alignment wrapText="1"/>
    </xf>
    <xf numFmtId="0" fontId="25" fillId="0" borderId="0" xfId="41" applyFont="1" applyAlignment="1">
      <alignment horizontal="right" wrapText="1"/>
    </xf>
    <xf numFmtId="0" fontId="25" fillId="0" borderId="0" xfId="41" applyFont="1" applyAlignment="1">
      <alignment horizontal="right" vertical="top" wrapText="1"/>
    </xf>
    <xf numFmtId="0" fontId="25" fillId="0" borderId="8" xfId="21" applyFont="1" applyBorder="1" applyAlignment="1">
      <alignment horizontal="center" wrapText="1"/>
    </xf>
    <xf numFmtId="0" fontId="25" fillId="0" borderId="9" xfId="21" applyFont="1" applyBorder="1" applyAlignment="1">
      <alignment wrapText="1"/>
    </xf>
    <xf numFmtId="0" fontId="25" fillId="0" borderId="4" xfId="21" applyFont="1" applyBorder="1" applyAlignment="1">
      <alignment horizontal="center" wrapText="1"/>
    </xf>
    <xf numFmtId="0" fontId="25" fillId="0" borderId="4" xfId="21" applyFont="1" applyBorder="1" applyAlignment="1">
      <alignment wrapText="1"/>
    </xf>
    <xf numFmtId="166" fontId="25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wrapText="1" indent="4"/>
    </xf>
    <xf numFmtId="188" fontId="25" fillId="0" borderId="2" xfId="0" applyNumberFormat="1" applyFont="1" applyBorder="1" applyAlignment="1">
      <alignment wrapText="1"/>
    </xf>
    <xf numFmtId="0" fontId="25" fillId="0" borderId="0" xfId="0" applyFont="1" applyAlignment="1">
      <alignment wrapText="1" indent="1"/>
    </xf>
    <xf numFmtId="188" fontId="25" fillId="0" borderId="4" xfId="0" applyNumberFormat="1" applyFont="1" applyBorder="1" applyAlignment="1">
      <alignment wrapText="1"/>
    </xf>
    <xf numFmtId="192" fontId="25" fillId="0" borderId="2" xfId="0" applyNumberFormat="1" applyFont="1" applyBorder="1" applyAlignment="1">
      <alignment wrapText="1"/>
    </xf>
    <xf numFmtId="188" fontId="25" fillId="0" borderId="3" xfId="0" applyNumberFormat="1" applyFont="1" applyBorder="1" applyAlignment="1">
      <alignment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wrapText="1" indent="2"/>
    </xf>
    <xf numFmtId="0" fontId="25" fillId="0" borderId="4" xfId="0" applyFont="1" applyBorder="1" applyAlignment="1">
      <alignment wrapText="1"/>
    </xf>
    <xf numFmtId="199" fontId="25" fillId="0" borderId="2" xfId="0" applyNumberFormat="1" applyFont="1" applyBorder="1" applyAlignment="1">
      <alignment wrapText="1"/>
    </xf>
    <xf numFmtId="167" fontId="25" fillId="0" borderId="0" xfId="0" applyNumberFormat="1" applyFont="1" applyAlignment="1">
      <alignment wrapText="1"/>
    </xf>
    <xf numFmtId="187" fontId="25" fillId="0" borderId="5" xfId="0" applyNumberFormat="1" applyFont="1" applyBorder="1" applyAlignment="1">
      <alignment wrapText="1"/>
    </xf>
    <xf numFmtId="187" fontId="25" fillId="0" borderId="0" xfId="0" applyNumberFormat="1" applyFont="1" applyBorder="1" applyAlignment="1">
      <alignment wrapText="1"/>
    </xf>
    <xf numFmtId="166" fontId="25" fillId="0" borderId="0" xfId="0" applyNumberFormat="1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187" fontId="25" fillId="0" borderId="2" xfId="0" applyNumberFormat="1" applyFont="1" applyBorder="1" applyAlignment="1">
      <alignment wrapText="1"/>
    </xf>
    <xf numFmtId="187" fontId="25" fillId="0" borderId="4" xfId="21" applyNumberFormat="1" applyFont="1" applyBorder="1" applyAlignment="1">
      <alignment wrapText="1"/>
    </xf>
    <xf numFmtId="192" fontId="25" fillId="0" borderId="2" xfId="0" applyNumberFormat="1" applyFont="1" applyBorder="1" applyAlignment="1">
      <alignment horizontal="right" wrapText="1"/>
    </xf>
    <xf numFmtId="189" fontId="25" fillId="0" borderId="2" xfId="21" applyNumberFormat="1" applyFont="1" applyBorder="1" applyAlignment="1">
      <alignment wrapText="1"/>
    </xf>
    <xf numFmtId="187" fontId="25" fillId="0" borderId="34" xfId="21" applyNumberFormat="1" applyFont="1" applyBorder="1" applyAlignment="1">
      <alignment wrapText="1"/>
    </xf>
    <xf numFmtId="166" fontId="25" fillId="0" borderId="0" xfId="21" applyNumberFormat="1" applyFont="1" applyAlignment="1">
      <alignment horizontal="center" vertical="center" wrapText="1"/>
    </xf>
    <xf numFmtId="164" fontId="11" fillId="0" borderId="1" xfId="1" applyNumberFormat="1" applyFont="1" applyBorder="1"/>
    <xf numFmtId="164" fontId="11" fillId="0" borderId="0" xfId="1" applyNumberFormat="1" applyFont="1"/>
    <xf numFmtId="0" fontId="25" fillId="0" borderId="0" xfId="21" applyFont="1" applyAlignment="1">
      <alignment horizontal="center" vertical="center" wrapText="1"/>
    </xf>
    <xf numFmtId="0" fontId="11" fillId="0" borderId="0" xfId="21" applyFont="1" applyBorder="1"/>
    <xf numFmtId="172" fontId="25" fillId="0" borderId="7" xfId="21" applyNumberFormat="1" applyFont="1" applyBorder="1" applyAlignment="1">
      <alignment horizontal="right" wrapText="1"/>
    </xf>
    <xf numFmtId="188" fontId="25" fillId="0" borderId="28" xfId="21" applyNumberFormat="1" applyFont="1" applyBorder="1" applyAlignment="1">
      <alignment wrapText="1"/>
    </xf>
    <xf numFmtId="0" fontId="25" fillId="0" borderId="4" xfId="21" applyFont="1" applyBorder="1" applyAlignment="1">
      <alignment horizontal="right" wrapText="1"/>
    </xf>
    <xf numFmtId="193" fontId="25" fillId="0" borderId="2" xfId="21" applyNumberFormat="1" applyFont="1" applyBorder="1" applyAlignment="1">
      <alignment horizontal="right" wrapText="1"/>
    </xf>
    <xf numFmtId="0" fontId="23" fillId="0" borderId="0" xfId="0" applyFont="1" applyAlignment="1">
      <alignment horizontal="left" wrapText="1"/>
    </xf>
    <xf numFmtId="166" fontId="23" fillId="0" borderId="0" xfId="21" applyNumberFormat="1" applyFont="1" applyAlignment="1">
      <alignment horizontal="center" wrapText="1"/>
    </xf>
    <xf numFmtId="172" fontId="23" fillId="0" borderId="5" xfId="21" applyNumberFormat="1" applyFont="1" applyBorder="1" applyAlignment="1">
      <alignment horizontal="right" wrapText="1"/>
    </xf>
    <xf numFmtId="0" fontId="25" fillId="0" borderId="6" xfId="21" applyFont="1" applyBorder="1" applyAlignment="1">
      <alignment horizontal="right" wrapText="1"/>
    </xf>
    <xf numFmtId="166" fontId="25" fillId="0" borderId="0" xfId="21" applyNumberFormat="1" applyFont="1" applyFill="1" applyAlignment="1">
      <alignment horizontal="center" vertical="top" wrapText="1"/>
    </xf>
    <xf numFmtId="166" fontId="25" fillId="0" borderId="0" xfId="0" applyNumberFormat="1" applyFont="1" applyFill="1" applyAlignment="1">
      <alignment horizontal="center" vertical="top" wrapText="1"/>
    </xf>
    <xf numFmtId="167" fontId="25" fillId="0" borderId="0" xfId="0" applyNumberFormat="1" applyFont="1" applyFill="1" applyAlignment="1">
      <alignment horizontal="center" wrapText="1"/>
    </xf>
    <xf numFmtId="0" fontId="25" fillId="0" borderId="0" xfId="0" applyFont="1" applyAlignment="1">
      <alignment horizontal="right" wrapText="1"/>
    </xf>
    <xf numFmtId="0" fontId="25" fillId="0" borderId="12" xfId="0" applyFont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9" xfId="0" applyFont="1" applyBorder="1" applyAlignment="1">
      <alignment wrapText="1"/>
    </xf>
    <xf numFmtId="167" fontId="25" fillId="0" borderId="13" xfId="0" applyNumberFormat="1" applyFont="1" applyFill="1" applyBorder="1" applyAlignment="1">
      <alignment vertical="top" wrapText="1"/>
    </xf>
    <xf numFmtId="0" fontId="25" fillId="0" borderId="4" xfId="0" applyFont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166" fontId="25" fillId="0" borderId="0" xfId="0" applyNumberFormat="1" applyFont="1" applyAlignment="1">
      <alignment wrapText="1"/>
    </xf>
    <xf numFmtId="188" fontId="25" fillId="0" borderId="0" xfId="0" applyNumberFormat="1" applyFont="1" applyFill="1" applyAlignment="1">
      <alignment wrapText="1"/>
    </xf>
    <xf numFmtId="0" fontId="23" fillId="0" borderId="0" xfId="0" applyFont="1" applyAlignment="1">
      <alignment wrapText="1"/>
    </xf>
    <xf numFmtId="188" fontId="23" fillId="0" borderId="0" xfId="0" applyNumberFormat="1" applyFont="1" applyAlignment="1">
      <alignment wrapText="1"/>
    </xf>
    <xf numFmtId="188" fontId="23" fillId="0" borderId="15" xfId="0" applyNumberFormat="1" applyFont="1" applyFill="1" applyBorder="1" applyAlignment="1">
      <alignment wrapText="1"/>
    </xf>
    <xf numFmtId="0" fontId="10" fillId="0" borderId="0" xfId="0" applyFont="1"/>
    <xf numFmtId="167" fontId="25" fillId="0" borderId="13" xfId="0" applyNumberFormat="1" applyFont="1" applyFill="1" applyBorder="1" applyAlignment="1">
      <alignment horizontal="center" wrapText="1"/>
    </xf>
    <xf numFmtId="166" fontId="25" fillId="0" borderId="0" xfId="0" applyNumberFormat="1" applyFont="1" applyAlignment="1">
      <alignment horizontal="right" wrapText="1" indent="1"/>
    </xf>
    <xf numFmtId="188" fontId="25" fillId="0" borderId="2" xfId="0" applyNumberFormat="1" applyFont="1" applyFill="1" applyBorder="1" applyAlignment="1">
      <alignment wrapText="1"/>
    </xf>
    <xf numFmtId="187" fontId="25" fillId="0" borderId="4" xfId="0" applyNumberFormat="1" applyFont="1" applyFill="1" applyBorder="1" applyAlignment="1">
      <alignment wrapText="1"/>
    </xf>
    <xf numFmtId="173" fontId="25" fillId="0" borderId="0" xfId="0" applyNumberFormat="1" applyFont="1" applyFill="1" applyAlignment="1">
      <alignment horizontal="right" wrapText="1"/>
    </xf>
    <xf numFmtId="189" fontId="25" fillId="0" borderId="2" xfId="0" applyNumberFormat="1" applyFont="1" applyFill="1" applyBorder="1" applyAlignment="1">
      <alignment wrapText="1"/>
    </xf>
    <xf numFmtId="187" fontId="23" fillId="0" borderId="5" xfId="0" applyNumberFormat="1" applyFont="1" applyFill="1" applyBorder="1" applyAlignment="1">
      <alignment wrapText="1"/>
    </xf>
    <xf numFmtId="0" fontId="25" fillId="0" borderId="6" xfId="0" applyFont="1" applyFill="1" applyBorder="1" applyAlignment="1">
      <alignment wrapText="1"/>
    </xf>
    <xf numFmtId="192" fontId="25" fillId="0" borderId="0" xfId="0" applyNumberFormat="1" applyFont="1" applyFill="1" applyAlignment="1">
      <alignment horizontal="right" wrapText="1"/>
    </xf>
    <xf numFmtId="192" fontId="25" fillId="0" borderId="2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23" fillId="0" borderId="6" xfId="0" applyFont="1" applyFill="1" applyBorder="1" applyAlignment="1">
      <alignment horizontal="right" wrapText="1"/>
    </xf>
    <xf numFmtId="0" fontId="23" fillId="0" borderId="0" xfId="21" applyFont="1" applyAlignment="1">
      <alignment horizontal="center" wrapText="1"/>
    </xf>
    <xf numFmtId="188" fontId="25" fillId="0" borderId="4" xfId="21" applyNumberFormat="1" applyFont="1" applyBorder="1" applyAlignment="1">
      <alignment wrapText="1"/>
    </xf>
    <xf numFmtId="192" fontId="25" fillId="0" borderId="2" xfId="21" applyNumberFormat="1" applyFont="1" applyBorder="1" applyAlignment="1">
      <alignment horizontal="right" wrapText="1"/>
    </xf>
    <xf numFmtId="187" fontId="25" fillId="0" borderId="4" xfId="0" applyNumberFormat="1" applyFont="1" applyBorder="1" applyAlignment="1">
      <alignment wrapText="1"/>
    </xf>
    <xf numFmtId="167" fontId="25" fillId="0" borderId="2" xfId="21" applyNumberFormat="1" applyFont="1" applyBorder="1" applyAlignment="1">
      <alignment horizontal="right" wrapText="1"/>
    </xf>
    <xf numFmtId="187" fontId="23" fillId="0" borderId="5" xfId="21" applyNumberFormat="1" applyFont="1" applyBorder="1" applyAlignment="1">
      <alignment wrapText="1"/>
    </xf>
    <xf numFmtId="0" fontId="25" fillId="0" borderId="0" xfId="0" applyFont="1" applyBorder="1" applyAlignment="1">
      <alignment horizontal="center" wrapText="1"/>
    </xf>
    <xf numFmtId="166" fontId="25" fillId="0" borderId="0" xfId="0" quotePrefix="1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49" fontId="12" fillId="0" borderId="0" xfId="0" applyNumberFormat="1" applyFont="1" applyAlignment="1">
      <alignment vertical="center" wrapText="1"/>
    </xf>
    <xf numFmtId="0" fontId="10" fillId="0" borderId="0" xfId="0" applyFont="1" applyBorder="1"/>
    <xf numFmtId="0" fontId="10" fillId="0" borderId="1" xfId="0" applyFont="1" applyBorder="1"/>
    <xf numFmtId="164" fontId="10" fillId="0" borderId="0" xfId="1" applyNumberFormat="1" applyFont="1"/>
    <xf numFmtId="43" fontId="10" fillId="0" borderId="15" xfId="0" applyNumberFormat="1" applyFont="1" applyBorder="1"/>
    <xf numFmtId="164" fontId="10" fillId="0" borderId="0" xfId="0" applyNumberFormat="1" applyFont="1"/>
    <xf numFmtId="166" fontId="10" fillId="0" borderId="0" xfId="0" applyNumberFormat="1" applyFont="1" applyAlignment="1">
      <alignment horizontal="center"/>
    </xf>
    <xf numFmtId="43" fontId="9" fillId="0" borderId="0" xfId="0" applyNumberFormat="1" applyFont="1"/>
    <xf numFmtId="43" fontId="9" fillId="0" borderId="15" xfId="0" applyNumberFormat="1" applyFont="1" applyFill="1" applyBorder="1"/>
    <xf numFmtId="0" fontId="10" fillId="0" borderId="0" xfId="0" applyFont="1" applyAlignment="1">
      <alignment wrapText="1"/>
    </xf>
    <xf numFmtId="37" fontId="11" fillId="0" borderId="1" xfId="25" applyNumberFormat="1" applyFont="1" applyBorder="1" applyAlignment="1">
      <alignment horizontal="center" vertical="center"/>
    </xf>
    <xf numFmtId="0" fontId="11" fillId="0" borderId="1" xfId="25" applyFont="1" applyBorder="1" applyAlignment="1">
      <alignment vertical="center"/>
    </xf>
    <xf numFmtId="7" fontId="11" fillId="0" borderId="0" xfId="25" applyNumberFormat="1" applyFont="1" applyAlignment="1">
      <alignment wrapText="1"/>
    </xf>
    <xf numFmtId="2" fontId="10" fillId="0" borderId="0" xfId="0" applyNumberFormat="1" applyFont="1"/>
    <xf numFmtId="184" fontId="11" fillId="0" borderId="0" xfId="25" applyNumberFormat="1" applyFont="1" applyAlignment="1">
      <alignment wrapText="1"/>
    </xf>
    <xf numFmtId="0" fontId="12" fillId="0" borderId="0" xfId="41" applyFont="1" applyAlignment="1"/>
    <xf numFmtId="0" fontId="11" fillId="0" borderId="0" xfId="41" applyFont="1" applyAlignment="1"/>
    <xf numFmtId="0" fontId="25" fillId="0" borderId="2" xfId="41" applyFont="1" applyBorder="1" applyAlignment="1">
      <alignment wrapText="1"/>
    </xf>
    <xf numFmtId="0" fontId="25" fillId="0" borderId="3" xfId="0" applyFont="1" applyBorder="1" applyAlignment="1">
      <alignment horizontal="center" wrapText="1"/>
    </xf>
    <xf numFmtId="0" fontId="25" fillId="0" borderId="3" xfId="41" applyFont="1" applyBorder="1" applyAlignment="1">
      <alignment horizontal="center" wrapText="1"/>
    </xf>
    <xf numFmtId="0" fontId="25" fillId="0" borderId="4" xfId="41" applyFont="1" applyBorder="1" applyAlignment="1">
      <alignment horizontal="center" wrapText="1"/>
    </xf>
    <xf numFmtId="0" fontId="25" fillId="0" borderId="4" xfId="41" applyFont="1" applyFill="1" applyBorder="1" applyAlignment="1">
      <alignment wrapText="1"/>
    </xf>
    <xf numFmtId="169" fontId="25" fillId="0" borderId="0" xfId="41" applyNumberFormat="1" applyFont="1" applyAlignment="1">
      <alignment wrapText="1"/>
    </xf>
    <xf numFmtId="174" fontId="25" fillId="0" borderId="0" xfId="41" applyNumberFormat="1" applyFont="1" applyAlignment="1">
      <alignment horizontal="center" wrapText="1"/>
    </xf>
    <xf numFmtId="0" fontId="25" fillId="0" borderId="0" xfId="41" applyFont="1" applyAlignment="1">
      <alignment wrapText="1" indent="1"/>
    </xf>
    <xf numFmtId="175" fontId="25" fillId="0" borderId="0" xfId="0" applyNumberFormat="1" applyFont="1" applyAlignment="1">
      <alignment wrapText="1"/>
    </xf>
    <xf numFmtId="175" fontId="25" fillId="0" borderId="0" xfId="41" applyNumberFormat="1" applyFont="1" applyAlignment="1">
      <alignment wrapText="1"/>
    </xf>
    <xf numFmtId="173" fontId="25" fillId="0" borderId="0" xfId="0" applyNumberFormat="1" applyFont="1" applyAlignment="1">
      <alignment horizontal="center" wrapText="1"/>
    </xf>
    <xf numFmtId="200" fontId="25" fillId="0" borderId="0" xfId="0" applyNumberFormat="1" applyFont="1" applyAlignment="1">
      <alignment horizontal="center" wrapText="1"/>
    </xf>
    <xf numFmtId="176" fontId="25" fillId="0" borderId="0" xfId="41" applyNumberFormat="1" applyFont="1" applyFill="1" applyAlignment="1">
      <alignment wrapText="1"/>
    </xf>
    <xf numFmtId="175" fontId="25" fillId="0" borderId="2" xfId="0" applyNumberFormat="1" applyFont="1" applyBorder="1" applyAlignment="1">
      <alignment wrapText="1"/>
    </xf>
    <xf numFmtId="175" fontId="25" fillId="0" borderId="2" xfId="41" applyNumberFormat="1" applyFont="1" applyBorder="1" applyAlignment="1">
      <alignment wrapText="1"/>
    </xf>
    <xf numFmtId="176" fontId="25" fillId="0" borderId="2" xfId="41" applyNumberFormat="1" applyFont="1" applyFill="1" applyBorder="1" applyAlignment="1">
      <alignment wrapText="1"/>
    </xf>
    <xf numFmtId="175" fontId="25" fillId="0" borderId="3" xfId="41" applyNumberFormat="1" applyFont="1" applyBorder="1" applyAlignment="1">
      <alignment wrapText="1"/>
    </xf>
    <xf numFmtId="176" fontId="25" fillId="0" borderId="3" xfId="41" applyNumberFormat="1" applyFont="1" applyFill="1" applyBorder="1" applyAlignment="1">
      <alignment wrapText="1"/>
    </xf>
    <xf numFmtId="175" fontId="23" fillId="0" borderId="4" xfId="41" applyNumberFormat="1" applyFont="1" applyBorder="1" applyAlignment="1">
      <alignment wrapText="1"/>
    </xf>
    <xf numFmtId="176" fontId="23" fillId="0" borderId="4" xfId="41" applyNumberFormat="1" applyFont="1" applyFill="1" applyBorder="1" applyAlignment="1">
      <alignment wrapText="1"/>
    </xf>
    <xf numFmtId="174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left" wrapText="1" indent="1"/>
    </xf>
    <xf numFmtId="175" fontId="25" fillId="0" borderId="0" xfId="41" applyNumberFormat="1" applyFont="1" applyFill="1" applyAlignment="1">
      <alignment wrapText="1"/>
    </xf>
    <xf numFmtId="175" fontId="23" fillId="0" borderId="4" xfId="41" applyNumberFormat="1" applyFont="1" applyFill="1" applyBorder="1" applyAlignment="1">
      <alignment wrapText="1"/>
    </xf>
    <xf numFmtId="175" fontId="23" fillId="0" borderId="0" xfId="41" applyNumberFormat="1" applyFont="1" applyAlignment="1">
      <alignment wrapText="1"/>
    </xf>
    <xf numFmtId="175" fontId="23" fillId="0" borderId="0" xfId="41" applyNumberFormat="1" applyFont="1" applyFill="1" applyAlignment="1">
      <alignment wrapText="1"/>
    </xf>
    <xf numFmtId="177" fontId="23" fillId="0" borderId="4" xfId="41" applyNumberFormat="1" applyFont="1" applyBorder="1" applyAlignment="1">
      <alignment wrapText="1"/>
    </xf>
    <xf numFmtId="175" fontId="25" fillId="0" borderId="2" xfId="41" applyNumberFormat="1" applyFont="1" applyFill="1" applyBorder="1" applyAlignment="1">
      <alignment wrapText="1"/>
    </xf>
    <xf numFmtId="173" fontId="25" fillId="0" borderId="0" xfId="41" applyNumberFormat="1" applyFont="1" applyAlignment="1">
      <alignment horizontal="center" wrapText="1"/>
    </xf>
    <xf numFmtId="0" fontId="31" fillId="0" borderId="0" xfId="41" applyFont="1" applyAlignment="1">
      <alignment wrapText="1"/>
    </xf>
    <xf numFmtId="0" fontId="23" fillId="0" borderId="0" xfId="41" applyFont="1" applyAlignment="1">
      <alignment wrapText="1"/>
    </xf>
    <xf numFmtId="175" fontId="23" fillId="0" borderId="5" xfId="41" applyNumberFormat="1" applyFont="1" applyFill="1" applyBorder="1" applyAlignment="1">
      <alignment wrapText="1"/>
    </xf>
    <xf numFmtId="190" fontId="25" fillId="0" borderId="0" xfId="41" applyNumberFormat="1" applyFont="1" applyAlignment="1">
      <alignment horizontal="right" wrapText="1"/>
    </xf>
    <xf numFmtId="169" fontId="25" fillId="0" borderId="0" xfId="0" applyNumberFormat="1" applyFont="1" applyAlignment="1">
      <alignment wrapText="1"/>
    </xf>
    <xf numFmtId="169" fontId="25" fillId="0" borderId="0" xfId="41" applyNumberFormat="1" applyFont="1" applyAlignment="1">
      <alignment vertical="top" wrapText="1"/>
    </xf>
    <xf numFmtId="169" fontId="25" fillId="0" borderId="5" xfId="41" applyNumberFormat="1" applyFont="1" applyBorder="1" applyAlignment="1">
      <alignment wrapText="1"/>
    </xf>
    <xf numFmtId="188" fontId="25" fillId="0" borderId="0" xfId="41" applyNumberFormat="1" applyFont="1" applyAlignment="1">
      <alignment wrapText="1"/>
    </xf>
    <xf numFmtId="169" fontId="25" fillId="0" borderId="2" xfId="41" applyNumberFormat="1" applyFont="1" applyBorder="1" applyAlignment="1">
      <alignment vertical="top" wrapText="1"/>
    </xf>
    <xf numFmtId="169" fontId="25" fillId="0" borderId="5" xfId="41" applyNumberFormat="1" applyFont="1" applyBorder="1" applyAlignment="1">
      <alignment vertical="top" wrapText="1"/>
    </xf>
    <xf numFmtId="0" fontId="25" fillId="0" borderId="0" xfId="41" applyFont="1" applyAlignment="1">
      <alignment horizontal="left" vertical="top" wrapText="1"/>
    </xf>
    <xf numFmtId="0" fontId="25" fillId="0" borderId="0" xfId="41" applyFont="1" applyFill="1" applyAlignment="1">
      <alignment wrapText="1"/>
    </xf>
    <xf numFmtId="190" fontId="25" fillId="0" borderId="0" xfId="0" applyNumberFormat="1" applyFont="1" applyAlignment="1">
      <alignment wrapText="1"/>
    </xf>
    <xf numFmtId="0" fontId="25" fillId="0" borderId="6" xfId="41" applyFont="1" applyBorder="1" applyAlignment="1">
      <alignment horizontal="left" vertical="top" wrapText="1"/>
    </xf>
    <xf numFmtId="201" fontId="25" fillId="0" borderId="0" xfId="0" applyNumberFormat="1" applyFont="1" applyAlignment="1">
      <alignment wrapText="1"/>
    </xf>
    <xf numFmtId="0" fontId="25" fillId="0" borderId="0" xfId="41" applyFont="1" applyBorder="1" applyAlignment="1">
      <alignment wrapText="1"/>
    </xf>
    <xf numFmtId="0" fontId="25" fillId="0" borderId="0" xfId="41" applyFont="1" applyBorder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172" fontId="25" fillId="0" borderId="0" xfId="0" applyNumberFormat="1" applyFont="1" applyAlignment="1">
      <alignment horizontal="left" vertical="top" wrapText="1"/>
    </xf>
    <xf numFmtId="166" fontId="25" fillId="0" borderId="0" xfId="41" applyNumberFormat="1" applyFont="1" applyAlignment="1">
      <alignment horizontal="center" vertical="top" wrapText="1"/>
    </xf>
    <xf numFmtId="178" fontId="25" fillId="0" borderId="0" xfId="41" applyNumberFormat="1" applyFont="1" applyAlignment="1">
      <alignment horizontal="center" vertical="center" wrapText="1"/>
    </xf>
    <xf numFmtId="171" fontId="25" fillId="0" borderId="2" xfId="41" applyNumberFormat="1" applyFont="1" applyBorder="1" applyAlignment="1">
      <alignment horizontal="right" vertical="top" wrapText="1"/>
    </xf>
    <xf numFmtId="0" fontId="25" fillId="0" borderId="4" xfId="41" applyFont="1" applyBorder="1" applyAlignment="1">
      <alignment horizontal="right" vertical="top" wrapText="1"/>
    </xf>
    <xf numFmtId="187" fontId="25" fillId="0" borderId="33" xfId="41" applyNumberFormat="1" applyFont="1" applyBorder="1" applyAlignment="1">
      <alignment horizontal="center" vertical="top" wrapText="1"/>
    </xf>
    <xf numFmtId="0" fontId="25" fillId="0" borderId="6" xfId="41" applyFont="1" applyBorder="1" applyAlignment="1">
      <alignment horizontal="right" vertical="top" wrapText="1"/>
    </xf>
    <xf numFmtId="168" fontId="25" fillId="0" borderId="0" xfId="41" applyNumberFormat="1" applyFont="1" applyAlignment="1">
      <alignment horizontal="center" vertical="center" wrapText="1"/>
    </xf>
    <xf numFmtId="188" fontId="25" fillId="0" borderId="5" xfId="0" applyNumberFormat="1" applyFont="1" applyBorder="1" applyAlignment="1">
      <alignment wrapText="1"/>
    </xf>
    <xf numFmtId="0" fontId="25" fillId="0" borderId="6" xfId="41" applyFont="1" applyBorder="1" applyAlignment="1">
      <alignment horizontal="right" wrapText="1"/>
    </xf>
    <xf numFmtId="171" fontId="25" fillId="0" borderId="2" xfId="41" applyNumberFormat="1" applyFont="1" applyBorder="1" applyAlignment="1">
      <alignment horizontal="right" wrapText="1"/>
    </xf>
    <xf numFmtId="187" fontId="25" fillId="0" borderId="33" xfId="41" applyNumberFormat="1" applyFont="1" applyBorder="1" applyAlignment="1">
      <alignment wrapText="1"/>
    </xf>
    <xf numFmtId="49" fontId="11" fillId="2" borderId="0" xfId="33" applyNumberFormat="1" applyFont="1" applyFill="1" applyAlignment="1">
      <alignment wrapText="1"/>
    </xf>
    <xf numFmtId="49" fontId="11" fillId="2" borderId="0" xfId="33" applyNumberFormat="1" applyFont="1" applyFill="1" applyAlignment="1"/>
    <xf numFmtId="0" fontId="25" fillId="0" borderId="1" xfId="0" applyFont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11" fillId="2" borderId="0" xfId="32" applyFont="1" applyFill="1"/>
    <xf numFmtId="43" fontId="10" fillId="2" borderId="0" xfId="1" applyFont="1" applyFill="1"/>
    <xf numFmtId="194" fontId="10" fillId="2" borderId="0" xfId="35" applyNumberFormat="1" applyFont="1" applyFill="1"/>
    <xf numFmtId="172" fontId="25" fillId="0" borderId="0" xfId="0" applyNumberFormat="1" applyFont="1" applyAlignment="1">
      <alignment wrapText="1"/>
    </xf>
    <xf numFmtId="179" fontId="25" fillId="0" borderId="2" xfId="0" applyNumberFormat="1" applyFont="1" applyFill="1" applyBorder="1" applyAlignment="1">
      <alignment wrapText="1"/>
    </xf>
    <xf numFmtId="172" fontId="25" fillId="0" borderId="0" xfId="41" applyNumberFormat="1" applyFont="1" applyAlignment="1">
      <alignment wrapText="1"/>
    </xf>
    <xf numFmtId="202" fontId="25" fillId="0" borderId="0" xfId="0" applyNumberFormat="1" applyFont="1" applyAlignment="1">
      <alignment horizontal="center" wrapText="1"/>
    </xf>
    <xf numFmtId="172" fontId="25" fillId="0" borderId="2" xfId="0" applyNumberFormat="1" applyFont="1" applyBorder="1" applyAlignment="1">
      <alignment wrapText="1"/>
    </xf>
    <xf numFmtId="172" fontId="25" fillId="0" borderId="2" xfId="41" applyNumberFormat="1" applyFont="1" applyBorder="1" applyAlignment="1">
      <alignment wrapText="1"/>
    </xf>
    <xf numFmtId="172" fontId="25" fillId="0" borderId="33" xfId="41" applyNumberFormat="1" applyFont="1" applyBorder="1" applyAlignment="1">
      <alignment horizontal="right" wrapText="1"/>
    </xf>
    <xf numFmtId="187" fontId="25" fillId="0" borderId="0" xfId="41" applyNumberFormat="1" applyFont="1" applyAlignment="1">
      <alignment wrapText="1"/>
    </xf>
    <xf numFmtId="0" fontId="11" fillId="0" borderId="0" xfId="32" applyFont="1"/>
    <xf numFmtId="0" fontId="11" fillId="0" borderId="0" xfId="32" applyFont="1" applyAlignment="1">
      <alignment horizontal="right"/>
    </xf>
    <xf numFmtId="182" fontId="11" fillId="0" borderId="0" xfId="32" applyNumberFormat="1" applyFont="1"/>
    <xf numFmtId="0" fontId="11" fillId="0" borderId="0" xfId="32" applyFont="1" applyAlignment="1">
      <alignment horizontal="center"/>
    </xf>
    <xf numFmtId="181" fontId="11" fillId="0" borderId="15" xfId="32" applyNumberFormat="1" applyFont="1" applyBorder="1"/>
    <xf numFmtId="0" fontId="9" fillId="0" borderId="0" xfId="31" applyFont="1" applyAlignment="1">
      <alignment horizontal="centerContinuous"/>
    </xf>
    <xf numFmtId="0" fontId="10" fillId="0" borderId="0" xfId="31" applyFont="1" applyAlignment="1">
      <alignment horizontal="centerContinuous"/>
    </xf>
    <xf numFmtId="0" fontId="10" fillId="0" borderId="0" xfId="31" applyFont="1" applyAlignment="1">
      <alignment horizontal="center" wrapText="1"/>
    </xf>
    <xf numFmtId="49" fontId="10" fillId="0" borderId="0" xfId="31" applyNumberFormat="1" applyFont="1" applyAlignment="1">
      <alignment horizontal="center"/>
    </xf>
    <xf numFmtId="49" fontId="10" fillId="0" borderId="0" xfId="31" applyNumberFormat="1" applyFont="1" applyAlignment="1">
      <alignment horizontal="center" wrapText="1"/>
    </xf>
    <xf numFmtId="0" fontId="10" fillId="0" borderId="0" xfId="31" quotePrefix="1" applyFont="1" applyAlignment="1">
      <alignment horizontal="center" wrapText="1"/>
    </xf>
    <xf numFmtId="49" fontId="10" fillId="0" borderId="0" xfId="31" quotePrefix="1" applyNumberFormat="1" applyFont="1" applyAlignment="1">
      <alignment horizontal="center"/>
    </xf>
    <xf numFmtId="49" fontId="10" fillId="0" borderId="0" xfId="31" quotePrefix="1" applyNumberFormat="1" applyFont="1" applyAlignment="1">
      <alignment horizontal="center" wrapText="1"/>
    </xf>
    <xf numFmtId="0" fontId="10" fillId="0" borderId="0" xfId="31" applyFont="1" applyAlignment="1">
      <alignment horizontal="center"/>
    </xf>
    <xf numFmtId="0" fontId="10" fillId="0" borderId="0" xfId="31" applyFont="1" applyAlignment="1">
      <alignment horizontal="left" wrapText="1"/>
    </xf>
    <xf numFmtId="181" fontId="10" fillId="0" borderId="0" xfId="31" applyNumberFormat="1" applyFont="1"/>
    <xf numFmtId="0" fontId="10" fillId="0" borderId="0" xfId="31" applyFont="1" applyAlignment="1">
      <alignment wrapText="1"/>
    </xf>
    <xf numFmtId="181" fontId="10" fillId="0" borderId="1" xfId="31" applyNumberFormat="1" applyFont="1" applyBorder="1"/>
    <xf numFmtId="0" fontId="10" fillId="0" borderId="0" xfId="31" quotePrefix="1" applyFont="1"/>
    <xf numFmtId="2" fontId="10" fillId="0" borderId="0" xfId="0" applyNumberFormat="1" applyFont="1" applyFill="1" applyAlignment="1">
      <alignment horizontal="center"/>
    </xf>
    <xf numFmtId="0" fontId="12" fillId="0" borderId="0" xfId="21" applyFont="1" applyAlignment="1">
      <alignment horizontal="center"/>
    </xf>
    <xf numFmtId="165" fontId="11" fillId="0" borderId="0" xfId="15" applyNumberFormat="1" applyFont="1"/>
    <xf numFmtId="164" fontId="11" fillId="0" borderId="1" xfId="37" applyNumberFormat="1" applyFont="1" applyFill="1" applyBorder="1"/>
    <xf numFmtId="164" fontId="11" fillId="0" borderId="0" xfId="37" applyNumberFormat="1" applyFont="1" applyBorder="1"/>
    <xf numFmtId="186" fontId="11" fillId="0" borderId="1" xfId="37" applyNumberFormat="1" applyFont="1" applyFill="1" applyBorder="1"/>
    <xf numFmtId="165" fontId="11" fillId="0" borderId="26" xfId="15" applyNumberFormat="1" applyFont="1" applyBorder="1"/>
    <xf numFmtId="165" fontId="11" fillId="0" borderId="15" xfId="15" applyNumberFormat="1" applyFont="1" applyBorder="1"/>
    <xf numFmtId="185" fontId="10" fillId="0" borderId="0" xfId="0" applyNumberFormat="1" applyFont="1" applyFill="1" applyAlignment="1">
      <alignment horizontal="right"/>
    </xf>
    <xf numFmtId="0" fontId="25" fillId="0" borderId="12" xfId="21" applyFont="1" applyBorder="1" applyAlignment="1">
      <alignment horizontal="center" wrapText="1"/>
    </xf>
    <xf numFmtId="0" fontId="25" fillId="0" borderId="11" xfId="21" applyFont="1" applyBorder="1" applyAlignment="1">
      <alignment horizontal="center" wrapText="1"/>
    </xf>
    <xf numFmtId="166" fontId="25" fillId="0" borderId="4" xfId="21" applyNumberFormat="1" applyFont="1" applyBorder="1" applyAlignment="1">
      <alignment horizontal="center" wrapText="1"/>
    </xf>
    <xf numFmtId="187" fontId="25" fillId="0" borderId="0" xfId="21" applyNumberFormat="1" applyFont="1" applyBorder="1" applyAlignment="1">
      <alignment wrapText="1"/>
    </xf>
    <xf numFmtId="187" fontId="23" fillId="0" borderId="0" xfId="21" applyNumberFormat="1" applyFont="1" applyBorder="1" applyAlignment="1">
      <alignment wrapText="1"/>
    </xf>
    <xf numFmtId="187" fontId="11" fillId="0" borderId="0" xfId="21" applyNumberFormat="1" applyFont="1"/>
    <xf numFmtId="0" fontId="23" fillId="0" borderId="0" xfId="21" applyFont="1" applyAlignment="1">
      <alignment horizontal="left" wrapText="1"/>
    </xf>
    <xf numFmtId="2" fontId="11" fillId="0" borderId="0" xfId="21" applyNumberFormat="1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166" fontId="25" fillId="0" borderId="4" xfId="0" applyNumberFormat="1" applyFont="1" applyBorder="1" applyAlignment="1">
      <alignment horizontal="center" wrapText="1"/>
    </xf>
    <xf numFmtId="187" fontId="23" fillId="0" borderId="5" xfId="0" applyNumberFormat="1" applyFont="1" applyBorder="1" applyAlignment="1">
      <alignment wrapText="1"/>
    </xf>
    <xf numFmtId="0" fontId="25" fillId="0" borderId="6" xfId="0" applyFont="1" applyBorder="1" applyAlignment="1">
      <alignment wrapText="1"/>
    </xf>
    <xf numFmtId="2" fontId="10" fillId="0" borderId="0" xfId="0" applyNumberFormat="1" applyFont="1" applyAlignment="1">
      <alignment horizontal="center"/>
    </xf>
    <xf numFmtId="0" fontId="25" fillId="0" borderId="4" xfId="0" applyFont="1" applyBorder="1" applyAlignment="1">
      <alignment vertical="center" wrapText="1"/>
    </xf>
    <xf numFmtId="166" fontId="25" fillId="0" borderId="4" xfId="0" applyNumberFormat="1" applyFont="1" applyBorder="1" applyAlignment="1">
      <alignment horizontal="center" vertical="center" wrapText="1"/>
    </xf>
    <xf numFmtId="187" fontId="25" fillId="0" borderId="4" xfId="0" applyNumberFormat="1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187" fontId="23" fillId="0" borderId="5" xfId="0" applyNumberFormat="1" applyFont="1" applyFill="1" applyBorder="1" applyAlignment="1">
      <alignment horizontal="center" wrapText="1"/>
    </xf>
    <xf numFmtId="0" fontId="25" fillId="0" borderId="0" xfId="0" applyFont="1" applyFill="1" applyAlignment="1">
      <alignment wrapText="1"/>
    </xf>
    <xf numFmtId="0" fontId="25" fillId="0" borderId="3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wrapText="1"/>
    </xf>
    <xf numFmtId="197" fontId="25" fillId="0" borderId="0" xfId="0" applyNumberFormat="1" applyFont="1" applyAlignment="1">
      <alignment horizontal="center" wrapText="1"/>
    </xf>
    <xf numFmtId="176" fontId="25" fillId="0" borderId="0" xfId="0" applyNumberFormat="1" applyFont="1" applyFill="1" applyAlignment="1">
      <alignment wrapText="1"/>
    </xf>
    <xf numFmtId="176" fontId="25" fillId="0" borderId="2" xfId="0" applyNumberFormat="1" applyFont="1" applyFill="1" applyBorder="1" applyAlignment="1">
      <alignment wrapText="1"/>
    </xf>
    <xf numFmtId="175" fontId="25" fillId="0" borderId="3" xfId="0" applyNumberFormat="1" applyFont="1" applyBorder="1" applyAlignment="1">
      <alignment wrapText="1"/>
    </xf>
    <xf numFmtId="176" fontId="25" fillId="0" borderId="3" xfId="0" applyNumberFormat="1" applyFont="1" applyFill="1" applyBorder="1" applyAlignment="1">
      <alignment wrapText="1"/>
    </xf>
    <xf numFmtId="175" fontId="23" fillId="0" borderId="4" xfId="0" applyNumberFormat="1" applyFont="1" applyBorder="1" applyAlignment="1">
      <alignment wrapText="1"/>
    </xf>
    <xf numFmtId="176" fontId="23" fillId="0" borderId="4" xfId="0" applyNumberFormat="1" applyFont="1" applyFill="1" applyBorder="1" applyAlignment="1">
      <alignment wrapText="1"/>
    </xf>
    <xf numFmtId="0" fontId="30" fillId="0" borderId="0" xfId="0" applyFont="1" applyAlignment="1">
      <alignment horizontal="left" wrapText="1"/>
    </xf>
    <xf numFmtId="175" fontId="25" fillId="0" borderId="0" xfId="0" applyNumberFormat="1" applyFont="1" applyFill="1" applyAlignment="1">
      <alignment wrapText="1"/>
    </xf>
    <xf numFmtId="0" fontId="31" fillId="0" borderId="0" xfId="0" applyFont="1" applyAlignment="1">
      <alignment wrapText="1"/>
    </xf>
    <xf numFmtId="175" fontId="25" fillId="0" borderId="2" xfId="0" applyNumberFormat="1" applyFont="1" applyFill="1" applyBorder="1" applyAlignment="1">
      <alignment wrapText="1"/>
    </xf>
    <xf numFmtId="175" fontId="23" fillId="0" borderId="4" xfId="0" applyNumberFormat="1" applyFont="1" applyFill="1" applyBorder="1" applyAlignment="1">
      <alignment wrapText="1"/>
    </xf>
    <xf numFmtId="173" fontId="25" fillId="0" borderId="0" xfId="0" applyNumberFormat="1" applyFont="1" applyFill="1" applyAlignment="1">
      <alignment horizontal="center" wrapText="1"/>
    </xf>
    <xf numFmtId="0" fontId="23" fillId="0" borderId="0" xfId="0" applyFont="1" applyFill="1" applyAlignment="1">
      <alignment wrapText="1"/>
    </xf>
    <xf numFmtId="175" fontId="23" fillId="0" borderId="0" xfId="0" applyNumberFormat="1" applyFont="1" applyAlignment="1">
      <alignment wrapText="1"/>
    </xf>
    <xf numFmtId="175" fontId="23" fillId="0" borderId="0" xfId="0" applyNumberFormat="1" applyFont="1" applyFill="1" applyAlignment="1">
      <alignment wrapText="1"/>
    </xf>
    <xf numFmtId="177" fontId="23" fillId="0" borderId="4" xfId="0" applyNumberFormat="1" applyFont="1" applyBorder="1" applyAlignment="1">
      <alignment wrapText="1"/>
    </xf>
    <xf numFmtId="0" fontId="25" fillId="0" borderId="2" xfId="0" applyFont="1" applyFill="1" applyBorder="1" applyAlignment="1">
      <alignment wrapText="1"/>
    </xf>
    <xf numFmtId="175" fontId="23" fillId="0" borderId="5" xfId="0" applyNumberFormat="1" applyFont="1" applyFill="1" applyBorder="1" applyAlignment="1">
      <alignment wrapText="1"/>
    </xf>
    <xf numFmtId="175" fontId="25" fillId="0" borderId="6" xfId="0" applyNumberFormat="1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175" fontId="25" fillId="0" borderId="0" xfId="0" applyNumberFormat="1" applyFont="1" applyFill="1" applyAlignment="1">
      <alignment horizontal="left" vertical="top" wrapText="1"/>
    </xf>
    <xf numFmtId="0" fontId="25" fillId="0" borderId="2" xfId="0" applyFont="1" applyFill="1" applyBorder="1" applyAlignment="1">
      <alignment horizontal="center" wrapText="1"/>
    </xf>
    <xf numFmtId="197" fontId="25" fillId="0" borderId="0" xfId="0" applyNumberFormat="1" applyFont="1" applyFill="1" applyAlignment="1">
      <alignment horizontal="center" wrapText="1"/>
    </xf>
    <xf numFmtId="17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left" wrapText="1" indent="1"/>
    </xf>
    <xf numFmtId="172" fontId="25" fillId="0" borderId="0" xfId="0" applyNumberFormat="1" applyFont="1" applyFill="1" applyAlignment="1">
      <alignment wrapText="1"/>
    </xf>
    <xf numFmtId="197" fontId="25" fillId="0" borderId="0" xfId="0" applyNumberFormat="1" applyFont="1" applyFill="1" applyAlignment="1">
      <alignment wrapText="1"/>
    </xf>
    <xf numFmtId="197" fontId="25" fillId="0" borderId="2" xfId="0" applyNumberFormat="1" applyFont="1" applyFill="1" applyBorder="1" applyAlignment="1">
      <alignment wrapText="1"/>
    </xf>
    <xf numFmtId="172" fontId="25" fillId="0" borderId="2" xfId="0" applyNumberFormat="1" applyFont="1" applyFill="1" applyBorder="1" applyAlignment="1">
      <alignment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wrapText="1" indent="1"/>
    </xf>
    <xf numFmtId="197" fontId="23" fillId="0" borderId="4" xfId="0" applyNumberFormat="1" applyFont="1" applyFill="1" applyBorder="1" applyAlignment="1">
      <alignment wrapText="1"/>
    </xf>
    <xf numFmtId="172" fontId="23" fillId="0" borderId="4" xfId="0" applyNumberFormat="1" applyFont="1" applyFill="1" applyBorder="1" applyAlignment="1">
      <alignment wrapText="1"/>
    </xf>
    <xf numFmtId="169" fontId="25" fillId="0" borderId="0" xfId="0" applyNumberFormat="1" applyFont="1" applyFill="1" applyAlignment="1">
      <alignment wrapText="1"/>
    </xf>
    <xf numFmtId="169" fontId="25" fillId="0" borderId="2" xfId="0" applyNumberFormat="1" applyFont="1" applyFill="1" applyBorder="1" applyAlignment="1">
      <alignment wrapText="1"/>
    </xf>
    <xf numFmtId="170" fontId="23" fillId="0" borderId="0" xfId="0" applyNumberFormat="1" applyFont="1" applyFill="1" applyAlignment="1">
      <alignment wrapText="1"/>
    </xf>
    <xf numFmtId="170" fontId="23" fillId="0" borderId="5" xfId="0" applyNumberFormat="1" applyFont="1" applyFill="1" applyBorder="1" applyAlignment="1">
      <alignment wrapText="1"/>
    </xf>
    <xf numFmtId="0" fontId="23" fillId="0" borderId="6" xfId="0" applyFont="1" applyFill="1" applyBorder="1" applyAlignment="1">
      <alignment horizontal="left" wrapText="1"/>
    </xf>
    <xf numFmtId="0" fontId="25" fillId="0" borderId="0" xfId="0" applyFont="1" applyFill="1" applyAlignment="1"/>
    <xf numFmtId="0" fontId="25" fillId="0" borderId="0" xfId="0" applyFont="1" applyFill="1" applyAlignment="1">
      <alignment horizontal="left" vertical="top" wrapText="1"/>
    </xf>
    <xf numFmtId="10" fontId="10" fillId="0" borderId="0" xfId="35" applyNumberFormat="1" applyFont="1" applyFill="1"/>
    <xf numFmtId="7" fontId="10" fillId="0" borderId="0" xfId="0" applyNumberFormat="1" applyFont="1" applyFill="1"/>
    <xf numFmtId="0" fontId="10" fillId="0" borderId="0" xfId="0" applyFont="1" applyFill="1"/>
    <xf numFmtId="0" fontId="14" fillId="0" borderId="0" xfId="43" applyFont="1" applyAlignment="1">
      <alignment horizontal="center"/>
    </xf>
    <xf numFmtId="0" fontId="14" fillId="0" borderId="0" xfId="43" applyFont="1"/>
    <xf numFmtId="165" fontId="14" fillId="0" borderId="0" xfId="44" applyNumberFormat="1" applyFont="1" applyFill="1"/>
    <xf numFmtId="0" fontId="11" fillId="0" borderId="0" xfId="25" applyFont="1" applyAlignment="1">
      <alignment horizontal="left" vertical="center"/>
    </xf>
    <xf numFmtId="0" fontId="11" fillId="0" borderId="0" xfId="25" applyFont="1" applyAlignment="1">
      <alignment horizontal="center" vertical="center" wrapText="1"/>
    </xf>
    <xf numFmtId="165" fontId="11" fillId="0" borderId="0" xfId="44" applyNumberFormat="1" applyFont="1" applyFill="1" applyAlignment="1">
      <alignment wrapText="1"/>
    </xf>
    <xf numFmtId="165" fontId="14" fillId="0" borderId="29" xfId="43" applyNumberFormat="1" applyFont="1" applyBorder="1"/>
    <xf numFmtId="0" fontId="11" fillId="0" borderId="0" xfId="25" applyFont="1" applyAlignment="1">
      <alignment horizontal="center" wrapText="1"/>
    </xf>
    <xf numFmtId="5" fontId="11" fillId="0" borderId="15" xfId="25" applyNumberFormat="1" applyFont="1" applyBorder="1" applyAlignment="1">
      <alignment horizontal="right"/>
    </xf>
    <xf numFmtId="37" fontId="11" fillId="0" borderId="0" xfId="25" quotePrefix="1" applyNumberFormat="1" applyFont="1" applyAlignment="1">
      <alignment horizontal="center"/>
    </xf>
    <xf numFmtId="44" fontId="14" fillId="0" borderId="0" xfId="44" applyFont="1" applyFill="1"/>
    <xf numFmtId="44" fontId="14" fillId="0" borderId="0" xfId="43" applyNumberFormat="1" applyFont="1"/>
    <xf numFmtId="2" fontId="11" fillId="0" borderId="0" xfId="25" applyNumberFormat="1" applyFont="1" applyAlignment="1">
      <alignment horizontal="right"/>
    </xf>
    <xf numFmtId="44" fontId="11" fillId="0" borderId="0" xfId="25" applyNumberFormat="1" applyFont="1" applyAlignment="1">
      <alignment horizontal="right"/>
    </xf>
    <xf numFmtId="44" fontId="11" fillId="0" borderId="15" xfId="25" applyNumberFormat="1" applyFont="1" applyBorder="1" applyAlignment="1">
      <alignment horizontal="right"/>
    </xf>
    <xf numFmtId="44" fontId="11" fillId="0" borderId="0" xfId="29" applyFont="1" applyAlignment="1">
      <alignment horizontal="right" wrapText="1"/>
    </xf>
    <xf numFmtId="10" fontId="10" fillId="0" borderId="0" xfId="35" applyNumberFormat="1" applyFont="1"/>
    <xf numFmtId="44" fontId="10" fillId="0" borderId="0" xfId="0" applyNumberFormat="1" applyFont="1"/>
    <xf numFmtId="49" fontId="11" fillId="0" borderId="0" xfId="25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/>
    <xf numFmtId="44" fontId="25" fillId="0" borderId="0" xfId="44" applyFont="1" applyFill="1" applyBorder="1"/>
    <xf numFmtId="165" fontId="14" fillId="0" borderId="0" xfId="44" applyNumberFormat="1" applyFont="1"/>
    <xf numFmtId="44" fontId="25" fillId="0" borderId="0" xfId="0" applyNumberFormat="1" applyFont="1" applyFill="1"/>
    <xf numFmtId="44" fontId="25" fillId="0" borderId="0" xfId="0" applyNumberFormat="1" applyFont="1"/>
    <xf numFmtId="165" fontId="11" fillId="0" borderId="0" xfId="44" applyNumberFormat="1" applyFont="1" applyAlignment="1">
      <alignment wrapText="1"/>
    </xf>
    <xf numFmtId="44" fontId="11" fillId="0" borderId="0" xfId="25" applyNumberFormat="1" applyFont="1" applyFill="1" applyAlignment="1">
      <alignment horizontal="right"/>
    </xf>
    <xf numFmtId="0" fontId="11" fillId="0" borderId="0" xfId="25" applyFont="1" applyFill="1" applyAlignment="1">
      <alignment horizontal="right"/>
    </xf>
    <xf numFmtId="44" fontId="10" fillId="0" borderId="0" xfId="0" applyNumberFormat="1" applyFont="1" applyFill="1"/>
    <xf numFmtId="2" fontId="10" fillId="0" borderId="0" xfId="7" applyNumberFormat="1" applyFont="1" applyFill="1" applyBorder="1"/>
    <xf numFmtId="44" fontId="25" fillId="0" borderId="20" xfId="0" applyNumberFormat="1" applyFont="1" applyFill="1" applyBorder="1"/>
    <xf numFmtId="44" fontId="25" fillId="0" borderId="20" xfId="0" applyNumberFormat="1" applyFont="1" applyBorder="1"/>
    <xf numFmtId="44" fontId="10" fillId="0" borderId="1" xfId="0" applyNumberFormat="1" applyFont="1" applyBorder="1"/>
    <xf numFmtId="49" fontId="11" fillId="0" borderId="0" xfId="25" applyNumberFormat="1" applyFont="1" applyAlignment="1">
      <alignment wrapText="1"/>
    </xf>
    <xf numFmtId="165" fontId="14" fillId="0" borderId="0" xfId="7" applyNumberFormat="1" applyFont="1" applyFill="1"/>
    <xf numFmtId="49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wrapText="1"/>
    </xf>
    <xf numFmtId="0" fontId="11" fillId="0" borderId="0" xfId="0" applyFont="1" applyAlignment="1">
      <alignment horizontal="left"/>
    </xf>
    <xf numFmtId="195" fontId="11" fillId="0" borderId="0" xfId="0" applyNumberFormat="1" applyFont="1" applyAlignment="1">
      <alignment horizontal="center"/>
    </xf>
    <xf numFmtId="0" fontId="11" fillId="0" borderId="0" xfId="0" applyFont="1"/>
    <xf numFmtId="164" fontId="10" fillId="0" borderId="0" xfId="23" applyNumberFormat="1" applyFont="1" applyBorder="1"/>
    <xf numFmtId="164" fontId="10" fillId="0" borderId="1" xfId="0" applyNumberFormat="1" applyFont="1" applyBorder="1"/>
    <xf numFmtId="164" fontId="10" fillId="0" borderId="15" xfId="0" applyNumberFormat="1" applyFont="1" applyBorder="1"/>
    <xf numFmtId="43" fontId="10" fillId="0" borderId="0" xfId="0" applyNumberFormat="1" applyFont="1"/>
    <xf numFmtId="0" fontId="25" fillId="0" borderId="2" xfId="0" applyFont="1" applyBorder="1" applyAlignment="1">
      <alignment horizontal="center" vertical="center" wrapText="1"/>
    </xf>
    <xf numFmtId="173" fontId="25" fillId="0" borderId="0" xfId="0" applyNumberFormat="1" applyFont="1" applyAlignment="1">
      <alignment wrapText="1"/>
    </xf>
    <xf numFmtId="173" fontId="25" fillId="0" borderId="2" xfId="0" applyNumberFormat="1" applyFont="1" applyBorder="1" applyAlignment="1">
      <alignment wrapText="1"/>
    </xf>
    <xf numFmtId="172" fontId="25" fillId="0" borderId="5" xfId="0" applyNumberFormat="1" applyFont="1" applyBorder="1" applyAlignment="1">
      <alignment wrapText="1"/>
    </xf>
    <xf numFmtId="2" fontId="25" fillId="0" borderId="0" xfId="0" applyNumberFormat="1" applyFont="1" applyAlignment="1">
      <alignment wrapText="1"/>
    </xf>
    <xf numFmtId="172" fontId="25" fillId="0" borderId="7" xfId="0" applyNumberFormat="1" applyFont="1" applyBorder="1" applyAlignment="1">
      <alignment wrapText="1"/>
    </xf>
    <xf numFmtId="198" fontId="25" fillId="0" borderId="6" xfId="0" applyNumberFormat="1" applyFont="1" applyBorder="1" applyAlignment="1">
      <alignment wrapText="1"/>
    </xf>
    <xf numFmtId="168" fontId="25" fillId="3" borderId="6" xfId="0" applyNumberFormat="1" applyFont="1" applyFill="1" applyBorder="1" applyAlignment="1">
      <alignment wrapText="1"/>
    </xf>
    <xf numFmtId="0" fontId="25" fillId="0" borderId="6" xfId="0" applyFont="1" applyBorder="1" applyAlignment="1">
      <alignment horizontal="center" wrapText="1"/>
    </xf>
    <xf numFmtId="172" fontId="25" fillId="0" borderId="33" xfId="0" applyNumberFormat="1" applyFont="1" applyBorder="1" applyAlignment="1">
      <alignment wrapText="1"/>
    </xf>
    <xf numFmtId="172" fontId="10" fillId="0" borderId="0" xfId="0" applyNumberFormat="1" applyFont="1"/>
    <xf numFmtId="43" fontId="10" fillId="0" borderId="0" xfId="23" applyFont="1"/>
    <xf numFmtId="165" fontId="10" fillId="0" borderId="15" xfId="0" applyNumberFormat="1" applyFont="1" applyBorder="1"/>
    <xf numFmtId="0" fontId="10" fillId="0" borderId="0" xfId="0" applyFont="1" applyAlignment="1">
      <alignment horizontal="center" wrapText="1"/>
    </xf>
    <xf numFmtId="0" fontId="11" fillId="0" borderId="0" xfId="2" applyFont="1" applyFill="1" applyAlignment="1">
      <alignment horizontal="center" vertical="center"/>
    </xf>
    <xf numFmtId="0" fontId="25" fillId="0" borderId="14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wrapText="1"/>
    </xf>
    <xf numFmtId="0" fontId="12" fillId="0" borderId="8" xfId="2" applyFont="1" applyFill="1" applyBorder="1" applyAlignment="1">
      <alignment horizontal="center" wrapText="1"/>
    </xf>
    <xf numFmtId="0" fontId="11" fillId="0" borderId="4" xfId="2" applyFont="1" applyFill="1" applyBorder="1" applyAlignment="1">
      <alignment wrapText="1"/>
    </xf>
    <xf numFmtId="0" fontId="25" fillId="0" borderId="0" xfId="2" applyFont="1" applyFill="1" applyAlignment="1">
      <alignment horizontal="center" vertical="center" wrapText="1"/>
    </xf>
    <xf numFmtId="43" fontId="11" fillId="0" borderId="0" xfId="23" applyFont="1" applyFill="1"/>
    <xf numFmtId="166" fontId="25" fillId="0" borderId="0" xfId="2" applyNumberFormat="1" applyFont="1" applyFill="1" applyAlignment="1">
      <alignment horizontal="center" vertical="center" wrapText="1"/>
    </xf>
    <xf numFmtId="164" fontId="25" fillId="0" borderId="0" xfId="23" applyNumberFormat="1" applyFont="1" applyFill="1" applyAlignment="1">
      <alignment wrapText="1"/>
    </xf>
    <xf numFmtId="203" fontId="25" fillId="0" borderId="0" xfId="0" applyNumberFormat="1" applyFont="1" applyAlignment="1">
      <alignment vertical="top" wrapText="1"/>
    </xf>
    <xf numFmtId="196" fontId="25" fillId="0" borderId="0" xfId="2" applyNumberFormat="1" applyFont="1" applyFill="1" applyAlignment="1">
      <alignment wrapText="1"/>
    </xf>
    <xf numFmtId="187" fontId="25" fillId="0" borderId="0" xfId="2" applyNumberFormat="1" applyFont="1" applyAlignment="1">
      <alignment wrapText="1"/>
    </xf>
    <xf numFmtId="164" fontId="11" fillId="0" borderId="0" xfId="23" applyNumberFormat="1" applyFont="1" applyFill="1"/>
    <xf numFmtId="0" fontId="12" fillId="0" borderId="0" xfId="2" applyFont="1" applyFill="1" applyAlignment="1">
      <alignment wrapText="1"/>
    </xf>
    <xf numFmtId="164" fontId="25" fillId="0" borderId="0" xfId="23" applyNumberFormat="1" applyFont="1" applyFill="1" applyAlignment="1">
      <alignment horizontal="left" wrapText="1"/>
    </xf>
    <xf numFmtId="164" fontId="25" fillId="0" borderId="0" xfId="23" applyNumberFormat="1" applyFont="1" applyFill="1" applyAlignment="1">
      <alignment horizontal="center" wrapText="1"/>
    </xf>
    <xf numFmtId="188" fontId="25" fillId="0" borderId="0" xfId="2" applyNumberFormat="1" applyFont="1" applyAlignment="1">
      <alignment wrapText="1"/>
    </xf>
    <xf numFmtId="0" fontId="12" fillId="0" borderId="0" xfId="2" applyFont="1" applyFill="1" applyAlignment="1">
      <alignment horizontal="left" wrapText="1"/>
    </xf>
    <xf numFmtId="188" fontId="25" fillId="0" borderId="0" xfId="36" applyNumberFormat="1" applyFont="1">
      <alignment wrapText="1"/>
    </xf>
    <xf numFmtId="0" fontId="12" fillId="0" borderId="0" xfId="2" applyFont="1" applyFill="1" applyAlignment="1">
      <alignment vertical="top" wrapText="1"/>
    </xf>
    <xf numFmtId="164" fontId="11" fillId="0" borderId="0" xfId="23" applyNumberFormat="1" applyFont="1" applyFill="1" applyAlignment="1"/>
    <xf numFmtId="188" fontId="11" fillId="0" borderId="0" xfId="2" applyNumberFormat="1" applyFont="1"/>
    <xf numFmtId="0" fontId="11" fillId="0" borderId="0" xfId="2" applyFont="1" applyFill="1" applyAlignment="1">
      <alignment wrapText="1"/>
    </xf>
    <xf numFmtId="164" fontId="25" fillId="0" borderId="2" xfId="23" applyNumberFormat="1" applyFont="1" applyFill="1" applyBorder="1" applyAlignment="1">
      <alignment wrapText="1"/>
    </xf>
    <xf numFmtId="196" fontId="25" fillId="0" borderId="1" xfId="2" applyNumberFormat="1" applyFont="1" applyBorder="1" applyAlignment="1">
      <alignment wrapText="1"/>
    </xf>
    <xf numFmtId="164" fontId="25" fillId="0" borderId="4" xfId="23" applyNumberFormat="1" applyFont="1" applyFill="1" applyBorder="1" applyAlignment="1">
      <alignment wrapText="1"/>
    </xf>
    <xf numFmtId="164" fontId="25" fillId="0" borderId="0" xfId="23" applyNumberFormat="1" applyFont="1" applyFill="1" applyBorder="1" applyAlignment="1">
      <alignment wrapText="1"/>
    </xf>
    <xf numFmtId="197" fontId="25" fillId="0" borderId="4" xfId="2" applyNumberFormat="1" applyFont="1" applyBorder="1" applyAlignment="1">
      <alignment wrapText="1"/>
    </xf>
    <xf numFmtId="164" fontId="25" fillId="0" borderId="0" xfId="23" applyNumberFormat="1" applyFont="1" applyFill="1" applyAlignment="1">
      <alignment horizontal="right" wrapText="1"/>
    </xf>
    <xf numFmtId="164" fontId="23" fillId="0" borderId="0" xfId="23" applyNumberFormat="1" applyFont="1" applyFill="1" applyAlignment="1">
      <alignment wrapText="1"/>
    </xf>
    <xf numFmtId="164" fontId="23" fillId="0" borderId="0" xfId="23" applyNumberFormat="1" applyFont="1" applyFill="1" applyAlignment="1">
      <alignment horizontal="center" wrapText="1"/>
    </xf>
    <xf numFmtId="196" fontId="25" fillId="0" borderId="0" xfId="2" applyNumberFormat="1" applyFont="1" applyAlignment="1">
      <alignment wrapText="1"/>
    </xf>
    <xf numFmtId="187" fontId="25" fillId="0" borderId="2" xfId="0" applyNumberFormat="1" applyFont="1" applyBorder="1" applyAlignment="1">
      <alignment vertical="top" wrapText="1"/>
    </xf>
    <xf numFmtId="196" fontId="25" fillId="0" borderId="2" xfId="2" applyNumberFormat="1" applyFont="1" applyBorder="1" applyAlignment="1">
      <alignment wrapText="1"/>
    </xf>
    <xf numFmtId="0" fontId="25" fillId="0" borderId="0" xfId="2" applyFont="1" applyFill="1" applyAlignment="1">
      <alignment wrapText="1"/>
    </xf>
    <xf numFmtId="172" fontId="25" fillId="0" borderId="7" xfId="2" applyNumberFormat="1" applyFont="1" applyFill="1" applyBorder="1" applyAlignment="1">
      <alignment wrapText="1"/>
    </xf>
    <xf numFmtId="0" fontId="25" fillId="0" borderId="0" xfId="2" applyFont="1" applyFill="1" applyAlignment="1">
      <alignment horizontal="right" wrapText="1"/>
    </xf>
    <xf numFmtId="172" fontId="25" fillId="0" borderId="7" xfId="2" applyNumberFormat="1" applyFont="1" applyBorder="1" applyAlignment="1">
      <alignment wrapText="1"/>
    </xf>
    <xf numFmtId="0" fontId="25" fillId="0" borderId="6" xfId="2" applyFont="1" applyFill="1" applyBorder="1" applyAlignment="1">
      <alignment wrapText="1"/>
    </xf>
    <xf numFmtId="0" fontId="25" fillId="0" borderId="6" xfId="2" applyFont="1" applyFill="1" applyBorder="1" applyAlignment="1">
      <alignment horizontal="right" wrapText="1"/>
    </xf>
    <xf numFmtId="0" fontId="25" fillId="0" borderId="4" xfId="2" applyFont="1" applyFill="1" applyBorder="1" applyAlignment="1">
      <alignment wrapText="1"/>
    </xf>
    <xf numFmtId="37" fontId="11" fillId="0" borderId="0" xfId="2" applyNumberFormat="1" applyFont="1" applyFill="1"/>
    <xf numFmtId="172" fontId="11" fillId="0" borderId="0" xfId="2" applyNumberFormat="1" applyFont="1" applyFill="1"/>
    <xf numFmtId="0" fontId="25" fillId="0" borderId="0" xfId="2" applyFont="1" applyFill="1" applyAlignment="1">
      <alignment horizontal="left" wrapText="1"/>
    </xf>
    <xf numFmtId="164" fontId="10" fillId="0" borderId="0" xfId="23" applyNumberFormat="1" applyFont="1" applyFill="1" applyBorder="1" applyAlignment="1"/>
    <xf numFmtId="0" fontId="25" fillId="0" borderId="0" xfId="41" applyFont="1" applyAlignment="1">
      <alignment vertical="top" wrapText="1"/>
    </xf>
    <xf numFmtId="0" fontId="25" fillId="0" borderId="0" xfId="41" applyFont="1" applyAlignment="1">
      <alignment horizontal="center" vertical="top" wrapText="1"/>
    </xf>
    <xf numFmtId="167" fontId="25" fillId="0" borderId="0" xfId="41" applyNumberFormat="1" applyFont="1" applyAlignment="1">
      <alignment horizontal="center" vertical="top" wrapText="1"/>
    </xf>
    <xf numFmtId="0" fontId="23" fillId="0" borderId="0" xfId="41" applyFont="1" applyAlignment="1">
      <alignment vertical="top" wrapText="1"/>
    </xf>
    <xf numFmtId="187" fontId="23" fillId="0" borderId="5" xfId="41" applyNumberFormat="1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167" fontId="25" fillId="0" borderId="0" xfId="21" applyNumberFormat="1" applyFont="1" applyAlignment="1">
      <alignment horizontal="center" vertical="top" wrapText="1"/>
    </xf>
    <xf numFmtId="187" fontId="25" fillId="0" borderId="0" xfId="21" applyNumberFormat="1" applyFont="1" applyAlignment="1">
      <alignment vertical="top" wrapText="1"/>
    </xf>
    <xf numFmtId="166" fontId="25" fillId="0" borderId="0" xfId="0" applyNumberFormat="1" applyFont="1" applyAlignment="1">
      <alignment horizontal="center" vertical="top" wrapText="1"/>
    </xf>
    <xf numFmtId="187" fontId="25" fillId="0" borderId="2" xfId="21" applyNumberFormat="1" applyFont="1" applyBorder="1" applyAlignment="1">
      <alignment vertical="top" wrapText="1"/>
    </xf>
    <xf numFmtId="188" fontId="25" fillId="0" borderId="3" xfId="21" applyNumberFormat="1" applyFont="1" applyBorder="1" applyAlignment="1">
      <alignment wrapText="1"/>
    </xf>
    <xf numFmtId="187" fontId="23" fillId="0" borderId="5" xfId="21" applyNumberFormat="1" applyFont="1" applyBorder="1" applyAlignment="1">
      <alignment vertical="top" wrapText="1"/>
    </xf>
    <xf numFmtId="0" fontId="25" fillId="0" borderId="0" xfId="21" applyFont="1" applyAlignment="1">
      <alignment horizontal="right" vertical="top" wrapText="1"/>
    </xf>
    <xf numFmtId="180" fontId="11" fillId="0" borderId="0" xfId="0" applyNumberFormat="1" applyFont="1" applyFill="1" applyAlignment="1">
      <alignment horizontal="center"/>
    </xf>
    <xf numFmtId="180" fontId="11" fillId="0" borderId="0" xfId="0" applyNumberFormat="1" applyFont="1" applyAlignment="1">
      <alignment horizontal="center"/>
    </xf>
    <xf numFmtId="180" fontId="11" fillId="0" borderId="0" xfId="0" applyNumberFormat="1" applyFont="1" applyFill="1"/>
    <xf numFmtId="9" fontId="11" fillId="0" borderId="0" xfId="35" applyFont="1" applyFill="1"/>
    <xf numFmtId="5" fontId="11" fillId="0" borderId="0" xfId="0" applyNumberFormat="1" applyFont="1" applyFill="1"/>
    <xf numFmtId="10" fontId="11" fillId="0" borderId="0" xfId="35" applyNumberFormat="1" applyFont="1" applyFill="1"/>
    <xf numFmtId="165" fontId="11" fillId="0" borderId="0" xfId="18" applyNumberFormat="1" applyFont="1" applyFill="1"/>
    <xf numFmtId="7" fontId="11" fillId="0" borderId="0" xfId="0" applyNumberFormat="1" applyFont="1" applyFill="1"/>
    <xf numFmtId="10" fontId="11" fillId="0" borderId="0" xfId="0" applyNumberFormat="1" applyFont="1" applyFill="1"/>
    <xf numFmtId="49" fontId="11" fillId="0" borderId="0" xfId="0" applyNumberFormat="1" applyFont="1" applyFill="1" applyAlignment="1">
      <alignment horizontal="right"/>
    </xf>
    <xf numFmtId="49" fontId="11" fillId="0" borderId="0" xfId="0" applyNumberFormat="1" applyFont="1" applyFill="1" applyAlignment="1">
      <alignment horizontal="center"/>
    </xf>
    <xf numFmtId="5" fontId="11" fillId="0" borderId="0" xfId="0" applyNumberFormat="1" applyFont="1" applyFill="1" applyAlignment="1">
      <alignment horizontal="center"/>
    </xf>
    <xf numFmtId="43" fontId="11" fillId="0" borderId="0" xfId="1" applyFont="1" applyFill="1"/>
    <xf numFmtId="164" fontId="11" fillId="0" borderId="0" xfId="1" applyNumberFormat="1" applyFont="1" applyFill="1"/>
    <xf numFmtId="5" fontId="11" fillId="0" borderId="0" xfId="0" applyNumberFormat="1" applyFont="1" applyFill="1" applyAlignment="1">
      <alignment horizontal="right"/>
    </xf>
    <xf numFmtId="43" fontId="11" fillId="0" borderId="0" xfId="1" applyFont="1" applyFill="1" applyAlignment="1">
      <alignment horizontal="right"/>
    </xf>
    <xf numFmtId="184" fontId="12" fillId="0" borderId="0" xfId="0" applyNumberFormat="1" applyFont="1" applyFill="1"/>
    <xf numFmtId="204" fontId="11" fillId="0" borderId="0" xfId="23" applyNumberFormat="1" applyFont="1" applyFill="1"/>
    <xf numFmtId="44" fontId="11" fillId="0" borderId="0" xfId="0" applyNumberFormat="1" applyFont="1" applyFill="1"/>
    <xf numFmtId="0" fontId="11" fillId="0" borderId="0" xfId="47" applyFont="1" applyFill="1"/>
    <xf numFmtId="185" fontId="11" fillId="0" borderId="0" xfId="0" applyNumberFormat="1" applyFont="1" applyFill="1"/>
    <xf numFmtId="0" fontId="12" fillId="0" borderId="29" xfId="0" applyFont="1" applyFill="1" applyBorder="1"/>
    <xf numFmtId="37" fontId="12" fillId="0" borderId="29" xfId="0" applyNumberFormat="1" applyFont="1" applyFill="1" applyBorder="1"/>
    <xf numFmtId="0" fontId="11" fillId="0" borderId="29" xfId="0" applyFont="1" applyFill="1" applyBorder="1"/>
    <xf numFmtId="164" fontId="22" fillId="0" borderId="0" xfId="1" applyNumberFormat="1" applyFont="1" applyFill="1"/>
    <xf numFmtId="164" fontId="22" fillId="0" borderId="0" xfId="0" applyNumberFormat="1" applyFont="1" applyFill="1"/>
    <xf numFmtId="165" fontId="10" fillId="0" borderId="0" xfId="0" applyNumberFormat="1" applyFont="1" applyFill="1"/>
    <xf numFmtId="165" fontId="10" fillId="0" borderId="1" xfId="7" applyNumberFormat="1" applyFont="1" applyBorder="1"/>
    <xf numFmtId="5" fontId="10" fillId="0" borderId="29" xfId="0" applyNumberFormat="1" applyFont="1" applyFill="1" applyBorder="1"/>
    <xf numFmtId="5" fontId="10" fillId="0" borderId="1" xfId="0" applyNumberFormat="1" applyFont="1" applyFill="1" applyBorder="1"/>
    <xf numFmtId="184" fontId="10" fillId="0" borderId="1" xfId="0" applyNumberFormat="1" applyFont="1" applyFill="1" applyBorder="1"/>
    <xf numFmtId="5" fontId="10" fillId="0" borderId="26" xfId="0" applyNumberFormat="1" applyFont="1" applyFill="1" applyBorder="1"/>
    <xf numFmtId="0" fontId="12" fillId="0" borderId="0" xfId="2" applyFont="1" applyFill="1" applyAlignment="1">
      <alignment horizontal="center"/>
    </xf>
    <xf numFmtId="0" fontId="12" fillId="0" borderId="0" xfId="2" applyFont="1" applyFill="1" applyAlignment="1">
      <alignment horizontal="center" wrapText="1"/>
    </xf>
    <xf numFmtId="0" fontId="11" fillId="0" borderId="1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21" applyFont="1" applyAlignment="1">
      <alignment horizontal="center" wrapText="1"/>
    </xf>
    <xf numFmtId="0" fontId="12" fillId="0" borderId="0" xfId="21" applyFont="1"/>
    <xf numFmtId="0" fontId="13" fillId="0" borderId="0" xfId="10" applyFont="1" applyFill="1" applyAlignment="1">
      <alignment horizontal="left"/>
    </xf>
    <xf numFmtId="49" fontId="12" fillId="0" borderId="0" xfId="20" applyNumberFormat="1" applyFont="1" applyAlignment="1">
      <alignment horizontal="center"/>
    </xf>
    <xf numFmtId="0" fontId="23" fillId="0" borderId="0" xfId="21" applyFont="1" applyFill="1" applyAlignment="1">
      <alignment horizontal="center" wrapText="1"/>
    </xf>
    <xf numFmtId="0" fontId="12" fillId="0" borderId="0" xfId="21" applyFont="1" applyFill="1"/>
    <xf numFmtId="0" fontId="25" fillId="0" borderId="0" xfId="36" applyFont="1">
      <alignment wrapText="1"/>
    </xf>
    <xf numFmtId="0" fontId="11" fillId="0" borderId="0" xfId="21" applyFont="1"/>
    <xf numFmtId="49" fontId="12" fillId="0" borderId="0" xfId="25" applyNumberFormat="1" applyFont="1" applyFill="1" applyAlignment="1">
      <alignment horizontal="center" wrapText="1"/>
    </xf>
    <xf numFmtId="49" fontId="12" fillId="0" borderId="0" xfId="10" applyNumberFormat="1" applyFont="1" applyFill="1" applyAlignment="1">
      <alignment horizontal="center"/>
    </xf>
    <xf numFmtId="0" fontId="12" fillId="0" borderId="0" xfId="10" applyFont="1" applyFill="1" applyAlignment="1">
      <alignment horizontal="center"/>
    </xf>
    <xf numFmtId="0" fontId="12" fillId="0" borderId="0" xfId="24" applyFont="1" applyAlignment="1">
      <alignment horizontal="center"/>
    </xf>
    <xf numFmtId="49" fontId="12" fillId="0" borderId="0" xfId="24" applyNumberFormat="1" applyFont="1" applyAlignment="1">
      <alignment horizontal="center"/>
    </xf>
    <xf numFmtId="0" fontId="11" fillId="0" borderId="30" xfId="24" applyFont="1" applyBorder="1" applyAlignment="1">
      <alignment horizontal="right"/>
    </xf>
    <xf numFmtId="0" fontId="11" fillId="0" borderId="29" xfId="24" applyFont="1" applyBorder="1" applyAlignment="1">
      <alignment horizontal="right"/>
    </xf>
    <xf numFmtId="49" fontId="12" fillId="0" borderId="0" xfId="25" applyNumberFormat="1" applyFont="1" applyAlignment="1">
      <alignment horizontal="center" wrapText="1"/>
    </xf>
    <xf numFmtId="0" fontId="12" fillId="0" borderId="0" xfId="14" applyFont="1" applyAlignment="1">
      <alignment horizontal="center"/>
    </xf>
    <xf numFmtId="0" fontId="11" fillId="0" borderId="0" xfId="0" applyFont="1" applyFill="1" applyAlignment="1">
      <alignment horizontal="right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25" applyFont="1" applyAlignment="1">
      <alignment horizontal="center"/>
    </xf>
    <xf numFmtId="0" fontId="9" fillId="0" borderId="0" xfId="27" applyFont="1" applyFill="1" applyAlignment="1">
      <alignment horizontal="center"/>
    </xf>
    <xf numFmtId="0" fontId="23" fillId="0" borderId="0" xfId="41" applyFont="1" applyAlignment="1">
      <alignment horizontal="center" wrapText="1"/>
    </xf>
    <xf numFmtId="0" fontId="12" fillId="0" borderId="0" xfId="41" applyFont="1"/>
    <xf numFmtId="0" fontId="25" fillId="0" borderId="0" xfId="41" applyFont="1" applyAlignment="1">
      <alignment horizontal="right" wrapText="1"/>
    </xf>
    <xf numFmtId="0" fontId="11" fillId="0" borderId="0" xfId="41" applyFont="1"/>
    <xf numFmtId="0" fontId="12" fillId="0" borderId="0" xfId="21" applyFont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10" fillId="0" borderId="0" xfId="0" applyFont="1"/>
    <xf numFmtId="0" fontId="25" fillId="0" borderId="11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0" xfId="0" applyFont="1" applyAlignment="1">
      <alignment horizontal="right" wrapText="1"/>
    </xf>
    <xf numFmtId="0" fontId="9" fillId="0" borderId="0" xfId="0" applyFont="1"/>
    <xf numFmtId="0" fontId="25" fillId="0" borderId="0" xfId="0" applyFont="1" applyAlignment="1">
      <alignment wrapText="1"/>
    </xf>
    <xf numFmtId="0" fontId="25" fillId="0" borderId="0" xfId="21" applyFont="1" applyAlignment="1">
      <alignment wrapText="1"/>
    </xf>
    <xf numFmtId="0" fontId="25" fillId="0" borderId="0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2" borderId="0" xfId="27" applyFont="1" applyFill="1" applyAlignment="1">
      <alignment horizontal="center"/>
    </xf>
    <xf numFmtId="0" fontId="30" fillId="0" borderId="0" xfId="41" applyFont="1" applyAlignment="1">
      <alignment wrapText="1"/>
    </xf>
    <xf numFmtId="0" fontId="25" fillId="0" borderId="3" xfId="41" applyFont="1" applyBorder="1" applyAlignment="1">
      <alignment wrapText="1"/>
    </xf>
    <xf numFmtId="0" fontId="25" fillId="0" borderId="3" xfId="41" applyFont="1" applyBorder="1" applyAlignment="1">
      <alignment horizontal="center" wrapText="1"/>
    </xf>
    <xf numFmtId="0" fontId="23" fillId="0" borderId="0" xfId="41" applyFont="1" applyAlignment="1">
      <alignment wrapText="1"/>
    </xf>
    <xf numFmtId="0" fontId="23" fillId="0" borderId="2" xfId="41" applyFont="1" applyBorder="1" applyAlignment="1">
      <alignment horizontal="center" wrapText="1"/>
    </xf>
    <xf numFmtId="0" fontId="11" fillId="0" borderId="0" xfId="41" applyFont="1" applyAlignment="1">
      <alignment horizontal="center"/>
    </xf>
    <xf numFmtId="0" fontId="30" fillId="0" borderId="0" xfId="0" applyFont="1" applyAlignment="1">
      <alignment horizontal="left" wrapText="1"/>
    </xf>
    <xf numFmtId="0" fontId="25" fillId="0" borderId="0" xfId="41" applyFont="1" applyAlignment="1">
      <alignment wrapText="1"/>
    </xf>
    <xf numFmtId="0" fontId="25" fillId="0" borderId="0" xfId="0" applyFont="1" applyAlignment="1">
      <alignment horizontal="left" wrapText="1"/>
    </xf>
    <xf numFmtId="0" fontId="23" fillId="0" borderId="0" xfId="41" applyFont="1" applyAlignment="1">
      <alignment horizontal="center" vertical="top" wrapText="1"/>
    </xf>
    <xf numFmtId="49" fontId="12" fillId="2" borderId="0" xfId="33" applyNumberFormat="1" applyFont="1" applyFill="1" applyAlignment="1">
      <alignment horizontal="center" wrapText="1"/>
    </xf>
    <xf numFmtId="49" fontId="12" fillId="2" borderId="0" xfId="33" applyNumberFormat="1" applyFont="1" applyFill="1" applyAlignment="1">
      <alignment horizontal="center"/>
    </xf>
    <xf numFmtId="0" fontId="23" fillId="3" borderId="0" xfId="21" applyFont="1" applyFill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Fill="1" applyAlignment="1">
      <alignment horizontal="left" wrapText="1" indent="1"/>
    </xf>
    <xf numFmtId="0" fontId="23" fillId="0" borderId="0" xfId="0" applyFont="1" applyFill="1" applyAlignment="1">
      <alignment horizontal="center" wrapText="1"/>
    </xf>
    <xf numFmtId="0" fontId="9" fillId="0" borderId="0" xfId="0" applyFont="1" applyFill="1"/>
    <xf numFmtId="0" fontId="30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10" fillId="0" borderId="0" xfId="0" applyFont="1" applyFill="1"/>
    <xf numFmtId="0" fontId="25" fillId="0" borderId="0" xfId="0" applyFont="1" applyFill="1" applyAlignment="1">
      <alignment horizontal="left" wrapText="1"/>
    </xf>
    <xf numFmtId="49" fontId="11" fillId="0" borderId="0" xfId="25" applyNumberFormat="1" applyFont="1" applyAlignment="1">
      <alignment horizontal="center" wrapText="1"/>
    </xf>
    <xf numFmtId="49" fontId="12" fillId="0" borderId="0" xfId="25" quotePrefix="1" applyNumberFormat="1" applyFont="1" applyAlignment="1">
      <alignment horizontal="center" wrapText="1"/>
    </xf>
    <xf numFmtId="49" fontId="12" fillId="0" borderId="0" xfId="25" applyNumberFormat="1" applyFont="1" applyAlignment="1">
      <alignment horizontal="center"/>
    </xf>
    <xf numFmtId="0" fontId="12" fillId="0" borderId="0" xfId="38" applyFont="1" applyAlignment="1">
      <alignment horizont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vertical="top" wrapText="1"/>
    </xf>
    <xf numFmtId="0" fontId="23" fillId="0" borderId="0" xfId="2" applyFont="1" applyFill="1" applyAlignment="1">
      <alignment horizontal="center"/>
    </xf>
    <xf numFmtId="0" fontId="12" fillId="0" borderId="0" xfId="14" applyFont="1" applyFill="1" applyAlignment="1">
      <alignment horizontal="center"/>
    </xf>
    <xf numFmtId="0" fontId="12" fillId="0" borderId="0" xfId="14" applyFont="1" applyFill="1" applyAlignment="1">
      <alignment horizontal="left" wrapText="1"/>
    </xf>
    <xf numFmtId="0" fontId="23" fillId="3" borderId="0" xfId="41" applyFont="1" applyFill="1" applyAlignment="1">
      <alignment horizontal="center" vertical="top" wrapText="1"/>
    </xf>
    <xf numFmtId="0" fontId="25" fillId="0" borderId="0" xfId="21" applyFont="1" applyAlignment="1">
      <alignment vertical="top" wrapText="1"/>
    </xf>
    <xf numFmtId="0" fontId="11" fillId="0" borderId="0" xfId="0" applyFont="1" applyFill="1" applyAlignment="1">
      <alignment horizontal="right" vertical="center" textRotation="180" wrapText="1"/>
    </xf>
  </cellXfs>
  <cellStyles count="49">
    <cellStyle name="Comma" xfId="1" builtinId="3"/>
    <cellStyle name="Comma 10" xfId="23" xr:uid="{00000000-0005-0000-0000-000001000000}"/>
    <cellStyle name="Comma 17" xfId="6" xr:uid="{00000000-0005-0000-0000-000002000000}"/>
    <cellStyle name="Comma 2" xfId="37" xr:uid="{45ED610A-3195-41D4-8C92-8672CC1FC666}"/>
    <cellStyle name="Comma 2 2" xfId="45" xr:uid="{89A6EF6C-9184-46E8-967B-66A2B33132DF}"/>
    <cellStyle name="Comma 2 3" xfId="40" xr:uid="{D7D7A669-1F73-4973-B7A7-E02CDE716B8C}"/>
    <cellStyle name="Comma 27" xfId="30" xr:uid="{00000000-0005-0000-0000-000003000000}"/>
    <cellStyle name="Comma 27 2" xfId="46" xr:uid="{316E8828-E5CE-4F3A-B384-C339485D7F79}"/>
    <cellStyle name="Comma 6" xfId="3" xr:uid="{00000000-0005-0000-0000-000004000000}"/>
    <cellStyle name="Currency" xfId="7" builtinId="4"/>
    <cellStyle name="Currency 10" xfId="5" xr:uid="{00000000-0005-0000-0000-000006000000}"/>
    <cellStyle name="Currency 10 2 2" xfId="18" xr:uid="{00000000-0005-0000-0000-000007000000}"/>
    <cellStyle name="Currency 10 2 3 2" xfId="26" xr:uid="{00000000-0005-0000-0000-000008000000}"/>
    <cellStyle name="Currency 2" xfId="44" xr:uid="{E2A74257-8163-410D-8BEA-F8BAD7DECE9D}"/>
    <cellStyle name="Currency 2 2" xfId="15" xr:uid="{00000000-0005-0000-0000-000009000000}"/>
    <cellStyle name="Currency 3 2 2" xfId="16" xr:uid="{00000000-0005-0000-0000-00000A000000}"/>
    <cellStyle name="Currency 36" xfId="4" xr:uid="{00000000-0005-0000-0000-00000B000000}"/>
    <cellStyle name="Currency 40" xfId="29" xr:uid="{00000000-0005-0000-0000-00000C000000}"/>
    <cellStyle name="Normal" xfId="0" builtinId="0"/>
    <cellStyle name="Normal 10" xfId="22" xr:uid="{00000000-0005-0000-0000-00000E000000}"/>
    <cellStyle name="Normal 10 2 2 2" xfId="21" xr:uid="{00000000-0005-0000-0000-00000F000000}"/>
    <cellStyle name="Normal 102" xfId="2" xr:uid="{00000000-0005-0000-0000-000010000000}"/>
    <cellStyle name="Normal 105" xfId="10" xr:uid="{00000000-0005-0000-0000-000011000000}"/>
    <cellStyle name="Normal 111" xfId="19" xr:uid="{00000000-0005-0000-0000-000012000000}"/>
    <cellStyle name="Normal 121" xfId="13" xr:uid="{00000000-0005-0000-0000-000013000000}"/>
    <cellStyle name="Normal 130" xfId="28" xr:uid="{00000000-0005-0000-0000-000014000000}"/>
    <cellStyle name="Normal 132 2" xfId="25" xr:uid="{00000000-0005-0000-0000-000015000000}"/>
    <cellStyle name="Normal 133" xfId="24" xr:uid="{00000000-0005-0000-0000-000016000000}"/>
    <cellStyle name="Normal 134" xfId="33" xr:uid="{00000000-0005-0000-0000-000017000000}"/>
    <cellStyle name="Normal 15 2" xfId="8" xr:uid="{00000000-0005-0000-0000-000018000000}"/>
    <cellStyle name="Normal 15 2 2" xfId="12" xr:uid="{00000000-0005-0000-0000-000019000000}"/>
    <cellStyle name="Normal 2" xfId="32" xr:uid="{00000000-0005-0000-0000-00001A000000}"/>
    <cellStyle name="Normal 2 16" xfId="20" xr:uid="{00000000-0005-0000-0000-00001B000000}"/>
    <cellStyle name="Normal 2 2" xfId="48" xr:uid="{E211117A-2003-4E55-8C80-DABD0D2A9616}"/>
    <cellStyle name="Normal 2 2 2" xfId="14" xr:uid="{00000000-0005-0000-0000-00001C000000}"/>
    <cellStyle name="Normal 2 3" xfId="47" xr:uid="{1FD88AAA-0B28-4C16-8242-575A57A4AB6D}"/>
    <cellStyle name="Normal 2 3 5" xfId="27" xr:uid="{00000000-0005-0000-0000-00001D000000}"/>
    <cellStyle name="Normal 3" xfId="31" xr:uid="{00000000-0005-0000-0000-00001E000000}"/>
    <cellStyle name="Normal 3 2" xfId="39" xr:uid="{4539D6E7-2AE3-42BF-9BE1-26DA13E89829}"/>
    <cellStyle name="Normal 4" xfId="41" xr:uid="{4122098E-3531-45E5-BF27-866AA7A53830}"/>
    <cellStyle name="Normal 4 2" xfId="34" xr:uid="{96EF05D1-BD47-459F-AD8E-01040C96F0FB}"/>
    <cellStyle name="Normal 4 3" xfId="17" xr:uid="{00000000-0005-0000-0000-00001F000000}"/>
    <cellStyle name="Normal 5" xfId="43" xr:uid="{098D09DA-6EBF-4506-B132-AE8FDFB556D8}"/>
    <cellStyle name="Normal 6" xfId="38" xr:uid="{DE5CF2CA-FBAB-4F49-9CAD-E9F3B68BA5F8}"/>
    <cellStyle name="Normal 7 4 2" xfId="11" xr:uid="{00000000-0005-0000-0000-000020000000}"/>
    <cellStyle name="Normal 7 4 3" xfId="9" xr:uid="{00000000-0005-0000-0000-000021000000}"/>
    <cellStyle name="Percent" xfId="35" builtinId="5"/>
    <cellStyle name="Table (Normal)" xfId="36" xr:uid="{7A1DD758-D7C3-4149-8F0A-CAEABF9326AC}"/>
    <cellStyle name="Table (Normal) 2" xfId="42" xr:uid="{5E154BAE-FD30-4A6F-989E-FC2424C1065C}"/>
  </cellStyles>
  <dxfs count="0"/>
  <tableStyles count="0" defaultTableStyle="TableStyleMedium2" defaultPivotStyle="PivotStyleLight16"/>
  <colors>
    <mruColors>
      <color rgb="FFEAACF2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3.xml"/><Relationship Id="rId7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75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2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</xdr:row>
      <xdr:rowOff>0</xdr:rowOff>
    </xdr:from>
    <xdr:to>
      <xdr:col>25</xdr:col>
      <xdr:colOff>0</xdr:colOff>
      <xdr:row>37</xdr:row>
      <xdr:rowOff>88752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76D66-51F0-4344-9FD1-662497C1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10975" y="1790700"/>
          <a:ext cx="3486150" cy="5879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17</xdr:col>
      <xdr:colOff>417767</xdr:colOff>
      <xdr:row>10</xdr:row>
      <xdr:rowOff>10502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551AD-6A87-4733-87BB-5D9D5601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1904" y="952500"/>
          <a:ext cx="3890728" cy="10948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164523</xdr:colOff>
      <xdr:row>15</xdr:row>
      <xdr:rowOff>17318</xdr:rowOff>
    </xdr:from>
    <xdr:to>
      <xdr:col>3</xdr:col>
      <xdr:colOff>719572</xdr:colOff>
      <xdr:row>43</xdr:row>
      <xdr:rowOff>112568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22E491-43E4-9A6F-4C2A-EC077844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3784023"/>
          <a:ext cx="6261389" cy="4727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5%20Base%20Case%20-%20TME%205-31-25%20TY\JCOS\Acct-Tax-Iteration\ADFIT%20Schedule-%20KY%202025.xlsx" TargetMode="External"/><Relationship Id="rId1" Type="http://schemas.openxmlformats.org/officeDocument/2006/relationships/externalLinkPath" Target="https://aepenergy.sharepoint.com/pricing/Rate%20Cases/KPCo/2025%20Base%20Case%20-%20TME%205-31-25%20TY/JCOS/Acct-Tax-Iteration/ADFIT%20Schedule-%20KY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cing\Rate%20Cases\KPCo\2025%20Base%20Case%20-%20TME%205-31-25%20TY\JCOS\Section%20V%20Schedules%20TYE%205-31-2025%20%20INTERNAL.xlsx" TargetMode="External"/><Relationship Id="rId1" Type="http://schemas.openxmlformats.org/officeDocument/2006/relationships/externalLinkPath" Target="https://aepenergy.sharepoint.com/pricing/Rate%20Cases/KPCo/2025%20Base%20Case%20-%20TME%205-31-25%20TY/JCOS/Section%20V%20Schedules%20TYE%205-31-2025%20%20INTERN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cing\Rate%20Cases\KPCo\2025%20Base%20Case%20-%20TME%205-31-25%20TY\JCOS\Acct-Tax-Iteration\Section%20V%20-%20Exhibit%203%202025.xlsx" TargetMode="External"/><Relationship Id="rId1" Type="http://schemas.openxmlformats.org/officeDocument/2006/relationships/externalLinkPath" Target="https://aepenergy.sharepoint.com/pricing/Rate%20Cases/KPCo/2025%20Base%20Case%20-%20TME%205-31-25%20TY/JCOS/Acct-Tax-Iteration/Section%20V%20-%20Exhibit%2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ew Notes"/>
      <sheetName val="ADFIT1"/>
      <sheetName val="Source Data---&gt;"/>
      <sheetName val="Rec"/>
      <sheetName val="Mapping Key"/>
      <sheetName val="51040H May 2025"/>
      <sheetName val="Trial Balance"/>
      <sheetName val="51013C May 2025"/>
      <sheetName val="Excess"/>
      <sheetName val="Adjustments--&gt;"/>
      <sheetName val="Tariff Inclusion"/>
      <sheetName val="W03"/>
      <sheetName val="W43"/>
      <sheetName val="Exhibits--&gt;"/>
      <sheetName val="NOLC Exhibit "/>
      <sheetName val="KYPCO NOL Vintage Year"/>
      <sheetName val="KYPCO Allocators"/>
      <sheetName val="ADFIT NOLC Adj"/>
      <sheetName val="NOLC Summary 25"/>
    </sheetNames>
    <sheetDataSet>
      <sheetData sheetId="0"/>
      <sheetData sheetId="1">
        <row r="186">
          <cell r="D186">
            <v>-453392109.80999994</v>
          </cell>
        </row>
        <row r="188">
          <cell r="S188">
            <v>5514295.8700000355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H16">
            <v>44877672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ch 1"/>
      <sheetName val="Sch 2"/>
      <sheetName val="2 P1"/>
      <sheetName val="2 P2"/>
      <sheetName val="2 P3"/>
      <sheetName val="Sch 3"/>
      <sheetName val="3 P1"/>
      <sheetName val="3 P2"/>
      <sheetName val="3 P3"/>
      <sheetName val="Sch 4"/>
      <sheetName val="Sch 5"/>
      <sheetName val="Sch 6"/>
      <sheetName val="Sch 7"/>
      <sheetName val="Sch 8"/>
      <sheetName val="Sch 9"/>
      <sheetName val="Sch 10"/>
      <sheetName val="Allocation Factors"/>
      <sheetName val="Olive Hill - Vanceburg"/>
      <sheetName val="CWC"/>
    </sheetNames>
    <sheetDataSet>
      <sheetData sheetId="0"/>
      <sheetData sheetId="1"/>
      <sheetData sheetId="2"/>
      <sheetData sheetId="3">
        <row r="11">
          <cell r="K11">
            <v>2.9600000000000001E-2</v>
          </cell>
        </row>
        <row r="13">
          <cell r="K13">
            <v>4.0000000000000003E-5</v>
          </cell>
        </row>
        <row r="17">
          <cell r="K17">
            <v>7.5740000000000002E-2</v>
          </cell>
        </row>
      </sheetData>
      <sheetData sheetId="4">
        <row r="53">
          <cell r="G53">
            <v>5.0097000000000003E-2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G10">
            <v>0.98499999999999999</v>
          </cell>
        </row>
        <row r="14">
          <cell r="G14">
            <v>0.98599999999999999</v>
          </cell>
        </row>
        <row r="24">
          <cell r="G24">
            <v>0.98</v>
          </cell>
        </row>
        <row r="34">
          <cell r="G34">
            <v>1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ew Notes"/>
      <sheetName val="Summary"/>
      <sheetName val="CFIT Schedules"/>
      <sheetName val="DFIT-Per Books as Adjusted"/>
      <sheetName val="DFIT Computations"/>
      <sheetName val="SIT Schedules"/>
      <sheetName val="Adjustments --&gt;"/>
      <sheetName val="W19"/>
      <sheetName val="W30 Depr Sch Summary"/>
      <sheetName val="W30 "/>
      <sheetName val="MACRS Normalization"/>
      <sheetName val="W31"/>
      <sheetName val="W34"/>
      <sheetName val="W44"/>
      <sheetName val="W48"/>
      <sheetName val="W49"/>
      <sheetName val="W67.68 Depr Sch Summary"/>
      <sheetName val="W67"/>
      <sheetName val="W68"/>
      <sheetName val="Source Data --&gt;"/>
      <sheetName val="Mapping Key"/>
      <sheetName val="Tax Exp Proof"/>
      <sheetName val="COR Amort"/>
      <sheetName val="51020"/>
      <sheetName val="Exp Rec"/>
      <sheetName val="51005 Total Company"/>
      <sheetName val="FERC_IS1 2025"/>
      <sheetName val="51005 Non Op"/>
      <sheetName val="Excess"/>
      <sheetName val="May 2025 51011"/>
      <sheetName val="Dec 2024 51011"/>
      <sheetName val="Jan-May 2024 51011"/>
      <sheetName val="May 2025 51011 NonOP"/>
      <sheetName val="DEC 2024 51011 NonOp"/>
      <sheetName val="51021"/>
      <sheetName val="Excess DFIT Adj Calc"/>
      <sheetName val="Excess DFIT Calc from 20 order"/>
      <sheetName val="Sch M Accts"/>
      <sheetName val="2022_10+2_216"/>
      <sheetName val="50151"/>
    </sheetNames>
    <sheetDataSet>
      <sheetData sheetId="0"/>
      <sheetData sheetId="1">
        <row r="28">
          <cell r="C28">
            <v>-2143873.2999999998</v>
          </cell>
        </row>
      </sheetData>
      <sheetData sheetId="2">
        <row r="16">
          <cell r="P16">
            <v>5886172.9803599995</v>
          </cell>
        </row>
        <row r="173">
          <cell r="O173">
            <v>-202058574.62883919</v>
          </cell>
        </row>
      </sheetData>
      <sheetData sheetId="3">
        <row r="142">
          <cell r="O142">
            <v>545207</v>
          </cell>
        </row>
      </sheetData>
      <sheetData sheetId="4"/>
      <sheetData sheetId="5">
        <row r="129">
          <cell r="M129">
            <v>-8454.5699999998324</v>
          </cell>
        </row>
      </sheetData>
      <sheetData sheetId="6"/>
      <sheetData sheetId="7"/>
      <sheetData sheetId="8">
        <row r="38">
          <cell r="I38">
            <v>0.53459473170236782</v>
          </cell>
        </row>
      </sheetData>
      <sheetData sheetId="9"/>
      <sheetData sheetId="10"/>
      <sheetData sheetId="11">
        <row r="13">
          <cell r="F13">
            <v>113368.78</v>
          </cell>
        </row>
      </sheetData>
      <sheetData sheetId="12"/>
      <sheetData sheetId="13">
        <row r="20">
          <cell r="D20">
            <v>594911.34996377851</v>
          </cell>
        </row>
      </sheetData>
      <sheetData sheetId="14"/>
      <sheetData sheetId="15"/>
      <sheetData sheetId="16">
        <row r="36">
          <cell r="I36">
            <v>-7257954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89FE-30F1-48A5-9F12-20284A64E914}">
  <dimension ref="A1:R60"/>
  <sheetViews>
    <sheetView tabSelected="1" zoomScale="110" zoomScaleNormal="110" zoomScaleSheetLayoutView="120" workbookViewId="0">
      <selection activeCell="A50" sqref="A50"/>
    </sheetView>
  </sheetViews>
  <sheetFormatPr defaultColWidth="9.1796875" defaultRowHeight="13"/>
  <cols>
    <col min="1" max="1" width="16.1796875" style="14" customWidth="1"/>
    <col min="2" max="2" width="70.453125" style="15" bestFit="1" customWidth="1"/>
    <col min="3" max="3" width="16.453125" style="1" customWidth="1"/>
    <col min="4" max="4" width="19.81640625" style="16" customWidth="1"/>
    <col min="5" max="5" width="3.453125" style="1" customWidth="1"/>
    <col min="6" max="7" width="14.1796875" style="1" customWidth="1"/>
    <col min="8" max="8" width="15.7265625" style="1" customWidth="1"/>
    <col min="9" max="9" width="13.26953125" style="1" customWidth="1"/>
    <col min="10" max="10" width="13.26953125" style="1" bestFit="1" customWidth="1"/>
    <col min="11" max="11" width="12.54296875" style="1" bestFit="1" customWidth="1"/>
    <col min="12" max="12" width="11.54296875" style="1" customWidth="1"/>
    <col min="13" max="13" width="9.1796875" style="1"/>
    <col min="14" max="14" width="26.1796875" style="1" bestFit="1" customWidth="1"/>
    <col min="15" max="15" width="9.54296875" style="1" bestFit="1" customWidth="1"/>
    <col min="16" max="16" width="14.1796875" style="1" bestFit="1" customWidth="1"/>
    <col min="17" max="17" width="12.26953125" style="1" bestFit="1" customWidth="1"/>
    <col min="18" max="16384" width="9.1796875" style="1"/>
  </cols>
  <sheetData>
    <row r="1" spans="1:16" s="13" customFormat="1" ht="26">
      <c r="A1" s="12" t="s">
        <v>388</v>
      </c>
      <c r="B1" s="12" t="s">
        <v>584</v>
      </c>
      <c r="C1" s="12" t="s">
        <v>585</v>
      </c>
      <c r="D1" s="12" t="s">
        <v>389</v>
      </c>
      <c r="F1" s="13" t="s">
        <v>395</v>
      </c>
      <c r="G1" s="13" t="s">
        <v>392</v>
      </c>
      <c r="H1" s="13" t="s">
        <v>410</v>
      </c>
      <c r="I1" s="13" t="s">
        <v>415</v>
      </c>
      <c r="J1" s="13" t="s">
        <v>411</v>
      </c>
      <c r="K1" s="13" t="s">
        <v>492</v>
      </c>
      <c r="N1" s="13" t="s">
        <v>412</v>
      </c>
    </row>
    <row r="2" spans="1:16" ht="13" customHeight="1">
      <c r="A2" s="104">
        <v>1</v>
      </c>
      <c r="B2" s="99" t="s">
        <v>409</v>
      </c>
      <c r="C2" s="100" t="s">
        <v>586</v>
      </c>
      <c r="D2" s="99" t="s">
        <v>395</v>
      </c>
      <c r="F2" s="3">
        <f>'W01'!I13</f>
        <v>2449582.7772598942</v>
      </c>
      <c r="G2" s="4"/>
      <c r="J2" s="4">
        <f t="shared" ref="J2:J7" si="0">F2-G2</f>
        <v>2449582.7772598942</v>
      </c>
      <c r="K2" s="4"/>
      <c r="M2" s="93" t="s">
        <v>395</v>
      </c>
      <c r="N2" s="4">
        <f>+SUM(F2:F60)</f>
        <v>-56520547.257624425</v>
      </c>
    </row>
    <row r="3" spans="1:16" ht="13" customHeight="1">
      <c r="A3" s="104">
        <v>2</v>
      </c>
      <c r="B3" s="99" t="s">
        <v>400</v>
      </c>
      <c r="C3" s="100" t="s">
        <v>586</v>
      </c>
      <c r="D3" s="99" t="s">
        <v>395</v>
      </c>
      <c r="F3" s="3">
        <f>'W02'!I11</f>
        <v>-515361.63697997667</v>
      </c>
      <c r="G3" s="2"/>
      <c r="H3" s="2"/>
      <c r="I3" s="2"/>
      <c r="J3" s="4">
        <f t="shared" si="0"/>
        <v>-515361.63697997667</v>
      </c>
      <c r="K3" s="3"/>
    </row>
    <row r="4" spans="1:16" ht="13" customHeight="1">
      <c r="A4" s="104">
        <v>3</v>
      </c>
      <c r="B4" s="99" t="s">
        <v>401</v>
      </c>
      <c r="C4" s="100" t="s">
        <v>586</v>
      </c>
      <c r="D4" s="99" t="s">
        <v>395</v>
      </c>
      <c r="F4" s="3">
        <f>'W03'!E11</f>
        <v>145034.32593183615</v>
      </c>
      <c r="G4" s="2"/>
      <c r="H4" s="2"/>
      <c r="I4" s="2"/>
      <c r="J4" s="4">
        <f t="shared" si="0"/>
        <v>145034.32593183615</v>
      </c>
      <c r="K4" s="3"/>
      <c r="M4" s="93" t="s">
        <v>392</v>
      </c>
      <c r="N4" s="94">
        <f>SUM(G2:G60)</f>
        <v>-46104474.89088507</v>
      </c>
    </row>
    <row r="5" spans="1:16" ht="13" customHeight="1">
      <c r="A5" s="104">
        <v>4</v>
      </c>
      <c r="B5" s="99" t="s">
        <v>403</v>
      </c>
      <c r="C5" s="100" t="s">
        <v>586</v>
      </c>
      <c r="D5" s="99" t="s">
        <v>395</v>
      </c>
      <c r="F5" s="3">
        <f>'W04'!I11</f>
        <v>2712449.39</v>
      </c>
      <c r="G5" s="2"/>
      <c r="H5" s="2"/>
      <c r="I5" s="2"/>
      <c r="J5" s="4">
        <f t="shared" si="0"/>
        <v>2712449.39</v>
      </c>
      <c r="K5" s="3"/>
      <c r="M5" s="1" t="s">
        <v>912</v>
      </c>
      <c r="N5" s="4">
        <f>+N2-N4</f>
        <v>-10416072.366739355</v>
      </c>
    </row>
    <row r="6" spans="1:16" ht="13" customHeight="1">
      <c r="A6" s="104">
        <v>5</v>
      </c>
      <c r="B6" s="99" t="s">
        <v>873</v>
      </c>
      <c r="C6" s="100" t="s">
        <v>586</v>
      </c>
      <c r="D6" s="99" t="s">
        <v>395</v>
      </c>
      <c r="F6" s="3">
        <f>+'W05'!I12</f>
        <v>33001096.547184512</v>
      </c>
      <c r="H6" s="2"/>
      <c r="J6" s="4">
        <f t="shared" si="0"/>
        <v>33001096.547184512</v>
      </c>
      <c r="K6" s="4"/>
    </row>
    <row r="7" spans="1:16" ht="13" customHeight="1">
      <c r="A7" s="104">
        <v>6</v>
      </c>
      <c r="B7" s="102" t="s">
        <v>623</v>
      </c>
      <c r="C7" s="100" t="s">
        <v>622</v>
      </c>
      <c r="D7" s="99" t="s">
        <v>395</v>
      </c>
      <c r="F7" s="84">
        <f>+'W06'!G22</f>
        <v>643148</v>
      </c>
      <c r="H7" s="2"/>
      <c r="J7" s="4">
        <f t="shared" si="0"/>
        <v>643148</v>
      </c>
      <c r="K7" s="4"/>
      <c r="M7" s="93" t="s">
        <v>410</v>
      </c>
      <c r="N7" s="3">
        <f>SUM(H2:H60)</f>
        <v>-202058573.9188391</v>
      </c>
    </row>
    <row r="8" spans="1:16" ht="13" customHeight="1">
      <c r="A8" s="104">
        <v>7</v>
      </c>
      <c r="B8" s="99" t="s">
        <v>356</v>
      </c>
      <c r="C8" s="100" t="s">
        <v>592</v>
      </c>
      <c r="D8" s="99" t="s">
        <v>390</v>
      </c>
      <c r="F8" s="3">
        <f>'W07'!L7</f>
        <v>-5276.19</v>
      </c>
      <c r="G8" s="3">
        <f>+'W07'!L10+'W07'!L17+'W07'!L23</f>
        <v>-209318.32</v>
      </c>
      <c r="J8" s="4">
        <f t="shared" ref="J8:J42" si="1">F8-G8</f>
        <v>204042.13</v>
      </c>
      <c r="K8" s="4"/>
    </row>
    <row r="9" spans="1:16" ht="13" customHeight="1">
      <c r="A9" s="104">
        <v>8</v>
      </c>
      <c r="B9" s="99" t="s">
        <v>254</v>
      </c>
      <c r="C9" s="100" t="s">
        <v>643</v>
      </c>
      <c r="D9" s="99" t="s">
        <v>407</v>
      </c>
      <c r="F9" s="3">
        <f>-'W08'!E12</f>
        <v>-19703413.397698522</v>
      </c>
      <c r="G9" s="3">
        <f>'W08'!E20</f>
        <v>1980517.1109499999</v>
      </c>
      <c r="J9" s="4">
        <f t="shared" si="1"/>
        <v>-21683930.508648522</v>
      </c>
      <c r="K9" s="4"/>
    </row>
    <row r="10" spans="1:16" ht="13" customHeight="1">
      <c r="A10" s="104">
        <v>9</v>
      </c>
      <c r="B10" s="99" t="s">
        <v>279</v>
      </c>
      <c r="C10" s="100" t="s">
        <v>643</v>
      </c>
      <c r="D10" s="99" t="s">
        <v>407</v>
      </c>
      <c r="F10" s="3">
        <f>'W09'!E24</f>
        <v>-49418888</v>
      </c>
      <c r="G10" s="3">
        <f>'W09'!E25+'W09'!E38</f>
        <v>-42632032.005250692</v>
      </c>
      <c r="J10" s="4">
        <f t="shared" si="1"/>
        <v>-6786855.9947493076</v>
      </c>
      <c r="K10" s="4"/>
      <c r="P10" s="95"/>
    </row>
    <row r="11" spans="1:16" ht="13" customHeight="1">
      <c r="A11" s="104">
        <v>10</v>
      </c>
      <c r="B11" s="99" t="s">
        <v>358</v>
      </c>
      <c r="C11" s="100" t="s">
        <v>592</v>
      </c>
      <c r="D11" s="99" t="s">
        <v>390</v>
      </c>
      <c r="F11" s="3">
        <f>'W10'!F14</f>
        <v>-16771447.26</v>
      </c>
      <c r="G11" s="3">
        <f>'W10'!F24</f>
        <v>-3562775.9</v>
      </c>
      <c r="J11" s="4">
        <f t="shared" si="1"/>
        <v>-13208671.359999999</v>
      </c>
      <c r="K11" s="4"/>
    </row>
    <row r="12" spans="1:16" ht="13" customHeight="1">
      <c r="A12" s="104">
        <v>11</v>
      </c>
      <c r="B12" s="99" t="s">
        <v>903</v>
      </c>
      <c r="C12" s="100" t="s">
        <v>592</v>
      </c>
      <c r="D12" s="99" t="s">
        <v>390</v>
      </c>
      <c r="F12" s="3">
        <f>'W11'!F17</f>
        <v>-573590</v>
      </c>
      <c r="G12" s="4">
        <f>'W11'!F28</f>
        <v>-515763</v>
      </c>
      <c r="H12" s="2"/>
      <c r="I12" s="2"/>
      <c r="J12" s="4">
        <f t="shared" si="1"/>
        <v>-57827</v>
      </c>
      <c r="K12" s="3"/>
    </row>
    <row r="13" spans="1:16" ht="13" customHeight="1">
      <c r="A13" s="104">
        <v>12</v>
      </c>
      <c r="B13" s="99" t="s">
        <v>361</v>
      </c>
      <c r="C13" s="100" t="s">
        <v>592</v>
      </c>
      <c r="D13" s="99" t="s">
        <v>390</v>
      </c>
      <c r="F13" s="3">
        <f>'W12'!F12</f>
        <v>-628079.1</v>
      </c>
      <c r="G13" s="4">
        <f>'W12'!F16</f>
        <v>-628079.1</v>
      </c>
      <c r="H13" s="2"/>
      <c r="I13" s="2"/>
      <c r="J13" s="4">
        <f t="shared" si="1"/>
        <v>0</v>
      </c>
      <c r="K13" s="3"/>
    </row>
    <row r="14" spans="1:16" ht="13" customHeight="1">
      <c r="A14" s="104">
        <v>13</v>
      </c>
      <c r="B14" s="99" t="s">
        <v>364</v>
      </c>
      <c r="C14" s="100" t="s">
        <v>592</v>
      </c>
      <c r="D14" s="99" t="s">
        <v>390</v>
      </c>
      <c r="F14" s="3">
        <f>'W13'!F11</f>
        <v>-373893.79</v>
      </c>
      <c r="G14" s="4">
        <f>'W13'!F17</f>
        <v>-373893.79</v>
      </c>
      <c r="H14" s="2"/>
      <c r="I14" s="2"/>
      <c r="J14" s="4">
        <f t="shared" si="1"/>
        <v>0</v>
      </c>
      <c r="K14" s="3"/>
    </row>
    <row r="15" spans="1:16" ht="13" customHeight="1">
      <c r="A15" s="104">
        <v>14</v>
      </c>
      <c r="B15" s="99" t="s">
        <v>396</v>
      </c>
      <c r="C15" s="100" t="s">
        <v>586</v>
      </c>
      <c r="D15" s="99" t="s">
        <v>407</v>
      </c>
      <c r="F15" s="3">
        <f>'W14'!I11</f>
        <v>-3776111.9253208702</v>
      </c>
      <c r="G15" s="4">
        <f>'W14'!I13</f>
        <v>-1596917.7332181961</v>
      </c>
      <c r="H15" s="2"/>
      <c r="I15" s="2"/>
      <c r="J15" s="4">
        <f>F15-G15</f>
        <v>-2179194.1921026744</v>
      </c>
      <c r="K15" s="3"/>
    </row>
    <row r="16" spans="1:16" ht="13" customHeight="1">
      <c r="A16" s="104">
        <v>15</v>
      </c>
      <c r="B16" s="99" t="s">
        <v>515</v>
      </c>
      <c r="C16" s="100" t="s">
        <v>586</v>
      </c>
      <c r="D16" s="99" t="s">
        <v>407</v>
      </c>
      <c r="F16" s="3">
        <f>'W15'!E11</f>
        <v>-1012931.5356612798</v>
      </c>
      <c r="G16" s="4">
        <f>'W15'!E13</f>
        <v>-428368.74643115525</v>
      </c>
      <c r="H16" s="2"/>
      <c r="I16" s="2"/>
      <c r="J16" s="4">
        <f t="shared" si="1"/>
        <v>-584562.78923012456</v>
      </c>
      <c r="K16" s="3"/>
    </row>
    <row r="17" spans="1:16" ht="13" customHeight="1">
      <c r="A17" s="104">
        <v>16</v>
      </c>
      <c r="B17" s="99" t="s">
        <v>404</v>
      </c>
      <c r="C17" s="100" t="s">
        <v>586</v>
      </c>
      <c r="D17" s="99" t="s">
        <v>392</v>
      </c>
      <c r="F17" s="3">
        <f>'W16'!E11+'W16'!E13+'W16'!E15</f>
        <v>-4256852.2459399942</v>
      </c>
      <c r="G17" s="3">
        <f>'W16'!E16+'W16'!E17+'W16'!E18+'W16'!E19</f>
        <v>5725020.3578116149</v>
      </c>
      <c r="H17" s="2"/>
      <c r="I17" s="2"/>
      <c r="J17" s="4">
        <f>F17-G17</f>
        <v>-9981872.6037516091</v>
      </c>
      <c r="K17" s="3"/>
    </row>
    <row r="18" spans="1:16" ht="13" customHeight="1">
      <c r="A18" s="104">
        <v>17</v>
      </c>
      <c r="B18" s="99" t="s">
        <v>406</v>
      </c>
      <c r="C18" s="100" t="s">
        <v>592</v>
      </c>
      <c r="D18" s="99" t="s">
        <v>390</v>
      </c>
      <c r="F18" s="3">
        <f>'W17'!F12</f>
        <v>-271393.99</v>
      </c>
      <c r="G18" s="3">
        <f>'W17'!F19</f>
        <v>21148.080000000002</v>
      </c>
      <c r="H18" s="2"/>
      <c r="I18" s="2"/>
      <c r="J18" s="4">
        <f>F18-G18</f>
        <v>-292542.07</v>
      </c>
      <c r="K18" s="3"/>
    </row>
    <row r="19" spans="1:16" ht="13" customHeight="1">
      <c r="A19" s="104">
        <v>18</v>
      </c>
      <c r="B19" s="102" t="s">
        <v>624</v>
      </c>
      <c r="C19" s="100" t="s">
        <v>727</v>
      </c>
      <c r="D19" s="103" t="s">
        <v>809</v>
      </c>
      <c r="F19" s="96">
        <f>+'W18'!E16</f>
        <v>1835380.7735999713</v>
      </c>
      <c r="G19" s="96">
        <f>+SUM('W18'!E27:E33)</f>
        <v>6691172.9336132314</v>
      </c>
      <c r="H19" s="3">
        <f>+'W18'!E57</f>
        <v>18200755.142000008</v>
      </c>
      <c r="J19" s="4">
        <f>F19-G19</f>
        <v>-4855792.1600132603</v>
      </c>
      <c r="K19" s="4"/>
    </row>
    <row r="20" spans="1:16" ht="13" customHeight="1">
      <c r="A20" s="104">
        <v>19</v>
      </c>
      <c r="B20" s="99" t="s">
        <v>391</v>
      </c>
      <c r="C20" s="100" t="s">
        <v>643</v>
      </c>
      <c r="D20" s="99" t="s">
        <v>392</v>
      </c>
      <c r="F20" s="3"/>
      <c r="G20" s="3">
        <f>'W19'!O26</f>
        <v>-13085851</v>
      </c>
      <c r="J20" s="4">
        <f>F20-G20</f>
        <v>13085851</v>
      </c>
      <c r="K20" s="4"/>
      <c r="P20" s="95"/>
    </row>
    <row r="21" spans="1:16" ht="13" customHeight="1">
      <c r="A21" s="104">
        <v>20</v>
      </c>
      <c r="B21" s="99" t="s">
        <v>367</v>
      </c>
      <c r="C21" s="100" t="s">
        <v>592</v>
      </c>
      <c r="D21" s="99" t="s">
        <v>392</v>
      </c>
      <c r="F21" s="3"/>
      <c r="G21" s="4">
        <f>'W20'!F18</f>
        <v>-243878.88847500016</v>
      </c>
      <c r="H21" s="2"/>
      <c r="I21" s="2"/>
      <c r="J21" s="4">
        <f t="shared" si="1"/>
        <v>243878.88847500016</v>
      </c>
      <c r="K21" s="3"/>
    </row>
    <row r="22" spans="1:16" ht="13" customHeight="1">
      <c r="A22" s="104">
        <v>21</v>
      </c>
      <c r="B22" s="99" t="s">
        <v>957</v>
      </c>
      <c r="C22" s="100" t="s">
        <v>622</v>
      </c>
      <c r="D22" s="99" t="s">
        <v>392</v>
      </c>
      <c r="F22" s="3"/>
      <c r="G22" s="4">
        <f>'W21'!K34</f>
        <v>215408.01999999955</v>
      </c>
      <c r="H22" s="2"/>
      <c r="I22" s="2"/>
      <c r="J22" s="4">
        <f t="shared" si="1"/>
        <v>-215408.01999999955</v>
      </c>
      <c r="K22" s="3"/>
    </row>
    <row r="23" spans="1:16" ht="13" customHeight="1">
      <c r="A23" s="104">
        <f t="shared" ref="A23" si="2">A22+1</f>
        <v>22</v>
      </c>
      <c r="B23" s="102" t="s">
        <v>620</v>
      </c>
      <c r="C23" s="100" t="s">
        <v>622</v>
      </c>
      <c r="D23" s="99" t="s">
        <v>392</v>
      </c>
      <c r="F23" s="3"/>
      <c r="G23" s="4">
        <f>+'W22'!E24</f>
        <v>0</v>
      </c>
      <c r="H23" s="2"/>
      <c r="I23" s="2"/>
      <c r="J23" s="4">
        <f t="shared" si="1"/>
        <v>0</v>
      </c>
      <c r="K23" s="3"/>
    </row>
    <row r="24" spans="1:16" ht="13" customHeight="1">
      <c r="A24" s="104">
        <v>23</v>
      </c>
      <c r="B24" s="99" t="s">
        <v>304</v>
      </c>
      <c r="C24" s="100" t="s">
        <v>643</v>
      </c>
      <c r="D24" s="99" t="s">
        <v>392</v>
      </c>
      <c r="F24" s="3"/>
      <c r="G24" s="4">
        <f>'W23'!E36</f>
        <v>241938.96000000002</v>
      </c>
      <c r="H24" s="2"/>
      <c r="I24" s="2"/>
      <c r="J24" s="4">
        <f t="shared" si="1"/>
        <v>-241938.96000000002</v>
      </c>
      <c r="K24" s="3"/>
    </row>
    <row r="25" spans="1:16" ht="13" customHeight="1">
      <c r="A25" s="104">
        <v>24</v>
      </c>
      <c r="B25" s="99" t="s">
        <v>461</v>
      </c>
      <c r="C25" s="100" t="s">
        <v>643</v>
      </c>
      <c r="D25" s="99" t="s">
        <v>392</v>
      </c>
      <c r="F25" s="3"/>
      <c r="G25" s="4">
        <f>-'W24'!G40</f>
        <v>-54803.769999999982</v>
      </c>
      <c r="H25" s="2"/>
      <c r="I25" s="2"/>
      <c r="J25" s="4">
        <f t="shared" si="1"/>
        <v>54803.769999999982</v>
      </c>
      <c r="K25" s="3"/>
    </row>
    <row r="26" spans="1:16" ht="13" customHeight="1">
      <c r="A26" s="104">
        <v>25</v>
      </c>
      <c r="B26" s="99" t="s">
        <v>368</v>
      </c>
      <c r="C26" s="100" t="s">
        <v>592</v>
      </c>
      <c r="D26" s="99" t="s">
        <v>392</v>
      </c>
      <c r="F26" s="3"/>
      <c r="G26" s="4">
        <f>'W25'!J44</f>
        <v>116943.03999999998</v>
      </c>
      <c r="H26" s="2"/>
      <c r="I26" s="2"/>
      <c r="J26" s="4">
        <f t="shared" si="1"/>
        <v>-116943.03999999998</v>
      </c>
      <c r="K26" s="3"/>
    </row>
    <row r="27" spans="1:16" ht="13" customHeight="1">
      <c r="A27" s="104">
        <v>26</v>
      </c>
      <c r="B27" s="99" t="s">
        <v>64</v>
      </c>
      <c r="C27" s="100" t="s">
        <v>592</v>
      </c>
      <c r="D27" s="99" t="s">
        <v>392</v>
      </c>
      <c r="F27" s="3"/>
      <c r="G27" s="4">
        <f>'W26'!C36</f>
        <v>4985006.8612336004</v>
      </c>
      <c r="H27" s="2"/>
      <c r="I27" s="2"/>
      <c r="J27" s="4">
        <f t="shared" si="1"/>
        <v>-4985006.8612336004</v>
      </c>
      <c r="K27" s="3"/>
    </row>
    <row r="28" spans="1:16" ht="13" customHeight="1">
      <c r="A28" s="104">
        <v>27</v>
      </c>
      <c r="B28" s="99" t="s">
        <v>369</v>
      </c>
      <c r="C28" s="100" t="s">
        <v>592</v>
      </c>
      <c r="D28" s="99" t="s">
        <v>392</v>
      </c>
      <c r="F28" s="3"/>
      <c r="G28" s="4">
        <f>'W27'!F20</f>
        <v>-61787</v>
      </c>
      <c r="H28" s="2"/>
      <c r="I28" s="2"/>
      <c r="J28" s="4">
        <f t="shared" si="1"/>
        <v>61787</v>
      </c>
      <c r="K28" s="3"/>
    </row>
    <row r="29" spans="1:16" ht="13" customHeight="1">
      <c r="A29" s="104">
        <v>28</v>
      </c>
      <c r="B29" s="99" t="s">
        <v>86</v>
      </c>
      <c r="C29" s="100" t="s">
        <v>592</v>
      </c>
      <c r="D29" s="99" t="s">
        <v>392</v>
      </c>
      <c r="F29" s="2"/>
      <c r="G29" s="3">
        <f>'W28'!F17</f>
        <v>465475.20400000003</v>
      </c>
      <c r="H29" s="2"/>
      <c r="I29" s="2"/>
      <c r="J29" s="4">
        <f t="shared" si="1"/>
        <v>-465475.20400000003</v>
      </c>
      <c r="K29" s="3"/>
    </row>
    <row r="30" spans="1:16" ht="13" customHeight="1">
      <c r="A30" s="104">
        <v>29</v>
      </c>
      <c r="B30" s="99" t="s">
        <v>932</v>
      </c>
      <c r="C30" s="100" t="s">
        <v>592</v>
      </c>
      <c r="D30" s="99" t="s">
        <v>392</v>
      </c>
      <c r="F30" s="2"/>
      <c r="G30" s="3">
        <f>'W29'!L13</f>
        <v>-3086549</v>
      </c>
      <c r="H30" s="2"/>
      <c r="I30" s="2"/>
      <c r="J30" s="4">
        <f>F30-G30</f>
        <v>3086549</v>
      </c>
      <c r="K30" s="3"/>
    </row>
    <row r="31" spans="1:16" ht="13" customHeight="1">
      <c r="A31" s="104">
        <v>30</v>
      </c>
      <c r="B31" s="99" t="s">
        <v>370</v>
      </c>
      <c r="C31" s="100" t="s">
        <v>592</v>
      </c>
      <c r="D31" s="99" t="s">
        <v>392</v>
      </c>
      <c r="F31" s="2"/>
      <c r="G31" s="3">
        <f>'W30'!L46</f>
        <v>836596.2</v>
      </c>
      <c r="H31" s="2"/>
      <c r="I31" s="2"/>
      <c r="J31" s="4">
        <f t="shared" si="1"/>
        <v>-836596.2</v>
      </c>
      <c r="K31" s="3"/>
    </row>
    <row r="32" spans="1:16" ht="13" customHeight="1">
      <c r="A32" s="104">
        <v>31</v>
      </c>
      <c r="B32" s="99" t="s">
        <v>371</v>
      </c>
      <c r="C32" s="100" t="s">
        <v>592</v>
      </c>
      <c r="D32" s="99" t="s">
        <v>392</v>
      </c>
      <c r="F32" s="2"/>
      <c r="G32" s="3">
        <f>'W31'!J47</f>
        <v>2120141.89</v>
      </c>
      <c r="H32" s="2"/>
      <c r="I32" s="2"/>
      <c r="J32" s="4">
        <f t="shared" si="1"/>
        <v>-2120141.89</v>
      </c>
      <c r="K32" s="3"/>
    </row>
    <row r="33" spans="1:12" ht="13" customHeight="1">
      <c r="A33" s="104">
        <v>32</v>
      </c>
      <c r="B33" s="99" t="s">
        <v>372</v>
      </c>
      <c r="C33" s="100" t="s">
        <v>592</v>
      </c>
      <c r="D33" s="99" t="s">
        <v>392</v>
      </c>
      <c r="F33" s="2"/>
      <c r="G33" s="3">
        <f>'W32'!F37</f>
        <v>174164.71000000002</v>
      </c>
      <c r="H33" s="2"/>
      <c r="I33" s="2"/>
      <c r="J33" s="4">
        <f>F33-G33</f>
        <v>-174164.71000000002</v>
      </c>
      <c r="K33" s="3"/>
    </row>
    <row r="34" spans="1:12" ht="13" customHeight="1">
      <c r="A34" s="104">
        <v>33</v>
      </c>
      <c r="B34" s="99" t="s">
        <v>376</v>
      </c>
      <c r="C34" s="100" t="s">
        <v>592</v>
      </c>
      <c r="D34" s="99" t="s">
        <v>392</v>
      </c>
      <c r="F34" s="2"/>
      <c r="G34" s="3">
        <f>'W33'!F19</f>
        <v>45398.090310000007</v>
      </c>
      <c r="H34" s="2"/>
      <c r="I34" s="2"/>
      <c r="J34" s="4">
        <f t="shared" si="1"/>
        <v>-45398.090310000007</v>
      </c>
      <c r="K34" s="3"/>
    </row>
    <row r="35" spans="1:12" ht="13" customHeight="1">
      <c r="A35" s="104">
        <v>34</v>
      </c>
      <c r="B35" s="99" t="s">
        <v>377</v>
      </c>
      <c r="C35" s="100" t="s">
        <v>592</v>
      </c>
      <c r="D35" s="99" t="s">
        <v>392</v>
      </c>
      <c r="F35" s="2"/>
      <c r="G35" s="3">
        <f>'W34'!F25</f>
        <v>184630.18147538003</v>
      </c>
      <c r="H35" s="2"/>
      <c r="I35" s="2"/>
      <c r="J35" s="4">
        <f t="shared" si="1"/>
        <v>-184630.18147538003</v>
      </c>
      <c r="K35" s="3"/>
    </row>
    <row r="36" spans="1:12" ht="13" customHeight="1">
      <c r="A36" s="104">
        <v>35</v>
      </c>
      <c r="B36" s="99" t="s">
        <v>378</v>
      </c>
      <c r="C36" s="100" t="s">
        <v>592</v>
      </c>
      <c r="D36" s="99" t="s">
        <v>392</v>
      </c>
      <c r="F36" s="2"/>
      <c r="G36" s="3">
        <f>'W35'!I25</f>
        <v>17122.142812499998</v>
      </c>
      <c r="H36" s="2"/>
      <c r="I36" s="2"/>
      <c r="J36" s="4">
        <f t="shared" si="1"/>
        <v>-17122.142812499998</v>
      </c>
      <c r="K36" s="3"/>
      <c r="L36" s="95"/>
    </row>
    <row r="37" spans="1:12" ht="13" customHeight="1">
      <c r="A37" s="104">
        <v>36</v>
      </c>
      <c r="B37" s="99" t="s">
        <v>397</v>
      </c>
      <c r="C37" s="100" t="s">
        <v>643</v>
      </c>
      <c r="D37" s="99" t="s">
        <v>392</v>
      </c>
      <c r="F37" s="2"/>
      <c r="G37" s="3">
        <f>-'W36'!J16</f>
        <v>-24171.38</v>
      </c>
      <c r="H37" s="2"/>
      <c r="I37" s="2"/>
      <c r="J37" s="4">
        <f t="shared" si="1"/>
        <v>24171.38</v>
      </c>
      <c r="K37" s="3"/>
    </row>
    <row r="38" spans="1:12" ht="13" customHeight="1">
      <c r="A38" s="104">
        <v>37</v>
      </c>
      <c r="B38" s="99" t="s">
        <v>379</v>
      </c>
      <c r="C38" s="100" t="s">
        <v>592</v>
      </c>
      <c r="D38" s="99" t="s">
        <v>392</v>
      </c>
      <c r="F38" s="2"/>
      <c r="G38" s="3">
        <f>'W37'!V110</f>
        <v>3942450</v>
      </c>
      <c r="H38" s="2"/>
      <c r="I38" s="2"/>
      <c r="J38" s="4">
        <f t="shared" si="1"/>
        <v>-3942450</v>
      </c>
      <c r="K38" s="3"/>
    </row>
    <row r="39" spans="1:12" ht="13" customHeight="1">
      <c r="A39" s="104">
        <v>38</v>
      </c>
      <c r="B39" s="99" t="s">
        <v>383</v>
      </c>
      <c r="C39" s="100" t="s">
        <v>592</v>
      </c>
      <c r="D39" s="99" t="s">
        <v>392</v>
      </c>
      <c r="F39" s="2"/>
      <c r="G39" s="3">
        <f>'W38'!F13</f>
        <v>113368.78</v>
      </c>
      <c r="H39" s="2"/>
      <c r="I39" s="2"/>
      <c r="J39" s="4">
        <f t="shared" si="1"/>
        <v>-113368.78</v>
      </c>
      <c r="K39" s="3"/>
    </row>
    <row r="40" spans="1:12" ht="13" customHeight="1">
      <c r="A40" s="104">
        <v>39</v>
      </c>
      <c r="B40" s="99" t="s">
        <v>384</v>
      </c>
      <c r="C40" s="100" t="s">
        <v>592</v>
      </c>
      <c r="D40" s="99" t="s">
        <v>392</v>
      </c>
      <c r="F40" s="2"/>
      <c r="G40" s="3">
        <f>'W39'!F13</f>
        <v>124566.65</v>
      </c>
      <c r="H40" s="2"/>
      <c r="I40" s="2"/>
      <c r="J40" s="4">
        <f t="shared" si="1"/>
        <v>-124566.65</v>
      </c>
      <c r="K40" s="3"/>
    </row>
    <row r="41" spans="1:12" ht="13" customHeight="1">
      <c r="A41" s="104">
        <v>40</v>
      </c>
      <c r="B41" s="99" t="s">
        <v>399</v>
      </c>
      <c r="C41" s="100" t="s">
        <v>622</v>
      </c>
      <c r="D41" s="99" t="s">
        <v>392</v>
      </c>
      <c r="F41" s="2"/>
      <c r="G41" s="3">
        <f>'W40'!D17</f>
        <v>114528.71999999997</v>
      </c>
      <c r="H41" s="2"/>
      <c r="I41" s="2"/>
      <c r="J41" s="4">
        <f t="shared" si="1"/>
        <v>-114528.71999999997</v>
      </c>
      <c r="K41" s="3"/>
    </row>
    <row r="42" spans="1:12" ht="13" customHeight="1">
      <c r="A42" s="104">
        <v>41</v>
      </c>
      <c r="B42" s="99" t="s">
        <v>229</v>
      </c>
      <c r="C42" s="100" t="s">
        <v>592</v>
      </c>
      <c r="D42" s="99" t="s">
        <v>392</v>
      </c>
      <c r="F42" s="2"/>
      <c r="G42" s="3"/>
      <c r="H42" s="2">
        <v>0</v>
      </c>
      <c r="I42" s="2"/>
      <c r="J42" s="4">
        <f t="shared" si="1"/>
        <v>0</v>
      </c>
      <c r="K42" s="3">
        <f>'W41'!L19</f>
        <v>3940449.9803599995</v>
      </c>
    </row>
    <row r="43" spans="1:12" ht="13" customHeight="1">
      <c r="A43" s="104">
        <v>42</v>
      </c>
      <c r="B43" s="99" t="s">
        <v>343</v>
      </c>
      <c r="C43" s="100" t="s">
        <v>926</v>
      </c>
      <c r="D43" s="99" t="s">
        <v>140</v>
      </c>
      <c r="F43" s="2"/>
      <c r="G43" s="3">
        <f>'W42'!D16</f>
        <v>4262813.3566666655</v>
      </c>
      <c r="H43" s="2"/>
      <c r="I43" s="2"/>
      <c r="J43" s="4">
        <f t="shared" ref="J43:J56" si="3">F43-G43</f>
        <v>-4262813.3566666655</v>
      </c>
      <c r="K43" s="3"/>
    </row>
    <row r="44" spans="1:12" ht="13" customHeight="1">
      <c r="A44" s="104">
        <v>43</v>
      </c>
      <c r="B44" s="99" t="s">
        <v>339</v>
      </c>
      <c r="C44" s="100" t="s">
        <v>926</v>
      </c>
      <c r="D44" s="99" t="s">
        <v>140</v>
      </c>
      <c r="F44" s="2"/>
      <c r="G44" s="3">
        <f>'W43'!D20</f>
        <v>0</v>
      </c>
      <c r="H44" s="2"/>
      <c r="I44" s="2"/>
      <c r="J44" s="4">
        <f t="shared" si="3"/>
        <v>0</v>
      </c>
      <c r="K44" s="3"/>
    </row>
    <row r="45" spans="1:12" ht="13" customHeight="1">
      <c r="A45" s="104">
        <v>44</v>
      </c>
      <c r="B45" s="99" t="s">
        <v>332</v>
      </c>
      <c r="C45" s="100" t="s">
        <v>926</v>
      </c>
      <c r="D45" s="99" t="s">
        <v>140</v>
      </c>
      <c r="F45" s="2"/>
      <c r="G45" s="3">
        <f>'W44'!D19</f>
        <v>1190525</v>
      </c>
      <c r="H45" s="2"/>
      <c r="I45" s="2"/>
      <c r="J45" s="4">
        <f t="shared" si="3"/>
        <v>-1190525</v>
      </c>
      <c r="K45" s="3"/>
    </row>
    <row r="46" spans="1:12" ht="13" customHeight="1">
      <c r="A46" s="104">
        <v>45</v>
      </c>
      <c r="B46" s="99" t="s">
        <v>416</v>
      </c>
      <c r="C46" s="100" t="s">
        <v>622</v>
      </c>
      <c r="D46" s="99" t="s">
        <v>392</v>
      </c>
      <c r="G46" s="3">
        <f>+'W45'!L12</f>
        <v>1212197.6499999999</v>
      </c>
      <c r="J46" s="4">
        <f t="shared" si="3"/>
        <v>-1212197.6499999999</v>
      </c>
      <c r="K46" s="4"/>
    </row>
    <row r="47" spans="1:12" ht="13" customHeight="1">
      <c r="A47" s="104">
        <v>46</v>
      </c>
      <c r="B47" s="99" t="s">
        <v>882</v>
      </c>
      <c r="C47" s="100" t="s">
        <v>592</v>
      </c>
      <c r="D47" s="99" t="s">
        <v>392</v>
      </c>
      <c r="G47" s="3">
        <f>+'W46'!L8</f>
        <v>-1689276</v>
      </c>
      <c r="H47" s="3"/>
      <c r="I47" s="4"/>
      <c r="J47" s="4">
        <f t="shared" ref="J47" si="4">F47-G47</f>
        <v>1689276</v>
      </c>
      <c r="K47" s="4"/>
    </row>
    <row r="48" spans="1:12" ht="13" customHeight="1">
      <c r="A48" s="104">
        <v>47</v>
      </c>
      <c r="B48" s="99" t="s">
        <v>654</v>
      </c>
      <c r="C48" s="100" t="s">
        <v>592</v>
      </c>
      <c r="D48" s="99" t="s">
        <v>392</v>
      </c>
      <c r="G48" s="3">
        <f>+'W47'!L10</f>
        <v>140773</v>
      </c>
      <c r="H48" s="3"/>
      <c r="I48" s="4"/>
      <c r="J48" s="4">
        <f>F48-G48</f>
        <v>-140773</v>
      </c>
      <c r="K48" s="4"/>
    </row>
    <row r="49" spans="1:18" ht="13" customHeight="1">
      <c r="A49" s="104">
        <v>48</v>
      </c>
      <c r="B49" s="102" t="s">
        <v>630</v>
      </c>
      <c r="C49" s="100" t="s">
        <v>592</v>
      </c>
      <c r="D49" s="99" t="s">
        <v>392</v>
      </c>
      <c r="G49" s="3">
        <f>'W48'!S108</f>
        <v>1167941.5871000006</v>
      </c>
      <c r="H49" s="3"/>
      <c r="I49" s="4"/>
      <c r="J49" s="4">
        <f>F49-G49</f>
        <v>-1167941.5871000006</v>
      </c>
      <c r="K49" s="4"/>
    </row>
    <row r="50" spans="1:18" ht="13" customHeight="1">
      <c r="A50" s="104">
        <v>49</v>
      </c>
      <c r="B50" s="99" t="s">
        <v>631</v>
      </c>
      <c r="C50" s="99" t="s">
        <v>592</v>
      </c>
      <c r="D50" s="99" t="s">
        <v>392</v>
      </c>
      <c r="G50" s="3">
        <f>+'W49'!K34</f>
        <v>-8425895.9834829997</v>
      </c>
      <c r="H50" s="3">
        <f>+'W49'!H32</f>
        <v>-127654870.60999995</v>
      </c>
      <c r="I50" s="4"/>
      <c r="J50" s="4">
        <f>F50-G50</f>
        <v>8425895.9834829997</v>
      </c>
      <c r="K50" s="4"/>
    </row>
    <row r="51" spans="1:18" ht="13" customHeight="1">
      <c r="A51" s="104">
        <v>50</v>
      </c>
      <c r="B51" s="99" t="s">
        <v>405</v>
      </c>
      <c r="C51" s="100" t="s">
        <v>621</v>
      </c>
      <c r="D51" s="99" t="s">
        <v>880</v>
      </c>
      <c r="F51" s="2"/>
      <c r="G51" s="3">
        <f>'W50'!G17+'W50 RB &amp; Capitalization'!H15</f>
        <v>-5574961.8000000007</v>
      </c>
      <c r="H51" s="3">
        <f>'W50 RB &amp; Capitalization'!H13</f>
        <v>18000000</v>
      </c>
      <c r="I51" s="3">
        <f>'W50 RB &amp; Capitalization'!H13</f>
        <v>18000000</v>
      </c>
      <c r="J51" s="4">
        <f>F51-G51</f>
        <v>5574961.8000000007</v>
      </c>
      <c r="K51" s="3"/>
    </row>
    <row r="52" spans="1:18" ht="13" customHeight="1">
      <c r="A52" s="106" t="s">
        <v>910</v>
      </c>
      <c r="B52" s="102" t="s">
        <v>625</v>
      </c>
      <c r="C52" s="100" t="s">
        <v>622</v>
      </c>
      <c r="D52" s="103" t="s">
        <v>394</v>
      </c>
      <c r="G52" s="4"/>
      <c r="H52" s="3">
        <f>+'W51-A &amp; W51-B'!H37+'W51-A &amp; W51-B'!J37+'W51-A &amp; W51-B'!H35+'W51-A &amp; W51-B'!J35</f>
        <v>8.8475644588470459E-9</v>
      </c>
      <c r="I52" s="4"/>
      <c r="J52" s="4">
        <f>F52-G52</f>
        <v>0</v>
      </c>
      <c r="K52" s="4"/>
    </row>
    <row r="53" spans="1:18" ht="13" customHeight="1">
      <c r="A53" s="104">
        <v>52</v>
      </c>
      <c r="B53" s="99" t="s">
        <v>632</v>
      </c>
      <c r="C53" s="99" t="s">
        <v>633</v>
      </c>
      <c r="D53" s="99" t="s">
        <v>410</v>
      </c>
      <c r="G53" s="3"/>
      <c r="H53" s="3">
        <f>+'W52'!E15</f>
        <v>10000000</v>
      </c>
      <c r="I53" s="4"/>
      <c r="J53" s="4">
        <f t="shared" ref="J53" si="5">F53-G53</f>
        <v>0</v>
      </c>
      <c r="K53" s="4"/>
    </row>
    <row r="54" spans="1:18" ht="13" customHeight="1">
      <c r="A54" s="104">
        <v>53</v>
      </c>
      <c r="B54" s="99" t="s">
        <v>402</v>
      </c>
      <c r="C54" s="100" t="s">
        <v>926</v>
      </c>
      <c r="D54" s="99" t="s">
        <v>140</v>
      </c>
      <c r="G54" s="4"/>
      <c r="H54" s="4"/>
      <c r="I54" s="4"/>
      <c r="J54" s="4">
        <f t="shared" si="3"/>
        <v>0</v>
      </c>
      <c r="K54" s="3">
        <f>'W53'!H15</f>
        <v>3902141.6843317184</v>
      </c>
    </row>
    <row r="55" spans="1:18" ht="13" customHeight="1">
      <c r="A55" s="104">
        <v>54</v>
      </c>
      <c r="B55" s="99" t="s">
        <v>490</v>
      </c>
      <c r="C55" s="100" t="s">
        <v>926</v>
      </c>
      <c r="D55" s="99" t="s">
        <v>140</v>
      </c>
      <c r="G55" s="3"/>
      <c r="H55" s="3"/>
      <c r="I55" s="4"/>
      <c r="J55" s="4">
        <f>F55-G55</f>
        <v>0</v>
      </c>
      <c r="K55" s="3">
        <f>'W54'!D26</f>
        <v>2963769.6842667316</v>
      </c>
    </row>
    <row r="56" spans="1:18" ht="13" customHeight="1">
      <c r="A56" s="104">
        <v>55</v>
      </c>
      <c r="B56" s="99" t="s">
        <v>491</v>
      </c>
      <c r="C56" s="100" t="s">
        <v>926</v>
      </c>
      <c r="D56" s="99" t="s">
        <v>394</v>
      </c>
      <c r="G56" s="4"/>
      <c r="H56" s="3">
        <f>'W55'!C11</f>
        <v>54614594.964151755</v>
      </c>
      <c r="I56" s="4"/>
      <c r="J56" s="4">
        <f t="shared" si="3"/>
        <v>0</v>
      </c>
      <c r="K56" s="4"/>
    </row>
    <row r="57" spans="1:18" ht="13" customHeight="1">
      <c r="A57" s="104">
        <v>56</v>
      </c>
      <c r="B57" s="99" t="s">
        <v>408</v>
      </c>
      <c r="C57" s="100" t="s">
        <v>592</v>
      </c>
      <c r="D57" s="99" t="s">
        <v>394</v>
      </c>
      <c r="G57" s="4"/>
      <c r="H57" s="3">
        <f>'W56'!J52</f>
        <v>-60772164.894990899</v>
      </c>
      <c r="I57" s="4"/>
      <c r="J57" s="4">
        <f>F57-G57</f>
        <v>0</v>
      </c>
      <c r="K57" s="4"/>
    </row>
    <row r="58" spans="1:18" ht="13" customHeight="1">
      <c r="A58" s="104">
        <v>57</v>
      </c>
      <c r="B58" s="99" t="s">
        <v>393</v>
      </c>
      <c r="C58" s="100" t="s">
        <v>643</v>
      </c>
      <c r="D58" s="99" t="s">
        <v>394</v>
      </c>
      <c r="F58" s="3"/>
      <c r="G58" s="3"/>
      <c r="H58" s="3">
        <f>+'W57'!I18+'W57'!I22</f>
        <v>-114105731</v>
      </c>
      <c r="I58" s="3">
        <f>H58</f>
        <v>-114105731</v>
      </c>
      <c r="J58" s="4">
        <f>F58-G58</f>
        <v>0</v>
      </c>
      <c r="K58" s="4"/>
      <c r="N58" s="4">
        <f>+N2-N4-N5</f>
        <v>0</v>
      </c>
      <c r="P58" s="95">
        <f>SUM(J8:J60)</f>
        <v>-48852021.770135611</v>
      </c>
      <c r="Q58" s="95">
        <f>N58-P58</f>
        <v>48852021.770135611</v>
      </c>
      <c r="R58" s="1" t="s">
        <v>413</v>
      </c>
    </row>
    <row r="59" spans="1:18" ht="13" customHeight="1">
      <c r="A59" s="104">
        <v>58</v>
      </c>
      <c r="B59" s="99" t="s">
        <v>386</v>
      </c>
      <c r="C59" s="100" t="s">
        <v>592</v>
      </c>
      <c r="D59" s="99" t="s">
        <v>899</v>
      </c>
      <c r="G59" s="4"/>
      <c r="H59" s="3">
        <f>'W58 Rate Base'!L10</f>
        <v>-341157.52</v>
      </c>
      <c r="I59" s="3">
        <f>'W58 Capitalization'!L17</f>
        <v>-2950020.7334000003</v>
      </c>
      <c r="J59" s="4">
        <f>F59-G59</f>
        <v>0</v>
      </c>
      <c r="K59" s="4"/>
    </row>
    <row r="60" spans="1:18" ht="13" customHeight="1">
      <c r="A60" s="104">
        <v>59</v>
      </c>
      <c r="B60" s="102" t="s">
        <v>626</v>
      </c>
      <c r="C60" s="100" t="s">
        <v>627</v>
      </c>
      <c r="D60" s="103" t="s">
        <v>628</v>
      </c>
      <c r="H60" s="3"/>
      <c r="I60" s="4">
        <f>+'W59'!G13-'W59'!E13-'W59'!E15</f>
        <v>-385199813.67000002</v>
      </c>
      <c r="J60" s="4">
        <f t="shared" ref="J60" si="6">F60-G60</f>
        <v>0</v>
      </c>
      <c r="K60" s="4"/>
    </row>
  </sheetData>
  <pageMargins left="0.7" right="0.7" top="0.75" bottom="0.75" header="0.3" footer="0.3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D482-01D9-4EC3-851B-82319897E5B0}">
  <sheetPr>
    <pageSetUpPr fitToPage="1"/>
  </sheetPr>
  <dimension ref="A1:P42"/>
  <sheetViews>
    <sheetView zoomScaleNormal="100" workbookViewId="0">
      <selection sqref="A1:G43"/>
    </sheetView>
  </sheetViews>
  <sheetFormatPr defaultColWidth="8.7265625" defaultRowHeight="13"/>
  <cols>
    <col min="1" max="1" width="7.81640625" style="178" customWidth="1"/>
    <col min="2" max="2" width="10" style="172" customWidth="1"/>
    <col min="3" max="3" width="38.453125" style="172" customWidth="1"/>
    <col min="4" max="4" width="34.81640625" style="172" bestFit="1" customWidth="1"/>
    <col min="5" max="5" width="17.7265625" style="172" customWidth="1"/>
    <col min="6" max="6" width="20.7265625" style="172" customWidth="1"/>
    <col min="7" max="12" width="8.7265625" style="172"/>
    <col min="13" max="13" width="19.453125" style="172" bestFit="1" customWidth="1"/>
    <col min="14" max="14" width="8.7265625" style="172"/>
    <col min="15" max="15" width="15.453125" style="172" bestFit="1" customWidth="1"/>
    <col min="16" max="16384" width="8.7265625" style="172"/>
  </cols>
  <sheetData>
    <row r="1" spans="1:6">
      <c r="A1" s="206"/>
      <c r="B1" s="207"/>
      <c r="C1" s="847" t="s">
        <v>0</v>
      </c>
      <c r="D1" s="847"/>
      <c r="E1" s="847"/>
      <c r="F1" s="847"/>
    </row>
    <row r="2" spans="1:6">
      <c r="A2" s="206"/>
      <c r="B2" s="208"/>
      <c r="C2" s="847" t="s">
        <v>279</v>
      </c>
      <c r="D2" s="847"/>
      <c r="E2" s="847"/>
      <c r="F2" s="847"/>
    </row>
    <row r="3" spans="1:6">
      <c r="A3" s="206"/>
      <c r="B3" s="209"/>
      <c r="C3" s="847" t="s">
        <v>644</v>
      </c>
      <c r="D3" s="847"/>
      <c r="E3" s="847"/>
      <c r="F3" s="847"/>
    </row>
    <row r="4" spans="1:6">
      <c r="A4" s="206"/>
      <c r="B4" s="210"/>
      <c r="C4" s="847" t="s">
        <v>38</v>
      </c>
      <c r="D4" s="847"/>
      <c r="E4" s="847"/>
      <c r="F4" s="847"/>
    </row>
    <row r="5" spans="1:6">
      <c r="A5" s="206"/>
      <c r="B5" s="207"/>
      <c r="C5" s="207"/>
      <c r="D5" s="207"/>
      <c r="E5" s="207"/>
    </row>
    <row r="6" spans="1:6">
      <c r="A6" s="206" t="s">
        <v>116</v>
      </c>
      <c r="B6" s="206"/>
      <c r="C6" s="206"/>
      <c r="D6" s="206"/>
      <c r="E6" s="206"/>
    </row>
    <row r="7" spans="1:6">
      <c r="A7" s="211" t="s">
        <v>119</v>
      </c>
      <c r="B7" s="211"/>
      <c r="C7" s="211" t="s">
        <v>117</v>
      </c>
      <c r="D7" s="211"/>
      <c r="E7" s="211" t="s">
        <v>118</v>
      </c>
    </row>
    <row r="8" spans="1:6">
      <c r="A8" s="212">
        <v>-1</v>
      </c>
      <c r="B8" s="212"/>
      <c r="C8" s="212">
        <v>-2</v>
      </c>
      <c r="D8" s="212"/>
      <c r="E8" s="212">
        <v>-3</v>
      </c>
    </row>
    <row r="9" spans="1:6">
      <c r="A9" s="206"/>
      <c r="B9" s="207"/>
      <c r="C9" s="207"/>
      <c r="D9" s="207"/>
      <c r="E9" s="213"/>
    </row>
    <row r="10" spans="1:6">
      <c r="A10" s="88">
        <v>1</v>
      </c>
      <c r="B10" s="89"/>
      <c r="C10" s="89" t="s">
        <v>280</v>
      </c>
      <c r="D10" s="207"/>
      <c r="E10" s="223">
        <v>59543109.680279933</v>
      </c>
      <c r="F10" s="172" t="s">
        <v>281</v>
      </c>
    </row>
    <row r="11" spans="1:6">
      <c r="A11" s="88">
        <v>2</v>
      </c>
      <c r="B11" s="89"/>
      <c r="C11" s="89" t="s">
        <v>282</v>
      </c>
      <c r="E11" s="223">
        <v>155543886.40351999</v>
      </c>
      <c r="F11" s="172" t="s">
        <v>281</v>
      </c>
    </row>
    <row r="12" spans="1:6">
      <c r="A12" s="88">
        <v>3</v>
      </c>
      <c r="B12" s="89"/>
      <c r="C12" s="89" t="s">
        <v>864</v>
      </c>
      <c r="E12" s="224">
        <v>-10124221.300000001</v>
      </c>
      <c r="F12" s="172" t="s">
        <v>281</v>
      </c>
    </row>
    <row r="13" spans="1:6">
      <c r="A13" s="88">
        <v>4</v>
      </c>
      <c r="B13" s="89"/>
      <c r="C13" s="89" t="s">
        <v>283</v>
      </c>
      <c r="D13" s="207"/>
      <c r="E13" s="225">
        <f>SUM(E10:E12)</f>
        <v>204962774.78379992</v>
      </c>
    </row>
    <row r="14" spans="1:6">
      <c r="A14" s="206"/>
      <c r="B14" s="207"/>
      <c r="C14" s="207"/>
      <c r="D14" s="207"/>
      <c r="E14" s="214"/>
    </row>
    <row r="15" spans="1:6">
      <c r="A15" s="206">
        <v>5</v>
      </c>
      <c r="B15" s="207"/>
      <c r="C15" s="89" t="s">
        <v>284</v>
      </c>
      <c r="E15" s="223">
        <v>220067842.09746</v>
      </c>
      <c r="F15" s="172" t="s">
        <v>281</v>
      </c>
    </row>
    <row r="16" spans="1:6">
      <c r="A16" s="206">
        <v>6</v>
      </c>
      <c r="B16" s="207"/>
      <c r="C16" s="89" t="s">
        <v>285</v>
      </c>
      <c r="D16" s="207"/>
      <c r="E16" s="215">
        <v>-1066415.0149999997</v>
      </c>
      <c r="F16" s="214" t="s">
        <v>286</v>
      </c>
    </row>
    <row r="17" spans="1:16">
      <c r="A17" s="206">
        <v>7</v>
      </c>
      <c r="B17" s="207"/>
      <c r="C17" s="89" t="s">
        <v>287</v>
      </c>
      <c r="D17" s="207"/>
      <c r="E17" s="216">
        <f>E16+E15</f>
        <v>219001427.08246002</v>
      </c>
    </row>
    <row r="18" spans="1:16">
      <c r="A18" s="206"/>
      <c r="B18" s="207"/>
      <c r="C18" s="207"/>
      <c r="D18" s="207"/>
      <c r="E18" s="214"/>
    </row>
    <row r="19" spans="1:16">
      <c r="A19" s="206">
        <v>8</v>
      </c>
      <c r="C19" s="207" t="s">
        <v>288</v>
      </c>
      <c r="E19" s="214">
        <f>E17-E13</f>
        <v>14038652.2986601</v>
      </c>
      <c r="F19" s="172" t="s">
        <v>289</v>
      </c>
    </row>
    <row r="20" spans="1:16" ht="20.25" customHeight="1">
      <c r="C20" s="217"/>
      <c r="D20" s="218"/>
      <c r="E20" s="219"/>
      <c r="F20" s="218"/>
    </row>
    <row r="21" spans="1:16">
      <c r="A21" s="206"/>
      <c r="B21" s="207"/>
      <c r="C21" s="207"/>
      <c r="D21" s="207"/>
      <c r="E21" s="214"/>
    </row>
    <row r="22" spans="1:16">
      <c r="A22" s="206">
        <v>9</v>
      </c>
      <c r="C22" s="207" t="s">
        <v>290</v>
      </c>
      <c r="D22" s="226" t="s">
        <v>291</v>
      </c>
      <c r="E22" s="220">
        <f>-E19</f>
        <v>-14038652.2986601</v>
      </c>
      <c r="F22" s="89" t="s">
        <v>292</v>
      </c>
    </row>
    <row r="23" spans="1:16">
      <c r="A23" s="206"/>
      <c r="B23" s="207"/>
      <c r="C23" s="207"/>
      <c r="D23" s="207"/>
      <c r="E23" s="220"/>
      <c r="F23" s="89"/>
    </row>
    <row r="24" spans="1:16">
      <c r="A24" s="206">
        <v>10</v>
      </c>
      <c r="B24" s="207"/>
      <c r="C24" s="207" t="s">
        <v>293</v>
      </c>
      <c r="D24" s="226" t="s">
        <v>291</v>
      </c>
      <c r="E24" s="220">
        <v>-49418888</v>
      </c>
      <c r="F24" s="227" t="s">
        <v>493</v>
      </c>
    </row>
    <row r="25" spans="1:16">
      <c r="A25" s="206">
        <v>11</v>
      </c>
      <c r="B25" s="207"/>
      <c r="C25" s="207" t="s">
        <v>294</v>
      </c>
      <c r="D25" s="226" t="s">
        <v>291</v>
      </c>
      <c r="E25" s="220">
        <f>E24</f>
        <v>-49418888</v>
      </c>
      <c r="F25" s="227" t="s">
        <v>292</v>
      </c>
      <c r="J25" s="129"/>
      <c r="K25" s="129"/>
      <c r="L25" s="129"/>
      <c r="M25" s="220"/>
      <c r="N25" s="129"/>
      <c r="O25" s="129"/>
      <c r="P25" s="129"/>
    </row>
    <row r="26" spans="1:16">
      <c r="A26" s="206"/>
      <c r="B26" s="207"/>
      <c r="C26" s="207"/>
      <c r="D26" s="207"/>
      <c r="E26" s="220"/>
      <c r="J26" s="129"/>
      <c r="K26" s="129"/>
      <c r="L26" s="129"/>
      <c r="M26" s="129"/>
      <c r="N26" s="129"/>
      <c r="O26" s="129"/>
      <c r="P26" s="129"/>
    </row>
    <row r="27" spans="1:16">
      <c r="A27" s="206"/>
      <c r="B27" s="207"/>
      <c r="C27" s="207"/>
      <c r="D27" s="207"/>
      <c r="E27" s="220"/>
      <c r="J27" s="129"/>
      <c r="K27" s="129"/>
      <c r="L27" s="129"/>
      <c r="M27" s="129"/>
      <c r="N27" s="129"/>
      <c r="O27" s="129"/>
      <c r="P27" s="129"/>
    </row>
    <row r="28" spans="1:16">
      <c r="A28" s="206"/>
      <c r="B28" s="207"/>
      <c r="C28" s="207"/>
      <c r="D28" s="207"/>
      <c r="E28" s="220"/>
      <c r="J28" s="129"/>
      <c r="K28" s="129"/>
      <c r="L28" s="129"/>
      <c r="M28" s="220"/>
      <c r="N28" s="129"/>
      <c r="O28" s="129"/>
      <c r="P28" s="129"/>
    </row>
    <row r="29" spans="1:16">
      <c r="A29" s="206">
        <v>12</v>
      </c>
      <c r="B29" s="207"/>
      <c r="C29" s="207" t="s">
        <v>295</v>
      </c>
      <c r="D29" s="207"/>
      <c r="E29" s="220">
        <f>E24-E25+E22</f>
        <v>-14038652.2986601</v>
      </c>
      <c r="F29" s="172" t="s">
        <v>292</v>
      </c>
      <c r="J29" s="129"/>
      <c r="K29" s="129"/>
      <c r="L29" s="129"/>
      <c r="M29" s="129"/>
      <c r="N29" s="129"/>
      <c r="O29" s="129"/>
      <c r="P29" s="129"/>
    </row>
    <row r="30" spans="1:16">
      <c r="A30" s="206"/>
      <c r="B30" s="207"/>
      <c r="C30" s="207"/>
      <c r="D30" s="207"/>
      <c r="E30" s="214"/>
      <c r="J30" s="129"/>
      <c r="K30" s="129"/>
      <c r="L30" s="129"/>
      <c r="M30" s="129"/>
      <c r="N30" s="129"/>
      <c r="O30" s="228"/>
      <c r="P30" s="129"/>
    </row>
    <row r="31" spans="1:16" s="89" customFormat="1">
      <c r="B31" s="88"/>
      <c r="C31" s="229"/>
      <c r="D31" s="229"/>
      <c r="E31" s="229"/>
      <c r="F31" s="229"/>
      <c r="J31" s="1"/>
      <c r="K31" s="1"/>
      <c r="L31" s="1"/>
      <c r="M31" s="1"/>
      <c r="N31" s="1"/>
      <c r="O31" s="1"/>
      <c r="P31" s="1"/>
    </row>
    <row r="32" spans="1:16">
      <c r="A32" s="206"/>
      <c r="B32" s="207"/>
      <c r="C32" s="207"/>
      <c r="D32" s="207"/>
      <c r="E32" s="207"/>
      <c r="J32" s="129"/>
      <c r="K32" s="129"/>
      <c r="L32" s="129"/>
      <c r="M32" s="129"/>
      <c r="N32" s="129"/>
      <c r="O32" s="228"/>
      <c r="P32" s="129"/>
    </row>
    <row r="33" spans="1:16">
      <c r="A33" s="1"/>
      <c r="B33" s="88"/>
      <c r="C33" s="89" t="s">
        <v>865</v>
      </c>
      <c r="D33" s="213"/>
      <c r="E33" s="213"/>
      <c r="J33" s="129"/>
      <c r="K33" s="129"/>
      <c r="L33" s="129"/>
      <c r="M33" s="129"/>
      <c r="N33" s="129"/>
      <c r="O33" s="228"/>
      <c r="P33" s="129"/>
    </row>
    <row r="34" spans="1:16">
      <c r="A34" s="1"/>
      <c r="B34" s="88"/>
      <c r="C34" s="89"/>
      <c r="D34" s="207"/>
      <c r="E34" s="207"/>
      <c r="J34" s="129"/>
      <c r="K34" s="129"/>
      <c r="L34" s="129"/>
      <c r="M34" s="129"/>
      <c r="N34" s="129"/>
      <c r="O34" s="230"/>
      <c r="P34" s="129"/>
    </row>
    <row r="35" spans="1:16">
      <c r="A35" s="1">
        <v>13</v>
      </c>
      <c r="B35" s="88"/>
      <c r="C35" s="89" t="s">
        <v>866</v>
      </c>
      <c r="D35" s="207"/>
      <c r="E35" s="216">
        <v>179502313.6969294</v>
      </c>
      <c r="F35" s="89" t="s">
        <v>870</v>
      </c>
      <c r="J35" s="129"/>
      <c r="K35" s="129"/>
      <c r="L35" s="129"/>
      <c r="M35" s="129"/>
      <c r="N35" s="129"/>
      <c r="O35" s="228"/>
      <c r="P35" s="129"/>
    </row>
    <row r="36" spans="1:16">
      <c r="A36" s="89">
        <v>14</v>
      </c>
      <c r="B36" s="231"/>
      <c r="C36" s="89" t="s">
        <v>867</v>
      </c>
      <c r="E36" s="216">
        <v>23958427.293409407</v>
      </c>
      <c r="F36" s="89" t="s">
        <v>871</v>
      </c>
      <c r="J36" s="129"/>
      <c r="K36" s="129"/>
      <c r="L36" s="129"/>
      <c r="M36" s="129"/>
      <c r="N36" s="129"/>
      <c r="O36" s="129"/>
      <c r="P36" s="129"/>
    </row>
    <row r="37" spans="1:16">
      <c r="A37" s="89">
        <v>15</v>
      </c>
      <c r="B37" s="231"/>
      <c r="C37" s="89" t="s">
        <v>868</v>
      </c>
      <c r="D37" s="207"/>
      <c r="E37" s="221">
        <v>3132919</v>
      </c>
      <c r="F37" s="89" t="s">
        <v>281</v>
      </c>
      <c r="J37" s="129"/>
      <c r="K37" s="129"/>
      <c r="L37" s="129"/>
      <c r="M37" s="129"/>
      <c r="N37" s="129"/>
      <c r="O37" s="222"/>
      <c r="P37" s="129"/>
    </row>
    <row r="38" spans="1:16">
      <c r="A38" s="89">
        <v>16</v>
      </c>
      <c r="B38" s="231" t="s">
        <v>891</v>
      </c>
      <c r="C38" s="89" t="s">
        <v>869</v>
      </c>
      <c r="E38" s="232">
        <f>E36+E29-E37</f>
        <v>6786855.9947493076</v>
      </c>
      <c r="F38" s="227" t="s">
        <v>872</v>
      </c>
      <c r="J38" s="129"/>
      <c r="K38" s="129"/>
      <c r="L38" s="129"/>
      <c r="M38" s="129"/>
      <c r="N38" s="129"/>
      <c r="O38" s="129"/>
      <c r="P38" s="129"/>
    </row>
    <row r="39" spans="1:16">
      <c r="E39" s="129"/>
      <c r="J39" s="129"/>
      <c r="K39" s="129"/>
      <c r="L39" s="129"/>
      <c r="M39" s="129"/>
      <c r="N39" s="129"/>
      <c r="O39" s="129"/>
      <c r="P39" s="129"/>
    </row>
    <row r="40" spans="1:16">
      <c r="E40" s="129"/>
      <c r="J40" s="129"/>
      <c r="K40" s="129"/>
      <c r="L40" s="129"/>
      <c r="M40" s="129"/>
      <c r="N40" s="129"/>
      <c r="O40" s="129"/>
      <c r="P40" s="129"/>
    </row>
    <row r="42" spans="1:16">
      <c r="C42" s="207" t="s">
        <v>642</v>
      </c>
    </row>
  </sheetData>
  <mergeCells count="4">
    <mergeCell ref="C1:F1"/>
    <mergeCell ref="C2:F2"/>
    <mergeCell ref="C3:F3"/>
    <mergeCell ref="C4:F4"/>
  </mergeCells>
  <pageMargins left="0.7" right="0.7" top="0.75" bottom="0.75" header="0.3" footer="0.3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BFED2-96F8-49B6-8E2F-86A924FC004E}">
  <dimension ref="A1:F45"/>
  <sheetViews>
    <sheetView showRuler="0" zoomScale="90" zoomScaleNormal="90" workbookViewId="0">
      <selection activeCell="D47" sqref="D47"/>
    </sheetView>
  </sheetViews>
  <sheetFormatPr defaultColWidth="13.7265625" defaultRowHeight="13"/>
  <cols>
    <col min="1" max="1" width="9.1796875" style="129" customWidth="1"/>
    <col min="2" max="2" width="77.81640625" style="129" customWidth="1"/>
    <col min="3" max="3" width="2.81640625" style="129" customWidth="1"/>
    <col min="4" max="4" width="18.26953125" style="129" customWidth="1"/>
    <col min="5" max="5" width="2.81640625" style="129" customWidth="1"/>
    <col min="6" max="6" width="22.54296875" style="129" customWidth="1"/>
    <col min="7" max="7" width="10.7265625" style="129" customWidth="1"/>
    <col min="8" max="16384" width="13.7265625" style="129"/>
  </cols>
  <sheetData>
    <row r="1" spans="1:6" ht="15" customHeight="1">
      <c r="A1" s="848" t="s">
        <v>0</v>
      </c>
      <c r="B1" s="849"/>
      <c r="C1" s="849"/>
      <c r="D1" s="849"/>
      <c r="E1" s="849"/>
      <c r="F1" s="849"/>
    </row>
    <row r="2" spans="1:6" ht="15" customHeight="1">
      <c r="A2" s="848" t="s">
        <v>417</v>
      </c>
      <c r="B2" s="849"/>
      <c r="C2" s="849"/>
      <c r="D2" s="849"/>
      <c r="E2" s="849"/>
      <c r="F2" s="849"/>
    </row>
    <row r="3" spans="1:6" ht="15" customHeight="1">
      <c r="A3" s="848" t="s">
        <v>591</v>
      </c>
      <c r="B3" s="849"/>
      <c r="C3" s="849"/>
      <c r="D3" s="849"/>
      <c r="E3" s="849"/>
      <c r="F3" s="849"/>
    </row>
    <row r="4" spans="1:6" ht="15" customHeight="1">
      <c r="A4" s="848" t="s">
        <v>40</v>
      </c>
      <c r="B4" s="849"/>
      <c r="C4" s="849"/>
      <c r="D4" s="849"/>
      <c r="E4" s="849"/>
      <c r="F4" s="849"/>
    </row>
    <row r="5" spans="1:6" ht="15" customHeight="1"/>
    <row r="6" spans="1:6" ht="35.9" customHeight="1">
      <c r="A6" s="233" t="s">
        <v>10</v>
      </c>
      <c r="B6" s="233" t="s">
        <v>11</v>
      </c>
      <c r="D6" s="233" t="s">
        <v>12</v>
      </c>
      <c r="F6" s="233" t="s">
        <v>13</v>
      </c>
    </row>
    <row r="7" spans="1:6" ht="15" customHeight="1">
      <c r="A7" s="234"/>
      <c r="B7" s="235" t="s">
        <v>418</v>
      </c>
    </row>
    <row r="8" spans="1:6">
      <c r="A8" s="234">
        <v>1</v>
      </c>
      <c r="B8" s="236" t="s">
        <v>419</v>
      </c>
      <c r="D8" s="233" t="s">
        <v>17</v>
      </c>
      <c r="F8" s="237">
        <f>-14265129.26</f>
        <v>-14265129.26</v>
      </c>
    </row>
    <row r="9" spans="1:6" ht="26">
      <c r="A9" s="234">
        <v>2</v>
      </c>
      <c r="B9" s="236" t="s">
        <v>815</v>
      </c>
      <c r="D9" s="233"/>
      <c r="F9" s="238">
        <v>-2506318</v>
      </c>
    </row>
    <row r="10" spans="1:6" ht="15" customHeight="1">
      <c r="A10" s="234">
        <v>3</v>
      </c>
      <c r="B10" s="239" t="s">
        <v>420</v>
      </c>
      <c r="F10" s="240">
        <f>SUM(F8:F9)</f>
        <v>-16771447.26</v>
      </c>
    </row>
    <row r="11" spans="1:6" ht="15" customHeight="1"/>
    <row r="12" spans="1:6" ht="15" customHeight="1">
      <c r="A12" s="234">
        <v>4</v>
      </c>
      <c r="B12" s="241" t="s">
        <v>35</v>
      </c>
      <c r="F12" s="242">
        <v>1</v>
      </c>
    </row>
    <row r="13" spans="1:6" ht="15" customHeight="1"/>
    <row r="14" spans="1:6" ht="15" customHeight="1" thickBot="1">
      <c r="A14" s="234">
        <v>5</v>
      </c>
      <c r="B14" s="241" t="s">
        <v>36</v>
      </c>
      <c r="F14" s="243">
        <f>F10*F12</f>
        <v>-16771447.26</v>
      </c>
    </row>
    <row r="15" spans="1:6" ht="15" customHeight="1" thickTop="1">
      <c r="F15" s="244"/>
    </row>
    <row r="16" spans="1:6" ht="15" customHeight="1">
      <c r="A16" s="234"/>
      <c r="B16" s="235" t="s">
        <v>421</v>
      </c>
    </row>
    <row r="17" spans="1:6" ht="21.75" customHeight="1">
      <c r="A17" s="234">
        <v>6</v>
      </c>
      <c r="B17" s="236" t="s">
        <v>39</v>
      </c>
      <c r="D17" s="234">
        <v>555</v>
      </c>
      <c r="F17" s="237">
        <v>3880378.59</v>
      </c>
    </row>
    <row r="18" spans="1:6" ht="15" customHeight="1">
      <c r="A18" s="234">
        <v>7</v>
      </c>
      <c r="B18" s="236" t="s">
        <v>634</v>
      </c>
      <c r="D18" s="234">
        <v>555</v>
      </c>
      <c r="F18" s="245">
        <v>-3268780.34</v>
      </c>
    </row>
    <row r="19" spans="1:6" ht="15" customHeight="1">
      <c r="A19" s="234">
        <v>8</v>
      </c>
      <c r="B19" s="236" t="s">
        <v>359</v>
      </c>
      <c r="D19" s="234">
        <v>566</v>
      </c>
      <c r="F19" s="238">
        <v>-4174374.15</v>
      </c>
    </row>
    <row r="20" spans="1:6" ht="15" customHeight="1">
      <c r="A20" s="234">
        <v>9</v>
      </c>
      <c r="B20" s="239" t="s">
        <v>890</v>
      </c>
      <c r="F20" s="246">
        <f>SUM(F17:F19)</f>
        <v>-3562775.9</v>
      </c>
    </row>
    <row r="21" spans="1:6" ht="15" customHeight="1"/>
    <row r="22" spans="1:6" ht="15" customHeight="1">
      <c r="A22" s="234">
        <v>10</v>
      </c>
      <c r="B22" s="241" t="s">
        <v>35</v>
      </c>
      <c r="F22" s="242">
        <v>1</v>
      </c>
    </row>
    <row r="23" spans="1:6" ht="15" customHeight="1"/>
    <row r="24" spans="1:6" ht="15" customHeight="1" thickBot="1">
      <c r="A24" s="234">
        <v>11</v>
      </c>
      <c r="B24" s="241" t="s">
        <v>456</v>
      </c>
      <c r="F24" s="243">
        <f>F20*F22</f>
        <v>-3562775.9</v>
      </c>
    </row>
    <row r="25" spans="1:6" ht="15" customHeight="1" thickTop="1">
      <c r="F25" s="244"/>
    </row>
    <row r="26" spans="1:6" ht="15" customHeight="1"/>
    <row r="27" spans="1:6" ht="15" customHeight="1"/>
    <row r="28" spans="1:6" ht="15" customHeight="1">
      <c r="A28" s="247"/>
      <c r="B28" s="248" t="s">
        <v>422</v>
      </c>
      <c r="C28" s="1"/>
      <c r="D28" s="1"/>
      <c r="E28" s="1"/>
      <c r="F28" s="1"/>
    </row>
    <row r="29" spans="1:6" ht="15" customHeight="1">
      <c r="A29" s="247">
        <v>12</v>
      </c>
      <c r="B29" s="236" t="s">
        <v>959</v>
      </c>
      <c r="C29" s="1"/>
      <c r="D29" s="249" t="s">
        <v>423</v>
      </c>
      <c r="E29" s="1"/>
      <c r="F29" s="245">
        <f>-F20</f>
        <v>3562775.9</v>
      </c>
    </row>
    <row r="30" spans="1:6" ht="15" customHeight="1">
      <c r="A30" s="247">
        <v>13</v>
      </c>
      <c r="B30" s="236" t="s">
        <v>424</v>
      </c>
      <c r="C30" s="1"/>
      <c r="D30" s="249" t="s">
        <v>17</v>
      </c>
      <c r="E30" s="1"/>
      <c r="F30" s="245">
        <v>11027802.960000001</v>
      </c>
    </row>
    <row r="31" spans="1:6" ht="15" customHeight="1">
      <c r="A31" s="247">
        <v>14</v>
      </c>
      <c r="B31" s="236" t="s">
        <v>635</v>
      </c>
      <c r="C31" s="1"/>
      <c r="D31" s="249" t="s">
        <v>17</v>
      </c>
      <c r="E31" s="1"/>
      <c r="F31" s="245">
        <v>2506318</v>
      </c>
    </row>
    <row r="32" spans="1:6" ht="15" customHeight="1">
      <c r="A32" s="247">
        <v>15</v>
      </c>
      <c r="B32" s="236" t="s">
        <v>636</v>
      </c>
      <c r="C32" s="1"/>
      <c r="D32" s="249" t="s">
        <v>17</v>
      </c>
      <c r="E32" s="1"/>
      <c r="F32" s="238">
        <v>-325449.59999999998</v>
      </c>
    </row>
    <row r="33" spans="1:6" ht="15" customHeight="1">
      <c r="A33" s="247">
        <v>16</v>
      </c>
      <c r="B33" s="236" t="s">
        <v>637</v>
      </c>
      <c r="C33" s="1"/>
      <c r="D33" s="1"/>
      <c r="E33" s="1"/>
      <c r="F33" s="250">
        <f>SUM(F29:F32)</f>
        <v>16771447.26</v>
      </c>
    </row>
    <row r="34" spans="1:6" ht="15" customHeight="1">
      <c r="A34" s="1"/>
      <c r="B34" s="1"/>
      <c r="C34" s="1"/>
      <c r="D34" s="1"/>
      <c r="E34" s="1"/>
      <c r="F34" s="251"/>
    </row>
    <row r="35" spans="1:6" ht="15" customHeight="1">
      <c r="A35" s="247">
        <v>17</v>
      </c>
      <c r="B35" s="252" t="s">
        <v>638</v>
      </c>
      <c r="C35" s="1"/>
      <c r="D35" s="249" t="str">
        <f>D8</f>
        <v>440-444</v>
      </c>
      <c r="E35" s="1"/>
      <c r="F35" s="250">
        <f>F10</f>
        <v>-16771447.26</v>
      </c>
    </row>
    <row r="36" spans="1:6" ht="15" customHeight="1">
      <c r="A36" s="1"/>
      <c r="B36" s="1"/>
      <c r="C36" s="1"/>
      <c r="D36" s="1"/>
      <c r="E36" s="1"/>
      <c r="F36" s="251"/>
    </row>
    <row r="37" spans="1:6" ht="15" customHeight="1">
      <c r="A37" s="247">
        <v>18</v>
      </c>
      <c r="B37" s="252" t="s">
        <v>425</v>
      </c>
      <c r="C37" s="1"/>
      <c r="D37" s="1"/>
      <c r="E37" s="1"/>
      <c r="F37" s="253">
        <f>F33+F35</f>
        <v>0</v>
      </c>
    </row>
    <row r="38" spans="1:6" ht="15" customHeight="1">
      <c r="A38" s="1"/>
      <c r="B38" s="1"/>
      <c r="C38" s="1"/>
      <c r="D38" s="1"/>
      <c r="E38" s="1"/>
      <c r="F38" s="254"/>
    </row>
    <row r="39" spans="1:6" ht="15" customHeight="1">
      <c r="A39" s="255" t="s">
        <v>33</v>
      </c>
      <c r="B39" s="256" t="s">
        <v>590</v>
      </c>
      <c r="C39" s="1"/>
      <c r="D39" s="1"/>
      <c r="E39" s="1"/>
      <c r="F39" s="132"/>
    </row>
    <row r="40" spans="1:6" ht="15" customHeight="1">
      <c r="A40" s="234"/>
      <c r="B40" s="236"/>
      <c r="C40" s="236"/>
      <c r="D40" s="233"/>
      <c r="E40" s="236"/>
      <c r="F40" s="257"/>
    </row>
    <row r="41" spans="1:6" ht="15" customHeight="1">
      <c r="B41" s="236"/>
      <c r="C41" s="236"/>
      <c r="D41" s="236"/>
      <c r="E41" s="236"/>
      <c r="F41" s="258"/>
    </row>
    <row r="42" spans="1:6" ht="15" customHeight="1">
      <c r="A42" s="234"/>
      <c r="B42" s="236"/>
      <c r="F42" s="257"/>
    </row>
    <row r="43" spans="1:6" ht="15" customHeight="1">
      <c r="F43" s="258"/>
    </row>
    <row r="44" spans="1:6" ht="15" customHeight="1">
      <c r="A44" s="259"/>
      <c r="B44" s="260"/>
      <c r="F44" s="261"/>
    </row>
    <row r="45" spans="1:6" ht="15" customHeight="1"/>
  </sheetData>
  <mergeCells count="4">
    <mergeCell ref="A1:F1"/>
    <mergeCell ref="A2:F2"/>
    <mergeCell ref="A3:F3"/>
    <mergeCell ref="A4:F4"/>
  </mergeCells>
  <pageMargins left="0.75" right="0.75" top="1" bottom="1" header="0.5" footer="0.5"/>
  <pageSetup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E563-5629-4B4A-A334-3B09B7D0A8E8}">
  <dimension ref="A1:F32"/>
  <sheetViews>
    <sheetView zoomScale="110" zoomScaleNormal="110" workbookViewId="0">
      <pane xSplit="6" topLeftCell="G1" activePane="topRight" state="frozen"/>
      <selection sqref="A1:L1"/>
      <selection pane="topRight" activeCell="B32" sqref="B32"/>
    </sheetView>
  </sheetViews>
  <sheetFormatPr defaultColWidth="13.7265625" defaultRowHeight="13"/>
  <cols>
    <col min="1" max="1" width="8.453125" style="172" customWidth="1"/>
    <col min="2" max="2" width="67.26953125" style="172" customWidth="1"/>
    <col min="3" max="3" width="2.54296875" style="172" customWidth="1"/>
    <col min="4" max="4" width="10.453125" style="172" customWidth="1"/>
    <col min="5" max="5" width="2.54296875" style="172" customWidth="1"/>
    <col min="6" max="16384" width="13.7265625" style="172"/>
  </cols>
  <sheetData>
    <row r="1" spans="1:6" ht="14.15" customHeight="1"/>
    <row r="2" spans="1:6" ht="16.75" customHeight="1">
      <c r="A2" s="844" t="s">
        <v>0</v>
      </c>
      <c r="B2" s="845"/>
      <c r="C2" s="845"/>
      <c r="D2" s="845"/>
      <c r="E2" s="845"/>
      <c r="F2" s="845"/>
    </row>
    <row r="3" spans="1:6" ht="16.75" customHeight="1">
      <c r="A3" s="844" t="s">
        <v>360</v>
      </c>
      <c r="B3" s="845"/>
      <c r="C3" s="845"/>
      <c r="D3" s="845"/>
      <c r="E3" s="845"/>
      <c r="F3" s="845"/>
    </row>
    <row r="4" spans="1:6" ht="16.75" customHeight="1">
      <c r="A4" s="844" t="s">
        <v>591</v>
      </c>
      <c r="B4" s="845"/>
      <c r="C4" s="845"/>
      <c r="D4" s="845"/>
      <c r="E4" s="845"/>
      <c r="F4" s="845"/>
    </row>
    <row r="5" spans="1:6" ht="16.75" customHeight="1">
      <c r="A5" s="844" t="s">
        <v>47</v>
      </c>
      <c r="B5" s="845"/>
      <c r="C5" s="845"/>
      <c r="D5" s="845"/>
      <c r="E5" s="845"/>
      <c r="F5" s="845"/>
    </row>
    <row r="6" spans="1:6" ht="14.15" customHeight="1"/>
    <row r="7" spans="1:6" ht="39.25" customHeight="1">
      <c r="A7" s="173" t="s">
        <v>10</v>
      </c>
      <c r="B7" s="173" t="s">
        <v>11</v>
      </c>
      <c r="D7" s="173" t="s">
        <v>12</v>
      </c>
      <c r="F7" s="173" t="s">
        <v>13</v>
      </c>
    </row>
    <row r="8" spans="1:6" ht="15" customHeight="1"/>
    <row r="9" spans="1:6" ht="16.75" customHeight="1">
      <c r="A9" s="188"/>
      <c r="B9" s="262" t="s">
        <v>41</v>
      </c>
    </row>
    <row r="10" spans="1:6" ht="16.75" customHeight="1">
      <c r="A10" s="188">
        <f>1+A9</f>
        <v>1</v>
      </c>
      <c r="B10" s="263" t="s">
        <v>426</v>
      </c>
      <c r="F10" s="264">
        <v>-529138</v>
      </c>
    </row>
    <row r="11" spans="1:6" ht="16.75" customHeight="1">
      <c r="A11" s="188">
        <f>1+A10</f>
        <v>2</v>
      </c>
      <c r="B11" s="263" t="s">
        <v>427</v>
      </c>
      <c r="F11" s="264">
        <v>-6493.98</v>
      </c>
    </row>
    <row r="12" spans="1:6" ht="16.75" customHeight="1">
      <c r="A12" s="188">
        <f>1+A11</f>
        <v>3</v>
      </c>
      <c r="B12" s="263" t="s">
        <v>42</v>
      </c>
      <c r="F12" s="264">
        <v>-37957.980000000003</v>
      </c>
    </row>
    <row r="13" spans="1:6" ht="15" customHeight="1">
      <c r="A13" s="188">
        <f>1+A12</f>
        <v>4</v>
      </c>
      <c r="B13" s="172" t="s">
        <v>428</v>
      </c>
      <c r="D13" s="178" t="s">
        <v>43</v>
      </c>
      <c r="F13" s="264">
        <f>SUM(F10:F12)</f>
        <v>-573589.96</v>
      </c>
    </row>
    <row r="14" spans="1:6" ht="15" customHeight="1"/>
    <row r="15" spans="1:6" ht="16.75" customHeight="1">
      <c r="A15" s="174">
        <f>1+A13</f>
        <v>5</v>
      </c>
      <c r="B15" s="175" t="s">
        <v>35</v>
      </c>
      <c r="F15" s="265">
        <v>1</v>
      </c>
    </row>
    <row r="16" spans="1:6" ht="15" customHeight="1"/>
    <row r="17" spans="1:6" ht="16.75" customHeight="1" thickBot="1">
      <c r="A17" s="174">
        <f>A15+1</f>
        <v>6</v>
      </c>
      <c r="B17" s="175" t="s">
        <v>48</v>
      </c>
      <c r="F17" s="266">
        <f>ROUND(F13*F15,0)</f>
        <v>-573590</v>
      </c>
    </row>
    <row r="18" spans="1:6" ht="14.15" customHeight="1" thickTop="1">
      <c r="F18" s="267"/>
    </row>
    <row r="19" spans="1:6" ht="14.15" customHeight="1"/>
    <row r="20" spans="1:6" ht="16.75" customHeight="1">
      <c r="A20" s="174"/>
      <c r="B20" s="262" t="s">
        <v>45</v>
      </c>
    </row>
    <row r="21" spans="1:6" ht="16.75" customHeight="1">
      <c r="A21" s="188">
        <v>7</v>
      </c>
      <c r="B21" s="268" t="s">
        <v>429</v>
      </c>
      <c r="F21" s="269">
        <v>-515763.12</v>
      </c>
    </row>
    <row r="22" spans="1:6" ht="16.75" customHeight="1">
      <c r="A22" s="188">
        <f>1+A21</f>
        <v>8</v>
      </c>
      <c r="B22" s="268" t="s">
        <v>430</v>
      </c>
      <c r="F22" s="269">
        <v>-276014.08000000002</v>
      </c>
    </row>
    <row r="23" spans="1:6" ht="16.75" customHeight="1">
      <c r="A23" s="188">
        <f>1+A22</f>
        <v>9</v>
      </c>
      <c r="B23" s="268" t="s">
        <v>431</v>
      </c>
      <c r="F23" s="269">
        <v>276014.08000000002</v>
      </c>
    </row>
    <row r="24" spans="1:6" ht="16.75" customHeight="1">
      <c r="A24" s="188">
        <f>1+A23</f>
        <v>10</v>
      </c>
      <c r="B24" s="270" t="s">
        <v>432</v>
      </c>
      <c r="D24" s="188" t="s">
        <v>46</v>
      </c>
      <c r="F24" s="271">
        <f>SUM(F21:F23)</f>
        <v>-515763.11999999994</v>
      </c>
    </row>
    <row r="25" spans="1:6" ht="15" customHeight="1"/>
    <row r="26" spans="1:6" ht="16.75" customHeight="1">
      <c r="A26" s="174">
        <f>1+A24</f>
        <v>11</v>
      </c>
      <c r="B26" s="175" t="s">
        <v>35</v>
      </c>
      <c r="F26" s="265">
        <v>1</v>
      </c>
    </row>
    <row r="27" spans="1:6" ht="15" customHeight="1"/>
    <row r="28" spans="1:6" ht="16.75" customHeight="1" thickBot="1">
      <c r="A28" s="174">
        <f>A26+1</f>
        <v>12</v>
      </c>
      <c r="B28" s="175" t="s">
        <v>933</v>
      </c>
      <c r="F28" s="266">
        <f>ROUND(F24*F26,0)</f>
        <v>-515763</v>
      </c>
    </row>
    <row r="29" spans="1:6" ht="15" customHeight="1" thickTop="1">
      <c r="F29" s="272"/>
    </row>
    <row r="30" spans="1:6" ht="14.15" customHeight="1"/>
    <row r="31" spans="1:6" ht="14.15" customHeight="1">
      <c r="A31" s="183" t="s">
        <v>33</v>
      </c>
      <c r="B31" s="273" t="s">
        <v>590</v>
      </c>
    </row>
    <row r="32" spans="1:6" ht="14.15" customHeight="1"/>
  </sheetData>
  <mergeCells count="4">
    <mergeCell ref="A2:F2"/>
    <mergeCell ref="A3:F3"/>
    <mergeCell ref="A4:F4"/>
    <mergeCell ref="A5:F5"/>
  </mergeCells>
  <pageMargins left="0.75" right="0.75" top="1" bottom="1" header="0.5" footer="0.5"/>
  <pageSetup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2E88-0F85-4ED9-BEE1-78A8D62A30AD}">
  <dimension ref="A1:F21"/>
  <sheetViews>
    <sheetView showRuler="0" zoomScale="120" zoomScaleNormal="120" workbookViewId="0">
      <selection activeCell="B14" sqref="B14"/>
    </sheetView>
  </sheetViews>
  <sheetFormatPr defaultColWidth="13.7265625" defaultRowHeight="13"/>
  <cols>
    <col min="1" max="1" width="8.453125" style="172" customWidth="1"/>
    <col min="2" max="2" width="59.54296875" style="172" customWidth="1"/>
    <col min="3" max="3" width="2.453125" style="172" customWidth="1"/>
    <col min="4" max="4" width="8.453125" style="172" customWidth="1"/>
    <col min="5" max="5" width="2.453125" style="172" customWidth="1"/>
    <col min="6" max="6" width="23.7265625" style="172" customWidth="1"/>
    <col min="7" max="16384" width="13.7265625" style="172"/>
  </cols>
  <sheetData>
    <row r="1" spans="1:6" ht="14.15" customHeight="1"/>
    <row r="2" spans="1:6" ht="16.75" customHeight="1">
      <c r="A2" s="844" t="s">
        <v>0</v>
      </c>
      <c r="B2" s="845"/>
      <c r="C2" s="845"/>
      <c r="D2" s="845"/>
      <c r="E2" s="845"/>
      <c r="F2" s="845"/>
    </row>
    <row r="3" spans="1:6" ht="16.75" customHeight="1">
      <c r="A3" s="844" t="s">
        <v>361</v>
      </c>
      <c r="B3" s="845"/>
      <c r="C3" s="845"/>
      <c r="D3" s="845"/>
      <c r="E3" s="845"/>
      <c r="F3" s="845"/>
    </row>
    <row r="4" spans="1:6" ht="16.75" customHeight="1">
      <c r="A4" s="844" t="s">
        <v>591</v>
      </c>
      <c r="B4" s="845"/>
      <c r="C4" s="845"/>
      <c r="D4" s="845"/>
      <c r="E4" s="845"/>
      <c r="F4" s="845"/>
    </row>
    <row r="5" spans="1:6" ht="16.75" customHeight="1">
      <c r="A5" s="844" t="s">
        <v>510</v>
      </c>
      <c r="B5" s="845"/>
      <c r="C5" s="845"/>
      <c r="D5" s="845"/>
      <c r="E5" s="845"/>
      <c r="F5" s="845"/>
    </row>
    <row r="6" spans="1:6" ht="14.15" customHeight="1"/>
    <row r="7" spans="1:6" ht="14.15" customHeight="1"/>
    <row r="8" spans="1:6" ht="42.65" customHeight="1">
      <c r="A8" s="173" t="s">
        <v>10</v>
      </c>
      <c r="B8" s="173" t="s">
        <v>11</v>
      </c>
      <c r="D8" s="173" t="s">
        <v>12</v>
      </c>
      <c r="F8" s="173" t="s">
        <v>13</v>
      </c>
    </row>
    <row r="9" spans="1:6" ht="15" customHeight="1"/>
    <row r="10" spans="1:6" ht="16.75" customHeight="1">
      <c r="A10" s="174">
        <v>1</v>
      </c>
      <c r="B10" s="175" t="s">
        <v>362</v>
      </c>
      <c r="D10" s="183" t="s">
        <v>17</v>
      </c>
      <c r="F10" s="189">
        <v>-628079.1</v>
      </c>
    </row>
    <row r="11" spans="1:6" ht="16.75" customHeight="1">
      <c r="A11" s="174">
        <f>A10+1</f>
        <v>2</v>
      </c>
      <c r="B11" s="175" t="s">
        <v>35</v>
      </c>
      <c r="D11" s="178"/>
      <c r="F11" s="274">
        <v>1</v>
      </c>
    </row>
    <row r="12" spans="1:6" ht="16.75" customHeight="1" thickBot="1">
      <c r="A12" s="174">
        <f>+A11+1</f>
        <v>3</v>
      </c>
      <c r="B12" s="175" t="s">
        <v>934</v>
      </c>
      <c r="D12" s="178"/>
      <c r="F12" s="275">
        <f>F10*F11</f>
        <v>-628079.1</v>
      </c>
    </row>
    <row r="13" spans="1:6" ht="15" customHeight="1" thickTop="1">
      <c r="D13" s="178"/>
      <c r="F13" s="272"/>
    </row>
    <row r="14" spans="1:6" ht="16.75" customHeight="1">
      <c r="A14" s="174">
        <f>A12+1</f>
        <v>4</v>
      </c>
      <c r="B14" s="175" t="s">
        <v>363</v>
      </c>
      <c r="D14" s="174" t="s">
        <v>46</v>
      </c>
      <c r="F14" s="189">
        <v>-628079.1</v>
      </c>
    </row>
    <row r="15" spans="1:6" ht="16.75" customHeight="1">
      <c r="A15" s="174">
        <f>A14+1</f>
        <v>5</v>
      </c>
      <c r="B15" s="175" t="s">
        <v>35</v>
      </c>
      <c r="F15" s="274">
        <v>1</v>
      </c>
    </row>
    <row r="16" spans="1:6" ht="16.75" customHeight="1" thickBot="1">
      <c r="A16" s="174">
        <f>+A15+1</f>
        <v>6</v>
      </c>
      <c r="B16" s="175" t="s">
        <v>48</v>
      </c>
      <c r="F16" s="275">
        <f>F14*F15</f>
        <v>-628079.1</v>
      </c>
    </row>
    <row r="17" spans="1:6" ht="15" customHeight="1" thickTop="1">
      <c r="F17" s="272"/>
    </row>
    <row r="18" spans="1:6" ht="14.15" customHeight="1"/>
    <row r="19" spans="1:6" ht="16.75" customHeight="1">
      <c r="A19" s="193" t="s">
        <v>33</v>
      </c>
      <c r="B19" s="194" t="s">
        <v>590</v>
      </c>
    </row>
    <row r="20" spans="1:6" ht="14.15" customHeight="1"/>
    <row r="21" spans="1:6" ht="14.15" customHeight="1"/>
  </sheetData>
  <mergeCells count="4">
    <mergeCell ref="A2:F2"/>
    <mergeCell ref="A3:F3"/>
    <mergeCell ref="A4:F4"/>
    <mergeCell ref="A5:F5"/>
  </mergeCells>
  <pageMargins left="0.75" right="0.75" top="1" bottom="1" header="0.5" footer="0.5"/>
  <pageSetup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C029-AC79-4A55-9302-71CE0395200B}">
  <dimension ref="A1:F22"/>
  <sheetViews>
    <sheetView showRuler="0" zoomScale="120" zoomScaleNormal="120" workbookViewId="0">
      <selection activeCell="B11" sqref="B11"/>
    </sheetView>
  </sheetViews>
  <sheetFormatPr defaultColWidth="13.7265625" defaultRowHeight="13"/>
  <cols>
    <col min="1" max="1" width="8.453125" style="172" customWidth="1"/>
    <col min="2" max="2" width="48.26953125" style="172" customWidth="1"/>
    <col min="3" max="3" width="3.453125" style="172" customWidth="1"/>
    <col min="4" max="4" width="9.1796875" style="172" customWidth="1"/>
    <col min="5" max="5" width="3.453125" style="172" customWidth="1"/>
    <col min="6" max="6" width="14.1796875" style="172" customWidth="1"/>
    <col min="7" max="7" width="13.81640625" style="172" customWidth="1"/>
    <col min="8" max="16384" width="13.7265625" style="172"/>
  </cols>
  <sheetData>
    <row r="1" spans="1:6" ht="14.15" customHeight="1"/>
    <row r="2" spans="1:6" ht="14.15" customHeight="1">
      <c r="A2" s="844" t="s">
        <v>0</v>
      </c>
      <c r="B2" s="845"/>
      <c r="C2" s="845"/>
      <c r="D2" s="845"/>
      <c r="E2" s="845"/>
      <c r="F2" s="845"/>
    </row>
    <row r="3" spans="1:6" ht="15" customHeight="1">
      <c r="A3" s="844" t="s">
        <v>364</v>
      </c>
      <c r="B3" s="845"/>
      <c r="C3" s="845"/>
      <c r="D3" s="845"/>
      <c r="E3" s="845"/>
      <c r="F3" s="845"/>
    </row>
    <row r="4" spans="1:6" ht="14.15" customHeight="1">
      <c r="A4" s="844" t="s">
        <v>591</v>
      </c>
      <c r="B4" s="845"/>
      <c r="C4" s="845"/>
      <c r="D4" s="845"/>
      <c r="E4" s="845"/>
      <c r="F4" s="845"/>
    </row>
    <row r="5" spans="1:6" ht="14.15" customHeight="1">
      <c r="A5" s="844" t="s">
        <v>511</v>
      </c>
      <c r="B5" s="845"/>
      <c r="C5" s="845"/>
      <c r="D5" s="845"/>
      <c r="E5" s="845"/>
      <c r="F5" s="845"/>
    </row>
    <row r="6" spans="1:6" ht="14.15" customHeight="1"/>
    <row r="7" spans="1:6" ht="39.25" customHeight="1">
      <c r="A7" s="173" t="s">
        <v>10</v>
      </c>
      <c r="B7" s="173" t="s">
        <v>11</v>
      </c>
      <c r="D7" s="173" t="s">
        <v>12</v>
      </c>
      <c r="F7" s="173" t="s">
        <v>13</v>
      </c>
    </row>
    <row r="8" spans="1:6" ht="14.15" customHeight="1"/>
    <row r="9" spans="1:6" ht="29.15" customHeight="1">
      <c r="A9" s="174">
        <v>1</v>
      </c>
      <c r="B9" s="175" t="s">
        <v>365</v>
      </c>
      <c r="D9" s="183" t="s">
        <v>17</v>
      </c>
      <c r="F9" s="189">
        <v>-373893.79</v>
      </c>
    </row>
    <row r="10" spans="1:6" ht="14.15" customHeight="1">
      <c r="A10" s="174">
        <f>A9+1</f>
        <v>2</v>
      </c>
      <c r="B10" s="175" t="s">
        <v>35</v>
      </c>
      <c r="F10" s="274">
        <v>1</v>
      </c>
    </row>
    <row r="11" spans="1:6" ht="15" customHeight="1" thickBot="1">
      <c r="A11" s="174">
        <f>A10+1</f>
        <v>3</v>
      </c>
      <c r="B11" s="175" t="s">
        <v>49</v>
      </c>
      <c r="F11" s="275">
        <f>F9*F10</f>
        <v>-373893.79</v>
      </c>
    </row>
    <row r="12" spans="1:6" ht="15" customHeight="1" thickTop="1">
      <c r="F12" s="267"/>
    </row>
    <row r="13" spans="1:6" ht="14.15" customHeight="1"/>
    <row r="14" spans="1:6" ht="14.15" customHeight="1"/>
    <row r="15" spans="1:6" ht="29.15" customHeight="1">
      <c r="A15" s="174">
        <f>A11+1</f>
        <v>4</v>
      </c>
      <c r="B15" s="175" t="s">
        <v>366</v>
      </c>
      <c r="D15" s="174">
        <v>908</v>
      </c>
      <c r="F15" s="189">
        <v>-373893.79</v>
      </c>
    </row>
    <row r="16" spans="1:6" ht="14.15" customHeight="1">
      <c r="A16" s="174">
        <f>A15+1</f>
        <v>5</v>
      </c>
      <c r="B16" s="175" t="s">
        <v>35</v>
      </c>
      <c r="F16" s="274">
        <v>1</v>
      </c>
    </row>
    <row r="17" spans="1:6" ht="15" customHeight="1" thickBot="1">
      <c r="A17" s="174">
        <f>+A16+1</f>
        <v>6</v>
      </c>
      <c r="B17" s="175" t="s">
        <v>48</v>
      </c>
      <c r="F17" s="275">
        <f>F15*F16</f>
        <v>-373893.79</v>
      </c>
    </row>
    <row r="18" spans="1:6" ht="15" customHeight="1" thickTop="1">
      <c r="F18" s="272"/>
    </row>
    <row r="19" spans="1:6" ht="14.15" customHeight="1"/>
    <row r="20" spans="1:6" ht="14.15" customHeight="1">
      <c r="A20" s="183" t="s">
        <v>33</v>
      </c>
      <c r="B20" s="273" t="s">
        <v>590</v>
      </c>
    </row>
    <row r="21" spans="1:6" ht="14.15" customHeight="1"/>
    <row r="22" spans="1:6" ht="14.15" customHeight="1"/>
  </sheetData>
  <mergeCells count="4">
    <mergeCell ref="A2:F2"/>
    <mergeCell ref="A3:F3"/>
    <mergeCell ref="A4:F4"/>
    <mergeCell ref="A5:F5"/>
  </mergeCell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D828-4DA7-4D8F-9E38-2DB591A6022A}">
  <dimension ref="A1:J15"/>
  <sheetViews>
    <sheetView zoomScaleNormal="100" workbookViewId="0">
      <selection activeCell="H18" sqref="H18"/>
    </sheetView>
  </sheetViews>
  <sheetFormatPr defaultColWidth="9.1796875" defaultRowHeight="13"/>
  <cols>
    <col min="1" max="2" width="9.1796875" style="1"/>
    <col min="3" max="3" width="30.54296875" style="1" bestFit="1" customWidth="1"/>
    <col min="4" max="4" width="9.1796875" style="1"/>
    <col min="5" max="5" width="13.7265625" style="1" customWidth="1"/>
    <col min="6" max="6" width="9.1796875" style="1"/>
    <col min="7" max="7" width="13.26953125" style="1" customWidth="1"/>
    <col min="8" max="8" width="13" style="1" customWidth="1"/>
    <col min="9" max="9" width="18.7265625" style="132" customWidth="1"/>
    <col min="10" max="10" width="9.1796875" style="1"/>
    <col min="11" max="11" width="14" style="1" customWidth="1"/>
    <col min="12" max="16384" width="9.1796875" style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22"/>
      <c r="J1" s="115"/>
    </row>
    <row r="2" spans="1:10">
      <c r="A2" s="115"/>
      <c r="B2" s="835" t="s">
        <v>0</v>
      </c>
      <c r="C2" s="835"/>
      <c r="D2" s="835"/>
      <c r="E2" s="835"/>
      <c r="F2" s="835"/>
      <c r="G2" s="835"/>
      <c r="H2" s="835"/>
      <c r="I2" s="835"/>
      <c r="J2" s="115"/>
    </row>
    <row r="3" spans="1:10">
      <c r="A3" s="115"/>
      <c r="B3" s="836" t="s">
        <v>347</v>
      </c>
      <c r="C3" s="836"/>
      <c r="D3" s="836"/>
      <c r="E3" s="836"/>
      <c r="F3" s="836"/>
      <c r="G3" s="836"/>
      <c r="H3" s="836"/>
      <c r="I3" s="836"/>
      <c r="J3" s="115"/>
    </row>
    <row r="4" spans="1:10">
      <c r="A4" s="115"/>
      <c r="B4" s="835" t="s">
        <v>588</v>
      </c>
      <c r="C4" s="835"/>
      <c r="D4" s="835"/>
      <c r="E4" s="835"/>
      <c r="F4" s="835"/>
      <c r="G4" s="835"/>
      <c r="H4" s="835"/>
      <c r="I4" s="835"/>
      <c r="J4" s="115"/>
    </row>
    <row r="5" spans="1:10">
      <c r="B5" s="835" t="s">
        <v>904</v>
      </c>
      <c r="C5" s="835"/>
      <c r="D5" s="835"/>
      <c r="E5" s="835"/>
      <c r="F5" s="835"/>
      <c r="G5" s="835"/>
      <c r="H5" s="835"/>
      <c r="I5" s="835"/>
    </row>
    <row r="7" spans="1:10" ht="52">
      <c r="A7" s="116" t="s">
        <v>1</v>
      </c>
      <c r="B7" s="837" t="s">
        <v>2</v>
      </c>
      <c r="C7" s="837"/>
      <c r="D7" s="837"/>
      <c r="E7" s="116" t="s">
        <v>3</v>
      </c>
      <c r="F7" s="116"/>
      <c r="G7" s="116" t="s">
        <v>4</v>
      </c>
      <c r="H7" s="116" t="s">
        <v>5</v>
      </c>
      <c r="I7" s="116" t="s">
        <v>6</v>
      </c>
      <c r="J7" s="115"/>
    </row>
    <row r="8" spans="1:10">
      <c r="A8" s="117"/>
      <c r="B8" s="117"/>
      <c r="C8" s="117"/>
      <c r="D8" s="115"/>
      <c r="E8" s="118"/>
      <c r="F8" s="119"/>
      <c r="G8" s="119"/>
      <c r="H8" s="119"/>
      <c r="I8" s="120"/>
      <c r="J8" s="115"/>
    </row>
    <row r="9" spans="1:10">
      <c r="A9" s="115"/>
      <c r="B9" s="115"/>
      <c r="C9" s="115"/>
      <c r="D9" s="115"/>
      <c r="E9" s="121"/>
      <c r="F9" s="115"/>
      <c r="G9" s="115"/>
      <c r="H9" s="115"/>
      <c r="I9" s="122"/>
      <c r="J9" s="115"/>
    </row>
    <row r="10" spans="1:10">
      <c r="A10" s="115"/>
      <c r="B10" s="123" t="s">
        <v>249</v>
      </c>
      <c r="C10" s="123"/>
      <c r="D10" s="115"/>
      <c r="G10" s="115"/>
      <c r="H10" s="115"/>
      <c r="I10" s="124"/>
      <c r="J10" s="115"/>
    </row>
    <row r="11" spans="1:10" ht="13.5" thickBot="1">
      <c r="A11" s="117">
        <v>1</v>
      </c>
      <c r="B11" s="115" t="s">
        <v>7</v>
      </c>
      <c r="C11" s="115" t="s">
        <v>326</v>
      </c>
      <c r="D11" s="115"/>
      <c r="E11" s="121">
        <f>-2908255.86482087+-867856.0605</f>
        <v>-3776111.9253208702</v>
      </c>
      <c r="G11" s="115" t="s">
        <v>8</v>
      </c>
      <c r="H11" s="130">
        <v>1</v>
      </c>
      <c r="I11" s="276">
        <f>E11</f>
        <v>-3776111.9253208702</v>
      </c>
      <c r="J11" s="126" t="s">
        <v>251</v>
      </c>
    </row>
    <row r="12" spans="1:10" ht="13.5" thickTop="1">
      <c r="A12" s="14"/>
      <c r="B12" s="115"/>
      <c r="C12" s="115"/>
      <c r="D12" s="115"/>
      <c r="E12" s="131"/>
      <c r="G12" s="115"/>
      <c r="H12" s="130"/>
      <c r="I12" s="124"/>
      <c r="J12" s="126"/>
    </row>
    <row r="13" spans="1:10" ht="13.5" thickBot="1">
      <c r="A13" s="14">
        <v>2</v>
      </c>
      <c r="B13" s="277">
        <v>555</v>
      </c>
      <c r="C13" s="115" t="s">
        <v>345</v>
      </c>
      <c r="D13" s="115"/>
      <c r="E13" s="131">
        <v>-1596917.7332181961</v>
      </c>
      <c r="G13" s="115" t="s">
        <v>8</v>
      </c>
      <c r="H13" s="130">
        <v>1</v>
      </c>
      <c r="I13" s="276">
        <f t="shared" ref="I13" si="0">E13</f>
        <v>-1596917.7332181961</v>
      </c>
      <c r="J13" s="126" t="s">
        <v>346</v>
      </c>
    </row>
    <row r="14" spans="1:10" ht="13.5" thickTop="1"/>
    <row r="15" spans="1:10">
      <c r="A15" s="1" t="s">
        <v>724</v>
      </c>
    </row>
  </sheetData>
  <mergeCells count="5">
    <mergeCell ref="B7:D7"/>
    <mergeCell ref="B3:I3"/>
    <mergeCell ref="B4:I4"/>
    <mergeCell ref="B5:I5"/>
    <mergeCell ref="B2:I2"/>
  </mergeCells>
  <pageMargins left="0.7" right="0.7" top="0.75" bottom="0.75" header="0.3" footer="0.3"/>
  <pageSetup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49C6-AE8B-4CB3-A0D4-54426CF1A84B}">
  <sheetPr>
    <pageSetUpPr fitToPage="1"/>
  </sheetPr>
  <dimension ref="A1:J15"/>
  <sheetViews>
    <sheetView zoomScaleNormal="100" workbookViewId="0">
      <selection activeCell="F19" sqref="F19"/>
    </sheetView>
  </sheetViews>
  <sheetFormatPr defaultColWidth="9.1796875" defaultRowHeight="13"/>
  <cols>
    <col min="1" max="2" width="9.1796875" style="1"/>
    <col min="3" max="3" width="30.54296875" style="1" bestFit="1" customWidth="1"/>
    <col min="4" max="4" width="9.1796875" style="1"/>
    <col min="5" max="5" width="14.453125" style="1" customWidth="1"/>
    <col min="6" max="6" width="9.1796875" style="1"/>
    <col min="7" max="7" width="13.26953125" style="1" customWidth="1"/>
    <col min="8" max="8" width="13" style="1" customWidth="1"/>
    <col min="9" max="9" width="18.7265625" style="132" customWidth="1"/>
    <col min="10" max="10" width="9.1796875" style="1"/>
    <col min="11" max="11" width="14" style="1" customWidth="1"/>
    <col min="12" max="16384" width="9.1796875" style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22"/>
      <c r="J1" s="115"/>
    </row>
    <row r="2" spans="1:10">
      <c r="A2" s="115"/>
      <c r="B2" s="835" t="s">
        <v>0</v>
      </c>
      <c r="C2" s="835"/>
      <c r="D2" s="835"/>
      <c r="E2" s="835"/>
      <c r="F2" s="835"/>
      <c r="G2" s="835"/>
      <c r="H2" s="835"/>
      <c r="I2" s="835"/>
      <c r="J2" s="115"/>
    </row>
    <row r="3" spans="1:10" ht="21.75" customHeight="1">
      <c r="A3" s="115"/>
      <c r="B3" s="835" t="s">
        <v>348</v>
      </c>
      <c r="C3" s="835"/>
      <c r="D3" s="835"/>
      <c r="E3" s="835"/>
      <c r="F3" s="835"/>
      <c r="G3" s="835"/>
      <c r="H3" s="835"/>
      <c r="I3" s="835"/>
      <c r="J3" s="115"/>
    </row>
    <row r="4" spans="1:10" ht="15" customHeight="1">
      <c r="A4" s="115"/>
      <c r="B4" s="836" t="s">
        <v>588</v>
      </c>
      <c r="C4" s="836"/>
      <c r="D4" s="836"/>
      <c r="E4" s="836"/>
      <c r="F4" s="836"/>
      <c r="G4" s="836"/>
      <c r="H4" s="836"/>
      <c r="I4" s="836"/>
      <c r="J4" s="115"/>
    </row>
    <row r="5" spans="1:10">
      <c r="B5" s="835" t="s">
        <v>758</v>
      </c>
      <c r="C5" s="835"/>
      <c r="D5" s="835"/>
      <c r="E5" s="835"/>
      <c r="F5" s="835"/>
      <c r="G5" s="835"/>
      <c r="H5" s="835"/>
      <c r="I5" s="835"/>
    </row>
    <row r="7" spans="1:10" ht="52">
      <c r="A7" s="116" t="s">
        <v>1</v>
      </c>
      <c r="B7" s="837" t="s">
        <v>2</v>
      </c>
      <c r="C7" s="837"/>
      <c r="D7" s="837"/>
      <c r="E7" s="116" t="s">
        <v>3</v>
      </c>
      <c r="F7" s="116"/>
      <c r="G7" s="116" t="s">
        <v>4</v>
      </c>
      <c r="H7" s="116" t="s">
        <v>5</v>
      </c>
      <c r="I7" s="116" t="s">
        <v>6</v>
      </c>
      <c r="J7" s="115"/>
    </row>
    <row r="8" spans="1:10">
      <c r="A8" s="117"/>
      <c r="B8" s="117"/>
      <c r="C8" s="117"/>
      <c r="D8" s="115"/>
      <c r="E8" s="118"/>
      <c r="F8" s="119"/>
      <c r="G8" s="119"/>
      <c r="H8" s="119"/>
      <c r="I8" s="120"/>
      <c r="J8" s="115"/>
    </row>
    <row r="9" spans="1:10">
      <c r="A9" s="115"/>
      <c r="B9" s="115"/>
      <c r="C9" s="115"/>
      <c r="D9" s="115"/>
      <c r="E9" s="121"/>
      <c r="F9" s="115"/>
      <c r="G9" s="115"/>
      <c r="H9" s="115"/>
      <c r="I9" s="122"/>
      <c r="J9" s="115"/>
    </row>
    <row r="10" spans="1:10">
      <c r="A10" s="115"/>
      <c r="B10" s="123" t="s">
        <v>249</v>
      </c>
      <c r="C10" s="123"/>
      <c r="D10" s="115"/>
      <c r="G10" s="115"/>
      <c r="H10" s="115"/>
      <c r="I10" s="124"/>
      <c r="J10" s="115"/>
    </row>
    <row r="11" spans="1:10" ht="13.5" thickBot="1">
      <c r="A11" s="1">
        <v>1</v>
      </c>
      <c r="B11" s="14" t="s">
        <v>7</v>
      </c>
      <c r="C11" s="1" t="s">
        <v>326</v>
      </c>
      <c r="E11" s="131">
        <v>-1012931.5356612798</v>
      </c>
      <c r="G11" s="1" t="s">
        <v>8</v>
      </c>
      <c r="H11" s="278">
        <v>1</v>
      </c>
      <c r="I11" s="276">
        <f>E11</f>
        <v>-1012931.5356612798</v>
      </c>
      <c r="J11" s="126" t="s">
        <v>251</v>
      </c>
    </row>
    <row r="12" spans="1:10" ht="13.5" thickTop="1">
      <c r="B12" s="14"/>
      <c r="E12" s="131"/>
      <c r="I12" s="124"/>
      <c r="J12" s="126"/>
    </row>
    <row r="13" spans="1:10" ht="13.5" thickBot="1">
      <c r="A13" s="1">
        <v>2</v>
      </c>
      <c r="B13" s="14">
        <v>555</v>
      </c>
      <c r="C13" s="1" t="s">
        <v>345</v>
      </c>
      <c r="E13" s="131">
        <v>-428368.74643115525</v>
      </c>
      <c r="G13" s="1" t="s">
        <v>8</v>
      </c>
      <c r="H13" s="278">
        <v>1</v>
      </c>
      <c r="I13" s="276">
        <f t="shared" ref="I13" si="0">E13</f>
        <v>-428368.74643115525</v>
      </c>
      <c r="J13" s="126" t="s">
        <v>346</v>
      </c>
    </row>
    <row r="14" spans="1:10" ht="13.5" thickTop="1"/>
    <row r="15" spans="1:10">
      <c r="A15" s="1" t="s">
        <v>724</v>
      </c>
    </row>
  </sheetData>
  <mergeCells count="5">
    <mergeCell ref="B7:D7"/>
    <mergeCell ref="B2:I2"/>
    <mergeCell ref="B3:I3"/>
    <mergeCell ref="B4:I4"/>
    <mergeCell ref="B5:I5"/>
  </mergeCells>
  <pageMargins left="0.7" right="0.7" top="0.75" bottom="0.75" header="0.3" footer="0.3"/>
  <pageSetup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4B0E-5A8F-49C0-B614-1CC2E46600E7}">
  <sheetPr>
    <pageSetUpPr fitToPage="1"/>
  </sheetPr>
  <dimension ref="A1:Y47"/>
  <sheetViews>
    <sheetView zoomScale="120" zoomScaleNormal="120" workbookViewId="0">
      <selection activeCell="E25" sqref="E25:E26"/>
    </sheetView>
  </sheetViews>
  <sheetFormatPr defaultColWidth="8.7265625" defaultRowHeight="13"/>
  <cols>
    <col min="1" max="2" width="8.7265625" style="89"/>
    <col min="3" max="3" width="34.81640625" style="89" customWidth="1"/>
    <col min="4" max="4" width="8.7265625" style="89"/>
    <col min="5" max="5" width="13.54296875" style="89" customWidth="1"/>
    <col min="6" max="6" width="3.81640625" style="89" customWidth="1"/>
    <col min="7" max="7" width="14.81640625" style="89" customWidth="1"/>
    <col min="8" max="8" width="13.54296875" style="89" customWidth="1"/>
    <col min="9" max="9" width="14.26953125" style="89" customWidth="1"/>
    <col min="10" max="25" width="8.7265625" style="145"/>
    <col min="26" max="16384" width="8.7265625" style="89"/>
  </cols>
  <sheetData>
    <row r="1" spans="1:13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3">
      <c r="A2" s="133"/>
      <c r="B2" s="839" t="s">
        <v>0</v>
      </c>
      <c r="C2" s="839"/>
      <c r="D2" s="839"/>
      <c r="E2" s="839"/>
      <c r="F2" s="839"/>
      <c r="G2" s="839"/>
      <c r="H2" s="839"/>
      <c r="I2" s="133"/>
      <c r="J2" s="133"/>
    </row>
    <row r="3" spans="1:13">
      <c r="A3" s="133"/>
      <c r="B3" s="840" t="s">
        <v>587</v>
      </c>
      <c r="C3" s="840"/>
      <c r="D3" s="840"/>
      <c r="E3" s="840"/>
      <c r="F3" s="840"/>
      <c r="G3" s="840"/>
      <c r="H3" s="840"/>
      <c r="I3" s="133"/>
      <c r="J3" s="133"/>
    </row>
    <row r="4" spans="1:13">
      <c r="A4" s="133"/>
      <c r="B4" s="839" t="s">
        <v>588</v>
      </c>
      <c r="C4" s="839"/>
      <c r="D4" s="839"/>
      <c r="E4" s="839"/>
      <c r="F4" s="839"/>
      <c r="G4" s="839"/>
      <c r="H4" s="839"/>
      <c r="I4" s="133"/>
      <c r="J4" s="133"/>
    </row>
    <row r="5" spans="1:13">
      <c r="A5" s="145"/>
      <c r="B5" s="835" t="s">
        <v>444</v>
      </c>
      <c r="C5" s="835"/>
      <c r="D5" s="835"/>
      <c r="E5" s="835"/>
      <c r="F5" s="835"/>
      <c r="G5" s="835"/>
      <c r="H5" s="835"/>
      <c r="I5" s="145"/>
    </row>
    <row r="6" spans="1:13">
      <c r="A6" s="145"/>
      <c r="B6" s="145"/>
      <c r="C6" s="145"/>
      <c r="D6" s="145"/>
      <c r="E6" s="145"/>
      <c r="F6" s="145"/>
      <c r="G6" s="145"/>
      <c r="H6" s="145"/>
      <c r="I6" s="145"/>
    </row>
    <row r="7" spans="1:13" ht="81.75" customHeight="1">
      <c r="A7" s="134" t="s">
        <v>1</v>
      </c>
      <c r="B7" s="841" t="s">
        <v>2</v>
      </c>
      <c r="C7" s="841"/>
      <c r="D7" s="841"/>
      <c r="E7" s="134" t="s">
        <v>763</v>
      </c>
      <c r="F7" s="134"/>
      <c r="G7" s="134" t="s">
        <v>4</v>
      </c>
      <c r="H7" s="134" t="s">
        <v>5</v>
      </c>
      <c r="I7" s="134" t="s">
        <v>6</v>
      </c>
      <c r="J7" s="133"/>
    </row>
    <row r="8" spans="1:13">
      <c r="A8" s="135"/>
      <c r="B8" s="135"/>
      <c r="C8" s="135"/>
      <c r="D8" s="133"/>
      <c r="E8" s="136"/>
      <c r="F8" s="136"/>
      <c r="G8" s="137"/>
      <c r="H8" s="137"/>
      <c r="I8" s="138"/>
      <c r="J8" s="133"/>
    </row>
    <row r="9" spans="1:13">
      <c r="A9" s="133"/>
      <c r="B9" s="133"/>
      <c r="C9" s="133"/>
      <c r="D9" s="133"/>
      <c r="E9" s="139"/>
      <c r="F9" s="139"/>
      <c r="G9" s="133"/>
      <c r="H9" s="133"/>
      <c r="I9" s="140"/>
      <c r="J9" s="133"/>
    </row>
    <row r="10" spans="1:13">
      <c r="A10" s="133"/>
      <c r="B10" s="141" t="s">
        <v>306</v>
      </c>
      <c r="C10" s="141"/>
      <c r="D10" s="133"/>
      <c r="E10" s="145"/>
      <c r="F10" s="145"/>
      <c r="G10" s="133"/>
      <c r="H10" s="133"/>
      <c r="I10" s="142"/>
      <c r="J10" s="133"/>
    </row>
    <row r="11" spans="1:13">
      <c r="A11" s="135">
        <v>1</v>
      </c>
      <c r="B11" s="145">
        <v>4561005</v>
      </c>
      <c r="C11" s="145" t="s">
        <v>307</v>
      </c>
      <c r="D11" s="133"/>
      <c r="E11" s="147">
        <v>163052.41539296508</v>
      </c>
      <c r="F11" s="147"/>
      <c r="G11" s="133" t="s">
        <v>8</v>
      </c>
      <c r="H11" s="143">
        <v>1</v>
      </c>
      <c r="I11" s="142">
        <f>+E11</f>
        <v>163052.41539296508</v>
      </c>
      <c r="J11" s="279" t="s">
        <v>308</v>
      </c>
      <c r="K11" s="281"/>
      <c r="L11" s="281"/>
      <c r="M11" s="281"/>
    </row>
    <row r="12" spans="1:13">
      <c r="A12" s="135">
        <v>2</v>
      </c>
      <c r="B12" s="145">
        <v>4561002</v>
      </c>
      <c r="C12" s="145" t="s">
        <v>309</v>
      </c>
      <c r="D12" s="133"/>
      <c r="E12" s="147">
        <v>0</v>
      </c>
      <c r="F12" s="147"/>
      <c r="G12" s="133" t="s">
        <v>8</v>
      </c>
      <c r="H12" s="143">
        <v>1</v>
      </c>
      <c r="I12" s="142">
        <f t="shared" ref="I12:I20" si="0">+E12</f>
        <v>0</v>
      </c>
      <c r="J12" s="279" t="s">
        <v>310</v>
      </c>
      <c r="K12" s="281"/>
      <c r="L12" s="281"/>
      <c r="M12" s="281"/>
    </row>
    <row r="13" spans="1:13">
      <c r="A13" s="135">
        <v>3</v>
      </c>
      <c r="B13" s="145">
        <v>4561035</v>
      </c>
      <c r="C13" s="145" t="s">
        <v>311</v>
      </c>
      <c r="D13" s="133"/>
      <c r="E13" s="147">
        <v>-4409387.1297123283</v>
      </c>
      <c r="F13" s="147"/>
      <c r="G13" s="133" t="s">
        <v>8</v>
      </c>
      <c r="H13" s="143">
        <v>1</v>
      </c>
      <c r="I13" s="142">
        <f t="shared" si="0"/>
        <v>-4409387.1297123283</v>
      </c>
      <c r="J13" s="279" t="s">
        <v>310</v>
      </c>
      <c r="K13" s="281"/>
      <c r="L13" s="281"/>
      <c r="M13" s="281"/>
    </row>
    <row r="14" spans="1:13">
      <c r="A14" s="135">
        <v>4</v>
      </c>
      <c r="B14" s="145">
        <v>4561036</v>
      </c>
      <c r="C14" s="145" t="s">
        <v>312</v>
      </c>
      <c r="D14" s="133"/>
      <c r="E14" s="147">
        <v>0</v>
      </c>
      <c r="F14" s="147"/>
      <c r="G14" s="133" t="s">
        <v>8</v>
      </c>
      <c r="H14" s="143">
        <v>1</v>
      </c>
      <c r="I14" s="142">
        <f t="shared" si="0"/>
        <v>0</v>
      </c>
      <c r="J14" s="279" t="s">
        <v>310</v>
      </c>
      <c r="K14" s="281"/>
      <c r="L14" s="281"/>
      <c r="M14" s="281"/>
    </row>
    <row r="15" spans="1:13">
      <c r="A15" s="135">
        <v>5</v>
      </c>
      <c r="B15" s="145">
        <v>4561060</v>
      </c>
      <c r="C15" s="145" t="s">
        <v>313</v>
      </c>
      <c r="D15" s="133"/>
      <c r="E15" s="147">
        <v>-10517.531620631227</v>
      </c>
      <c r="F15" s="147"/>
      <c r="G15" s="133" t="s">
        <v>8</v>
      </c>
      <c r="H15" s="143">
        <v>1</v>
      </c>
      <c r="I15" s="142">
        <f t="shared" si="0"/>
        <v>-10517.531620631227</v>
      </c>
      <c r="J15" s="279" t="s">
        <v>310</v>
      </c>
      <c r="K15" s="281"/>
      <c r="L15" s="281"/>
      <c r="M15" s="281"/>
    </row>
    <row r="16" spans="1:13" s="145" customFormat="1">
      <c r="A16" s="135">
        <v>6</v>
      </c>
      <c r="B16" s="282">
        <v>5650012</v>
      </c>
      <c r="C16" s="145" t="s">
        <v>314</v>
      </c>
      <c r="E16" s="147">
        <v>18050.429246815853</v>
      </c>
      <c r="F16" s="147"/>
      <c r="G16" s="133" t="s">
        <v>8</v>
      </c>
      <c r="H16" s="143">
        <v>1</v>
      </c>
      <c r="I16" s="142">
        <f t="shared" si="0"/>
        <v>18050.429246815853</v>
      </c>
      <c r="J16" s="279" t="s">
        <v>315</v>
      </c>
      <c r="K16" s="281"/>
      <c r="L16" s="281"/>
      <c r="M16" s="281"/>
    </row>
    <row r="17" spans="1:13" s="145" customFormat="1">
      <c r="A17" s="135">
        <v>7</v>
      </c>
      <c r="B17" s="282">
        <v>5650016</v>
      </c>
      <c r="C17" s="145" t="s">
        <v>316</v>
      </c>
      <c r="E17" s="147">
        <v>5588532.735658288</v>
      </c>
      <c r="F17" s="147"/>
      <c r="G17" s="133" t="s">
        <v>8</v>
      </c>
      <c r="H17" s="143">
        <v>1</v>
      </c>
      <c r="I17" s="142">
        <f t="shared" si="0"/>
        <v>5588532.735658288</v>
      </c>
      <c r="J17" s="279" t="s">
        <v>315</v>
      </c>
      <c r="K17" s="281"/>
      <c r="L17" s="281"/>
      <c r="M17" s="281"/>
    </row>
    <row r="18" spans="1:13" s="145" customFormat="1">
      <c r="A18" s="135">
        <v>8</v>
      </c>
      <c r="B18" s="282">
        <v>5650019</v>
      </c>
      <c r="C18" s="145" t="s">
        <v>317</v>
      </c>
      <c r="E18" s="147">
        <v>45649.302611813881</v>
      </c>
      <c r="F18" s="147"/>
      <c r="G18" s="133" t="s">
        <v>8</v>
      </c>
      <c r="H18" s="143">
        <v>1</v>
      </c>
      <c r="I18" s="142">
        <f t="shared" si="0"/>
        <v>45649.302611813881</v>
      </c>
      <c r="J18" s="279" t="s">
        <v>315</v>
      </c>
      <c r="K18" s="281"/>
      <c r="L18" s="281"/>
      <c r="M18" s="281"/>
    </row>
    <row r="19" spans="1:13" s="145" customFormat="1">
      <c r="A19" s="135">
        <v>9</v>
      </c>
      <c r="B19" s="145">
        <v>5650021</v>
      </c>
      <c r="C19" s="145" t="s">
        <v>318</v>
      </c>
      <c r="E19" s="147">
        <v>72787.890294696786</v>
      </c>
      <c r="F19" s="147"/>
      <c r="G19" s="133" t="s">
        <v>8</v>
      </c>
      <c r="H19" s="143">
        <v>1</v>
      </c>
      <c r="I19" s="142">
        <f t="shared" si="0"/>
        <v>72787.890294696786</v>
      </c>
      <c r="J19" s="279" t="s">
        <v>315</v>
      </c>
      <c r="K19" s="281"/>
      <c r="L19" s="281"/>
      <c r="M19" s="281"/>
    </row>
    <row r="20" spans="1:13" s="145" customFormat="1">
      <c r="A20" s="135">
        <v>10</v>
      </c>
      <c r="B20" s="145">
        <v>5650015</v>
      </c>
      <c r="C20" s="145" t="s">
        <v>319</v>
      </c>
      <c r="E20" s="283">
        <v>0</v>
      </c>
      <c r="F20" s="147"/>
      <c r="G20" s="133" t="s">
        <v>8</v>
      </c>
      <c r="H20" s="143">
        <v>1</v>
      </c>
      <c r="I20" s="280">
        <f t="shared" si="0"/>
        <v>0</v>
      </c>
      <c r="J20" s="279" t="s">
        <v>315</v>
      </c>
      <c r="K20" s="281"/>
      <c r="L20" s="281"/>
      <c r="M20" s="281"/>
    </row>
    <row r="21" spans="1:13" s="145" customFormat="1" ht="13.5" thickBot="1">
      <c r="B21" s="135"/>
      <c r="C21" s="133"/>
      <c r="E21" s="284">
        <f>SUM(E16:E20)-SUM(E11:E15)</f>
        <v>9981872.6037516091</v>
      </c>
      <c r="I21" s="285">
        <f>SUM(I16:I20)-SUM(I11:I15)</f>
        <v>9981872.6037516091</v>
      </c>
      <c r="J21" s="281" t="s">
        <v>320</v>
      </c>
      <c r="K21" s="281"/>
      <c r="L21" s="281"/>
      <c r="M21" s="281"/>
    </row>
    <row r="22" spans="1:13" s="145" customFormat="1" ht="13.5" thickTop="1">
      <c r="B22" s="135"/>
      <c r="C22" s="133"/>
      <c r="I22" s="151"/>
    </row>
    <row r="23" spans="1:13" s="145" customFormat="1">
      <c r="B23" s="282"/>
    </row>
    <row r="24" spans="1:13" s="145" customFormat="1">
      <c r="A24" s="145" t="s">
        <v>589</v>
      </c>
    </row>
    <row r="25" spans="1:13" s="145" customFormat="1">
      <c r="E25" s="151"/>
    </row>
    <row r="26" spans="1:13" s="145" customFormat="1">
      <c r="E26" s="151"/>
    </row>
    <row r="27" spans="1:13" s="145" customFormat="1"/>
    <row r="28" spans="1:13" s="145" customFormat="1"/>
    <row r="29" spans="1:13" s="145" customFormat="1"/>
    <row r="30" spans="1:13" s="145" customFormat="1"/>
    <row r="31" spans="1:13" s="145" customFormat="1"/>
    <row r="32" spans="1:13" s="145" customFormat="1"/>
    <row r="33" s="145" customFormat="1"/>
    <row r="34" s="145" customFormat="1"/>
    <row r="35" s="145" customFormat="1"/>
    <row r="36" s="145" customFormat="1"/>
    <row r="37" s="145" customFormat="1"/>
    <row r="38" s="145" customFormat="1"/>
    <row r="39" s="145" customFormat="1"/>
    <row r="40" s="145" customFormat="1"/>
    <row r="41" s="145" customFormat="1"/>
    <row r="42" s="145" customFormat="1"/>
    <row r="43" s="145" customFormat="1"/>
    <row r="44" s="145" customFormat="1"/>
    <row r="45" s="145" customFormat="1"/>
    <row r="46" s="145" customFormat="1"/>
    <row r="47" s="145" customFormat="1"/>
  </sheetData>
  <mergeCells count="5">
    <mergeCell ref="B2:H2"/>
    <mergeCell ref="B3:H3"/>
    <mergeCell ref="B4:H4"/>
    <mergeCell ref="B7:D7"/>
    <mergeCell ref="B5:H5"/>
  </mergeCells>
  <pageMargins left="0.7" right="0.7" top="0.75" bottom="0.75" header="0.3" footer="0.3"/>
  <pageSetup scale="7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F371-699A-41A3-BC06-89F95587B23D}">
  <dimension ref="A1:F22"/>
  <sheetViews>
    <sheetView showRuler="0" zoomScaleNormal="100" workbookViewId="0">
      <selection activeCell="F21" sqref="F21"/>
    </sheetView>
  </sheetViews>
  <sheetFormatPr defaultColWidth="13.7265625" defaultRowHeight="13"/>
  <cols>
    <col min="1" max="1" width="8.453125" style="172" customWidth="1"/>
    <col min="2" max="2" width="63.54296875" style="172" customWidth="1"/>
    <col min="3" max="3" width="3.453125" style="172" customWidth="1"/>
    <col min="4" max="4" width="13.7265625" style="172"/>
    <col min="5" max="5" width="4.7265625" style="172" customWidth="1"/>
    <col min="6" max="16384" width="13.7265625" style="172"/>
  </cols>
  <sheetData>
    <row r="1" spans="1:6" ht="15" customHeight="1">
      <c r="A1" s="844" t="s">
        <v>0</v>
      </c>
      <c r="B1" s="845"/>
      <c r="C1" s="845"/>
      <c r="D1" s="845"/>
      <c r="E1" s="845"/>
      <c r="F1" s="845"/>
    </row>
    <row r="2" spans="1:6" ht="16.75" customHeight="1">
      <c r="A2" s="844" t="s">
        <v>385</v>
      </c>
      <c r="B2" s="845"/>
      <c r="C2" s="845"/>
      <c r="D2" s="845"/>
      <c r="E2" s="845"/>
      <c r="F2" s="845"/>
    </row>
    <row r="3" spans="1:6" ht="15" customHeight="1">
      <c r="A3" s="844" t="s">
        <v>591</v>
      </c>
      <c r="B3" s="845"/>
      <c r="C3" s="845"/>
      <c r="D3" s="845"/>
      <c r="E3" s="845"/>
      <c r="F3" s="845"/>
    </row>
    <row r="4" spans="1:6" ht="15" customHeight="1">
      <c r="A4" s="844" t="s">
        <v>37</v>
      </c>
      <c r="B4" s="845"/>
      <c r="C4" s="845"/>
      <c r="D4" s="845"/>
      <c r="E4" s="845"/>
      <c r="F4" s="845"/>
    </row>
    <row r="5" spans="1:6" ht="15" customHeight="1"/>
    <row r="6" spans="1:6" ht="35.9" customHeight="1">
      <c r="A6" s="173" t="s">
        <v>10</v>
      </c>
      <c r="B6" s="173" t="s">
        <v>11</v>
      </c>
      <c r="D6" s="173" t="s">
        <v>12</v>
      </c>
      <c r="F6" s="173" t="s">
        <v>13</v>
      </c>
    </row>
    <row r="7" spans="1:6" ht="15" customHeight="1"/>
    <row r="8" spans="1:6" ht="27.65" customHeight="1">
      <c r="A8" s="188">
        <v>1</v>
      </c>
      <c r="B8" s="175" t="s">
        <v>937</v>
      </c>
      <c r="D8" s="174">
        <v>454</v>
      </c>
      <c r="F8" s="286">
        <v>-271393.99</v>
      </c>
    </row>
    <row r="9" spans="1:6" ht="15" customHeight="1"/>
    <row r="10" spans="1:6" ht="15" customHeight="1">
      <c r="A10" s="188">
        <v>2</v>
      </c>
      <c r="B10" s="175" t="s">
        <v>241</v>
      </c>
      <c r="F10" s="274">
        <v>1</v>
      </c>
    </row>
    <row r="11" spans="1:6" ht="15" customHeight="1"/>
    <row r="12" spans="1:6" ht="15" customHeight="1" thickBot="1">
      <c r="A12" s="188">
        <v>3</v>
      </c>
      <c r="B12" s="850" t="s">
        <v>935</v>
      </c>
      <c r="C12" s="851"/>
      <c r="F12" s="287">
        <f>F8*F10</f>
        <v>-271393.99</v>
      </c>
    </row>
    <row r="13" spans="1:6" ht="15" customHeight="1" thickTop="1">
      <c r="F13" s="272"/>
    </row>
    <row r="14" spans="1:6" ht="15" customHeight="1"/>
    <row r="15" spans="1:6" ht="27.65" customHeight="1">
      <c r="A15" s="188">
        <v>4</v>
      </c>
      <c r="B15" s="175" t="s">
        <v>938</v>
      </c>
      <c r="D15" s="174">
        <v>589</v>
      </c>
      <c r="F15" s="286">
        <v>21148.080000000002</v>
      </c>
    </row>
    <row r="16" spans="1:6" ht="15" customHeight="1"/>
    <row r="17" spans="1:6" ht="15" customHeight="1">
      <c r="A17" s="188">
        <v>5</v>
      </c>
      <c r="B17" s="175" t="s">
        <v>241</v>
      </c>
      <c r="F17" s="274">
        <v>1</v>
      </c>
    </row>
    <row r="18" spans="1:6" ht="15" customHeight="1"/>
    <row r="19" spans="1:6" ht="15" customHeight="1" thickBot="1">
      <c r="A19" s="188">
        <v>6</v>
      </c>
      <c r="B19" s="850" t="s">
        <v>936</v>
      </c>
      <c r="C19" s="851"/>
      <c r="F19" s="287">
        <f>F15*F17</f>
        <v>21148.080000000002</v>
      </c>
    </row>
    <row r="20" spans="1:6" ht="15" customHeight="1" thickTop="1">
      <c r="F20" s="272"/>
    </row>
    <row r="21" spans="1:6" ht="15" customHeight="1">
      <c r="A21" s="270" t="s">
        <v>33</v>
      </c>
      <c r="B21" s="288" t="s">
        <v>590</v>
      </c>
    </row>
    <row r="22" spans="1:6" ht="15" customHeight="1"/>
  </sheetData>
  <mergeCells count="6">
    <mergeCell ref="B19:C19"/>
    <mergeCell ref="A1:F1"/>
    <mergeCell ref="A2:F2"/>
    <mergeCell ref="A3:F3"/>
    <mergeCell ref="A4:F4"/>
    <mergeCell ref="B12:C12"/>
  </mergeCells>
  <pageMargins left="0.75" right="0.75" top="1" bottom="1" header="0.5" footer="0.5"/>
  <pageSetup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E770-DB58-48D5-A0EA-8320B87D1F4F}">
  <sheetPr>
    <pageSetUpPr fitToPage="1"/>
  </sheetPr>
  <dimension ref="A1:F60"/>
  <sheetViews>
    <sheetView workbookViewId="0">
      <selection activeCell="B5" sqref="B5"/>
    </sheetView>
  </sheetViews>
  <sheetFormatPr defaultColWidth="9.1796875" defaultRowHeight="13"/>
  <cols>
    <col min="1" max="1" width="12.7265625" style="1" customWidth="1"/>
    <col min="2" max="2" width="51.26953125" style="1" bestFit="1" customWidth="1"/>
    <col min="3" max="4" width="19.81640625" style="1" customWidth="1"/>
    <col min="5" max="5" width="18.54296875" style="1" customWidth="1"/>
    <col min="6" max="6" width="23.453125" style="1" customWidth="1"/>
    <col min="7" max="16384" width="9.1796875" style="1"/>
  </cols>
  <sheetData>
    <row r="1" spans="1:6" ht="15" customHeight="1">
      <c r="A1" s="852" t="s">
        <v>0</v>
      </c>
      <c r="B1" s="852"/>
      <c r="C1" s="852"/>
      <c r="D1" s="852"/>
      <c r="E1" s="852"/>
      <c r="F1" s="852"/>
    </row>
    <row r="2" spans="1:6" ht="15" customHeight="1">
      <c r="A2" s="852" t="s">
        <v>765</v>
      </c>
      <c r="B2" s="852"/>
      <c r="C2" s="852"/>
      <c r="D2" s="852"/>
      <c r="E2" s="852"/>
      <c r="F2" s="852"/>
    </row>
    <row r="3" spans="1:6" ht="15" customHeight="1">
      <c r="A3" s="852" t="s">
        <v>599</v>
      </c>
      <c r="B3" s="852"/>
      <c r="C3" s="852"/>
      <c r="D3" s="852"/>
      <c r="E3" s="852"/>
      <c r="F3" s="852"/>
    </row>
    <row r="4" spans="1:6">
      <c r="A4" s="852" t="s">
        <v>512</v>
      </c>
      <c r="B4" s="852"/>
      <c r="C4" s="852"/>
      <c r="D4" s="852"/>
      <c r="E4" s="852"/>
      <c r="F4" s="852"/>
    </row>
    <row r="5" spans="1:6">
      <c r="A5" s="289"/>
      <c r="B5" s="289"/>
      <c r="C5" s="289"/>
      <c r="D5" s="289"/>
      <c r="E5" s="289"/>
      <c r="F5" s="289"/>
    </row>
    <row r="6" spans="1:6">
      <c r="A6" s="201"/>
      <c r="B6" s="81"/>
      <c r="C6" s="201" t="s">
        <v>766</v>
      </c>
    </row>
    <row r="7" spans="1:6">
      <c r="A7" s="201" t="s">
        <v>116</v>
      </c>
      <c r="B7" s="201"/>
      <c r="C7" s="201" t="s">
        <v>333</v>
      </c>
      <c r="D7" s="201" t="s">
        <v>767</v>
      </c>
      <c r="F7" s="290" t="s">
        <v>767</v>
      </c>
    </row>
    <row r="8" spans="1:6">
      <c r="A8" s="291" t="s">
        <v>119</v>
      </c>
      <c r="B8" s="291" t="s">
        <v>117</v>
      </c>
      <c r="C8" s="292" t="s">
        <v>768</v>
      </c>
      <c r="D8" s="292" t="s">
        <v>768</v>
      </c>
      <c r="E8" s="292" t="s">
        <v>154</v>
      </c>
      <c r="F8" s="293" t="s">
        <v>769</v>
      </c>
    </row>
    <row r="9" spans="1:6">
      <c r="A9" s="201"/>
      <c r="B9" s="294" t="s">
        <v>21</v>
      </c>
      <c r="C9" s="294" t="s">
        <v>88</v>
      </c>
      <c r="D9" s="294" t="s">
        <v>89</v>
      </c>
      <c r="E9" s="294" t="s">
        <v>240</v>
      </c>
      <c r="F9" s="294" t="s">
        <v>459</v>
      </c>
    </row>
    <row r="10" spans="1:6">
      <c r="A10" s="201"/>
      <c r="B10" s="81"/>
      <c r="C10" s="295"/>
      <c r="D10" s="295"/>
      <c r="E10" s="81"/>
    </row>
    <row r="11" spans="1:6">
      <c r="A11" s="201">
        <v>1</v>
      </c>
      <c r="B11" s="81" t="s">
        <v>770</v>
      </c>
      <c r="C11" s="296">
        <v>650666343.95999992</v>
      </c>
      <c r="D11" s="296">
        <v>650666343.95999992</v>
      </c>
      <c r="E11" s="296">
        <v>0</v>
      </c>
      <c r="F11" s="96">
        <f>+D11+E11</f>
        <v>650666343.95999992</v>
      </c>
    </row>
    <row r="12" spans="1:6">
      <c r="A12" s="201">
        <f>A11+1</f>
        <v>2</v>
      </c>
      <c r="B12" s="297" t="s">
        <v>771</v>
      </c>
      <c r="C12" s="296">
        <v>5664875.54</v>
      </c>
      <c r="D12" s="296">
        <v>0</v>
      </c>
      <c r="E12" s="296">
        <v>0</v>
      </c>
      <c r="F12" s="96">
        <f t="shared" ref="F12:F15" si="0">+D12+E12</f>
        <v>0</v>
      </c>
    </row>
    <row r="13" spans="1:6">
      <c r="A13" s="201">
        <f>A12+1</f>
        <v>3</v>
      </c>
      <c r="B13" s="81" t="s">
        <v>772</v>
      </c>
      <c r="C13" s="296">
        <v>-6574896</v>
      </c>
      <c r="D13" s="296">
        <v>0</v>
      </c>
      <c r="E13" s="296">
        <v>0</v>
      </c>
      <c r="F13" s="96">
        <f t="shared" si="0"/>
        <v>0</v>
      </c>
    </row>
    <row r="14" spans="1:6">
      <c r="A14" s="201">
        <f>+A13+1</f>
        <v>4</v>
      </c>
      <c r="B14" s="81" t="s">
        <v>773</v>
      </c>
      <c r="C14" s="296">
        <v>55081909.05999998</v>
      </c>
      <c r="D14" s="296">
        <v>49032635.710000008</v>
      </c>
      <c r="E14" s="296">
        <v>1518931.4599999713</v>
      </c>
      <c r="F14" s="96">
        <f t="shared" si="0"/>
        <v>50551567.169999979</v>
      </c>
    </row>
    <row r="15" spans="1:6">
      <c r="A15" s="201">
        <f t="shared" ref="A15:A57" si="1">+A14+1</f>
        <v>5</v>
      </c>
      <c r="B15" s="298" t="s">
        <v>774</v>
      </c>
      <c r="C15" s="299">
        <v>22603522.400000002</v>
      </c>
      <c r="D15" s="299">
        <v>22287073.086400002</v>
      </c>
      <c r="E15" s="299">
        <v>316449.31359999999</v>
      </c>
      <c r="F15" s="313">
        <f t="shared" si="0"/>
        <v>22603522.400000002</v>
      </c>
    </row>
    <row r="16" spans="1:6" ht="13.5" thickBot="1">
      <c r="A16" s="201">
        <f t="shared" si="1"/>
        <v>6</v>
      </c>
      <c r="B16" s="300" t="s">
        <v>775</v>
      </c>
      <c r="C16" s="301">
        <f>SUM(C11:C15)</f>
        <v>727441754.9599998</v>
      </c>
      <c r="D16" s="301">
        <f>SUM(D11:D15)</f>
        <v>721986052.75639999</v>
      </c>
      <c r="E16" s="302">
        <f>SUM(E11:E15)</f>
        <v>1835380.7735999713</v>
      </c>
      <c r="F16" s="301">
        <f>SUM(F11:F15)</f>
        <v>723821433.52999985</v>
      </c>
    </row>
    <row r="17" spans="1:6" ht="13.5" thickTop="1">
      <c r="A17" s="201"/>
      <c r="B17" s="303"/>
      <c r="C17" s="301"/>
      <c r="D17" s="301"/>
      <c r="E17" s="301"/>
    </row>
    <row r="18" spans="1:6">
      <c r="A18" s="201">
        <f>+A16+1</f>
        <v>7</v>
      </c>
      <c r="B18" s="80" t="s">
        <v>776</v>
      </c>
      <c r="C18" s="296"/>
      <c r="D18" s="296"/>
      <c r="E18" s="296"/>
    </row>
    <row r="19" spans="1:6">
      <c r="A19" s="201">
        <f t="shared" si="1"/>
        <v>8</v>
      </c>
      <c r="B19" s="81" t="s">
        <v>777</v>
      </c>
      <c r="C19" s="296">
        <v>303748627.52999997</v>
      </c>
      <c r="D19" s="296">
        <v>299430551</v>
      </c>
      <c r="E19" s="296">
        <v>4309513.5300000077</v>
      </c>
      <c r="F19" s="96">
        <f>+D19+E19</f>
        <v>303740064.53000003</v>
      </c>
    </row>
    <row r="20" spans="1:6">
      <c r="A20" s="201">
        <f t="shared" si="1"/>
        <v>9</v>
      </c>
      <c r="B20" s="81" t="s">
        <v>778</v>
      </c>
      <c r="C20" s="296">
        <v>96971566.600000024</v>
      </c>
      <c r="D20" s="296">
        <v>97513881</v>
      </c>
      <c r="E20" s="296">
        <v>209103.03000002285</v>
      </c>
      <c r="F20" s="96">
        <f t="shared" ref="F20:F26" si="2">+D20+E20</f>
        <v>97722984.030000016</v>
      </c>
    </row>
    <row r="21" spans="1:6">
      <c r="A21" s="201">
        <f t="shared" si="1"/>
        <v>10</v>
      </c>
      <c r="B21" s="81" t="s">
        <v>779</v>
      </c>
      <c r="C21" s="296">
        <v>42022818.206999995</v>
      </c>
      <c r="D21" s="296">
        <v>41980795</v>
      </c>
      <c r="E21" s="296">
        <v>42023.206999998336</v>
      </c>
      <c r="F21" s="96">
        <f t="shared" si="2"/>
        <v>42022818.206999995</v>
      </c>
    </row>
    <row r="22" spans="1:6">
      <c r="A22" s="201">
        <f t="shared" si="1"/>
        <v>11</v>
      </c>
      <c r="B22" s="81" t="s">
        <v>780</v>
      </c>
      <c r="C22" s="296">
        <v>5010286.08</v>
      </c>
      <c r="D22" s="296">
        <v>5010225</v>
      </c>
      <c r="E22" s="296">
        <v>61.080000000136351</v>
      </c>
      <c r="F22" s="96">
        <f t="shared" si="2"/>
        <v>5010286.08</v>
      </c>
    </row>
    <row r="23" spans="1:6">
      <c r="A23" s="201">
        <f t="shared" si="1"/>
        <v>12</v>
      </c>
      <c r="B23" s="81" t="s">
        <v>781</v>
      </c>
      <c r="C23" s="296">
        <v>9329.2200000000012</v>
      </c>
      <c r="D23" s="296">
        <v>9329.1057867964391</v>
      </c>
      <c r="E23" s="296">
        <v>0.11421320356203069</v>
      </c>
      <c r="F23" s="96">
        <f t="shared" si="2"/>
        <v>9329.2200000000012</v>
      </c>
    </row>
    <row r="24" spans="1:6">
      <c r="A24" s="201">
        <f t="shared" si="1"/>
        <v>13</v>
      </c>
      <c r="B24" s="81" t="s">
        <v>782</v>
      </c>
      <c r="C24" s="296">
        <v>1776406.0100000002</v>
      </c>
      <c r="D24" s="296">
        <v>1776402</v>
      </c>
      <c r="E24" s="296">
        <v>22.010000000038417</v>
      </c>
      <c r="F24" s="96">
        <f t="shared" si="2"/>
        <v>1776424.01</v>
      </c>
    </row>
    <row r="25" spans="1:6">
      <c r="A25" s="201">
        <f t="shared" si="1"/>
        <v>14</v>
      </c>
      <c r="B25" s="81" t="s">
        <v>783</v>
      </c>
      <c r="C25" s="296">
        <v>27641391.560000002</v>
      </c>
      <c r="D25" s="296">
        <v>27283826.417599998</v>
      </c>
      <c r="E25" s="296">
        <v>340970.47239999985</v>
      </c>
      <c r="F25" s="96">
        <f t="shared" si="2"/>
        <v>27624796.889999997</v>
      </c>
    </row>
    <row r="26" spans="1:6">
      <c r="A26" s="201">
        <f t="shared" si="1"/>
        <v>15</v>
      </c>
      <c r="B26" s="298" t="s">
        <v>784</v>
      </c>
      <c r="C26" s="299">
        <v>0</v>
      </c>
      <c r="D26" s="299">
        <v>0</v>
      </c>
      <c r="E26" s="299">
        <v>0</v>
      </c>
      <c r="F26" s="313">
        <f t="shared" si="2"/>
        <v>0</v>
      </c>
    </row>
    <row r="27" spans="1:6" ht="13.5" thickBot="1">
      <c r="A27" s="201">
        <f t="shared" si="1"/>
        <v>16</v>
      </c>
      <c r="B27" s="300" t="s">
        <v>785</v>
      </c>
      <c r="C27" s="301">
        <f>SUM(C19:C26)</f>
        <v>477180425.20700002</v>
      </c>
      <c r="D27" s="301">
        <f>SUM(D19:D26)</f>
        <v>473005009.52338678</v>
      </c>
      <c r="E27" s="302">
        <f>SUM(E19:E26)-E31</f>
        <v>5144954.443613233</v>
      </c>
      <c r="F27" s="301">
        <f>SUM(F19:F26)</f>
        <v>477906702.96700007</v>
      </c>
    </row>
    <row r="28" spans="1:6" ht="13.5" thickTop="1">
      <c r="A28" s="201"/>
      <c r="B28" s="303"/>
      <c r="C28" s="301"/>
      <c r="D28" s="301"/>
      <c r="E28" s="301"/>
    </row>
    <row r="29" spans="1:6">
      <c r="A29" s="201">
        <f>+A27+1</f>
        <v>17</v>
      </c>
      <c r="B29" s="81" t="s">
        <v>786</v>
      </c>
      <c r="C29" s="296">
        <v>125983659.73999999</v>
      </c>
      <c r="D29" s="296">
        <v>124602382</v>
      </c>
      <c r="E29" s="296">
        <v>1384417.7399999979</v>
      </c>
      <c r="F29" s="96">
        <f>+D29+E29</f>
        <v>125986799.73999999</v>
      </c>
    </row>
    <row r="30" spans="1:6">
      <c r="A30" s="201">
        <f t="shared" si="1"/>
        <v>18</v>
      </c>
      <c r="B30" s="81" t="s">
        <v>787</v>
      </c>
      <c r="C30" s="296">
        <v>21435609.890000001</v>
      </c>
      <c r="D30" s="296">
        <v>21059050</v>
      </c>
      <c r="E30" s="296">
        <v>376559.890000001</v>
      </c>
      <c r="F30" s="96">
        <f t="shared" ref="F30:F33" si="3">+D30+E30</f>
        <v>21435609.890000001</v>
      </c>
    </row>
    <row r="31" spans="1:6">
      <c r="A31" s="201">
        <f t="shared" si="1"/>
        <v>19</v>
      </c>
      <c r="B31" s="81" t="s">
        <v>788</v>
      </c>
      <c r="C31" s="296">
        <v>-2143873</v>
      </c>
      <c r="D31" s="296">
        <v>2326166</v>
      </c>
      <c r="E31" s="296">
        <v>-243261</v>
      </c>
      <c r="F31" s="96">
        <f t="shared" si="3"/>
        <v>2082905</v>
      </c>
    </row>
    <row r="32" spans="1:6">
      <c r="A32" s="201">
        <f t="shared" si="1"/>
        <v>20</v>
      </c>
      <c r="B32" s="81" t="s">
        <v>789</v>
      </c>
      <c r="C32" s="296">
        <v>1839861.6099999999</v>
      </c>
      <c r="D32" s="296">
        <v>1839862</v>
      </c>
      <c r="E32" s="296">
        <v>-0.39000000013038516</v>
      </c>
      <c r="F32" s="96">
        <f t="shared" si="3"/>
        <v>1839861.6099999999</v>
      </c>
    </row>
    <row r="33" spans="1:6">
      <c r="A33" s="201">
        <f t="shared" si="1"/>
        <v>21</v>
      </c>
      <c r="B33" s="298" t="s">
        <v>790</v>
      </c>
      <c r="C33" s="299">
        <v>12288351.789999999</v>
      </c>
      <c r="D33" s="299">
        <v>7021797.6200000001</v>
      </c>
      <c r="E33" s="299">
        <v>28502.250000000091</v>
      </c>
      <c r="F33" s="313">
        <f t="shared" si="3"/>
        <v>7050299.8700000001</v>
      </c>
    </row>
    <row r="34" spans="1:6" ht="13.5" thickBot="1">
      <c r="A34" s="201">
        <f t="shared" si="1"/>
        <v>22</v>
      </c>
      <c r="B34" s="300" t="s">
        <v>791</v>
      </c>
      <c r="C34" s="301">
        <f>SUM(C16)-SUM(C27:C33)</f>
        <v>90857719.722999811</v>
      </c>
      <c r="D34" s="301">
        <f t="shared" ref="D34:F34" si="4">SUM(D16)-SUM(D27:D33)</f>
        <v>92131785.613013268</v>
      </c>
      <c r="E34" s="302">
        <f>SUM(E16)-SUM(E27:E33)</f>
        <v>-4855792.1600132603</v>
      </c>
      <c r="F34" s="301">
        <f t="shared" si="4"/>
        <v>87519254.45299983</v>
      </c>
    </row>
    <row r="35" spans="1:6" ht="13.5" thickTop="1">
      <c r="A35" s="201"/>
      <c r="B35" s="303"/>
      <c r="C35" s="301"/>
      <c r="D35" s="301"/>
      <c r="E35" s="301"/>
    </row>
    <row r="36" spans="1:6">
      <c r="A36" s="201">
        <f>+A34+1</f>
        <v>23</v>
      </c>
      <c r="B36" s="80" t="s">
        <v>792</v>
      </c>
      <c r="C36" s="296"/>
      <c r="D36" s="296"/>
      <c r="E36" s="296"/>
    </row>
    <row r="37" spans="1:6">
      <c r="A37" s="201">
        <f t="shared" si="1"/>
        <v>24</v>
      </c>
      <c r="B37" s="81" t="s">
        <v>793</v>
      </c>
      <c r="C37" s="296">
        <v>-4143717</v>
      </c>
      <c r="D37" s="296">
        <v>10661422</v>
      </c>
      <c r="E37" s="296">
        <v>-968632</v>
      </c>
      <c r="F37" s="96">
        <f>+D37+E37</f>
        <v>9692790</v>
      </c>
    </row>
    <row r="38" spans="1:6">
      <c r="A38" s="201">
        <f t="shared" si="1"/>
        <v>25</v>
      </c>
      <c r="B38" s="81" t="s">
        <v>794</v>
      </c>
      <c r="C38" s="296">
        <v>8216489</v>
      </c>
      <c r="D38" s="296">
        <v>-39785483</v>
      </c>
      <c r="E38" s="296">
        <v>195366</v>
      </c>
      <c r="F38" s="96">
        <f t="shared" ref="F38:F40" si="5">+D38+E38</f>
        <v>-39590117</v>
      </c>
    </row>
    <row r="39" spans="1:6">
      <c r="A39" s="201">
        <f t="shared" si="1"/>
        <v>26</v>
      </c>
      <c r="B39" s="81" t="s">
        <v>795</v>
      </c>
      <c r="C39" s="296">
        <f t="shared" ref="C39:E40" si="6">C528</f>
        <v>0</v>
      </c>
      <c r="D39" s="296"/>
      <c r="E39" s="296">
        <f t="shared" si="6"/>
        <v>0</v>
      </c>
      <c r="F39" s="96">
        <f t="shared" si="5"/>
        <v>0</v>
      </c>
    </row>
    <row r="40" spans="1:6">
      <c r="A40" s="201">
        <f t="shared" si="1"/>
        <v>27</v>
      </c>
      <c r="B40" s="304" t="s">
        <v>796</v>
      </c>
      <c r="C40" s="296">
        <f t="shared" si="6"/>
        <v>0</v>
      </c>
      <c r="D40" s="296"/>
      <c r="E40" s="296">
        <f t="shared" si="6"/>
        <v>0</v>
      </c>
      <c r="F40" s="96">
        <f t="shared" si="5"/>
        <v>0</v>
      </c>
    </row>
    <row r="41" spans="1:6" ht="13.5" thickBot="1">
      <c r="A41" s="201">
        <f t="shared" si="1"/>
        <v>28</v>
      </c>
      <c r="B41" s="300" t="s">
        <v>797</v>
      </c>
      <c r="C41" s="305">
        <f>SUM(C36:C40)</f>
        <v>4072772</v>
      </c>
      <c r="D41" s="305">
        <f>SUM(D36:D40)</f>
        <v>-29124061</v>
      </c>
      <c r="E41" s="302">
        <f>SUM(E36:E40)</f>
        <v>-773266</v>
      </c>
      <c r="F41" s="305">
        <f>SUM(F36:F40)</f>
        <v>-29897327</v>
      </c>
    </row>
    <row r="42" spans="1:6" ht="13.5" thickTop="1">
      <c r="A42" s="201"/>
      <c r="B42" s="303"/>
      <c r="C42" s="301"/>
      <c r="D42" s="301"/>
      <c r="E42" s="301"/>
    </row>
    <row r="43" spans="1:6">
      <c r="A43" s="201">
        <f>+A41+1</f>
        <v>29</v>
      </c>
      <c r="B43" s="306" t="s">
        <v>798</v>
      </c>
      <c r="C43" s="296">
        <v>87075162.992999792</v>
      </c>
      <c r="D43" s="296">
        <v>121255846.61301327</v>
      </c>
      <c r="E43" s="296">
        <v>-4855792.1600132603</v>
      </c>
      <c r="F43" s="96">
        <f>+E43+D43</f>
        <v>116400054.45300001</v>
      </c>
    </row>
    <row r="44" spans="1:6">
      <c r="A44" s="201">
        <f t="shared" si="1"/>
        <v>30</v>
      </c>
      <c r="B44" s="307" t="s">
        <v>235</v>
      </c>
      <c r="C44" s="299">
        <v>6039049.0599999996</v>
      </c>
      <c r="D44" s="299">
        <v>5966186</v>
      </c>
      <c r="E44" s="299">
        <v>72863.060000000027</v>
      </c>
      <c r="F44" s="96">
        <f>+E44+D44</f>
        <v>6039049.0599999996</v>
      </c>
    </row>
    <row r="45" spans="1:6" ht="13.5" thickBot="1">
      <c r="A45" s="201">
        <f t="shared" si="1"/>
        <v>31</v>
      </c>
      <c r="B45" s="308" t="s">
        <v>799</v>
      </c>
      <c r="C45" s="309">
        <f>C44+C43</f>
        <v>93114212.052999794</v>
      </c>
      <c r="D45" s="309">
        <f>D44+D43</f>
        <v>127222032.61301327</v>
      </c>
      <c r="E45" s="309">
        <f>E44+E43</f>
        <v>-4782929.1000132607</v>
      </c>
      <c r="F45" s="309">
        <f>F44+F43</f>
        <v>122439103.51300001</v>
      </c>
    </row>
    <row r="46" spans="1:6" ht="13.5" thickTop="1">
      <c r="A46" s="201"/>
      <c r="B46" s="306"/>
      <c r="C46" s="296"/>
      <c r="D46" s="296"/>
      <c r="E46" s="296"/>
    </row>
    <row r="47" spans="1:6">
      <c r="A47" s="201">
        <f>+A45+1</f>
        <v>32</v>
      </c>
      <c r="B47" s="81" t="s">
        <v>800</v>
      </c>
      <c r="C47" s="296">
        <v>3657961431.1199999</v>
      </c>
      <c r="D47" s="296">
        <v>3580397232.6700001</v>
      </c>
      <c r="E47" s="296">
        <v>36802837.620000087</v>
      </c>
      <c r="F47" s="96">
        <f>+D47+E47</f>
        <v>3617200070.29</v>
      </c>
    </row>
    <row r="48" spans="1:6">
      <c r="A48" s="201">
        <f t="shared" si="1"/>
        <v>33</v>
      </c>
      <c r="B48" s="298" t="s">
        <v>801</v>
      </c>
      <c r="C48" s="299">
        <v>-1402526541.25</v>
      </c>
      <c r="D48" s="299">
        <v>-1378470789</v>
      </c>
      <c r="E48" s="299">
        <v>-15976575.080000035</v>
      </c>
      <c r="F48" s="313">
        <f>+D48+E48</f>
        <v>-1394447364.0799999</v>
      </c>
    </row>
    <row r="49" spans="1:6">
      <c r="A49" s="201">
        <f t="shared" si="1"/>
        <v>34</v>
      </c>
      <c r="B49" s="80" t="s">
        <v>802</v>
      </c>
      <c r="C49" s="296">
        <f>SUM(C47:C48)</f>
        <v>2255434889.8699999</v>
      </c>
      <c r="D49" s="296">
        <f t="shared" ref="D49:F49" si="7">SUM(D47:D48)</f>
        <v>2201926443.6700001</v>
      </c>
      <c r="E49" s="296">
        <f t="shared" si="7"/>
        <v>20826262.540000051</v>
      </c>
      <c r="F49" s="296">
        <f t="shared" si="7"/>
        <v>2222752706.21</v>
      </c>
    </row>
    <row r="50" spans="1:6">
      <c r="A50" s="201">
        <f t="shared" si="1"/>
        <v>35</v>
      </c>
      <c r="B50" s="81" t="s">
        <v>803</v>
      </c>
      <c r="C50" s="296">
        <v>801671.21</v>
      </c>
      <c r="D50" s="296">
        <v>800870</v>
      </c>
      <c r="E50" s="296">
        <v>801.20999999996275</v>
      </c>
      <c r="F50" s="96">
        <f>+D50+E50</f>
        <v>801671.21</v>
      </c>
    </row>
    <row r="51" spans="1:6">
      <c r="A51" s="201">
        <f t="shared" si="1"/>
        <v>36</v>
      </c>
      <c r="B51" s="81" t="s">
        <v>804</v>
      </c>
      <c r="C51" s="296">
        <v>49892012.340000004</v>
      </c>
      <c r="D51" s="296">
        <v>1403444</v>
      </c>
      <c r="E51" s="296">
        <v>28641.75</v>
      </c>
      <c r="F51" s="96">
        <f t="shared" ref="F51:F56" si="8">+D51+E51</f>
        <v>1432085.75</v>
      </c>
    </row>
    <row r="52" spans="1:6">
      <c r="A52" s="201">
        <f t="shared" si="1"/>
        <v>37</v>
      </c>
      <c r="B52" s="81" t="s">
        <v>805</v>
      </c>
      <c r="C52" s="296">
        <v>90981940.441999987</v>
      </c>
      <c r="D52" s="296">
        <v>89772073</v>
      </c>
      <c r="E52" s="296">
        <v>1209867.4419999928</v>
      </c>
      <c r="F52" s="96">
        <f t="shared" si="8"/>
        <v>90981940.441999987</v>
      </c>
    </row>
    <row r="53" spans="1:6">
      <c r="A53" s="201">
        <f t="shared" si="1"/>
        <v>38</v>
      </c>
      <c r="B53" s="81" t="s">
        <v>806</v>
      </c>
      <c r="C53" s="296">
        <v>0</v>
      </c>
      <c r="D53" s="296">
        <v>0</v>
      </c>
      <c r="E53" s="296">
        <v>0</v>
      </c>
      <c r="F53" s="96">
        <f t="shared" si="8"/>
        <v>0</v>
      </c>
    </row>
    <row r="54" spans="1:6">
      <c r="A54" s="201">
        <f t="shared" si="1"/>
        <v>39</v>
      </c>
      <c r="B54" s="81" t="s">
        <v>807</v>
      </c>
      <c r="C54" s="296">
        <v>158950249.46000001</v>
      </c>
      <c r="D54" s="296">
        <v>157135384</v>
      </c>
      <c r="E54" s="296">
        <v>1649477.659999996</v>
      </c>
      <c r="F54" s="96">
        <f t="shared" si="8"/>
        <v>158784861.66</v>
      </c>
    </row>
    <row r="55" spans="1:6">
      <c r="A55" s="201">
        <f t="shared" si="1"/>
        <v>40</v>
      </c>
      <c r="B55" s="81" t="s">
        <v>808</v>
      </c>
      <c r="C55" s="296">
        <v>-37460316.32</v>
      </c>
      <c r="D55" s="296">
        <v>-37092403.140000001</v>
      </c>
      <c r="E55" s="296">
        <v>0.41000000014901161</v>
      </c>
      <c r="F55" s="96">
        <f t="shared" si="8"/>
        <v>-37092402.730000004</v>
      </c>
    </row>
    <row r="56" spans="1:6">
      <c r="A56" s="201">
        <f t="shared" si="1"/>
        <v>41</v>
      </c>
      <c r="B56" s="298" t="s">
        <v>238</v>
      </c>
      <c r="C56" s="299">
        <v>-453392109.80999994</v>
      </c>
      <c r="D56" s="299">
        <v>-330026966</v>
      </c>
      <c r="E56" s="299">
        <f>-[1]ADFIT1!$S$188</f>
        <v>-5514295.8700000355</v>
      </c>
      <c r="F56" s="313">
        <f t="shared" si="8"/>
        <v>-335541261.87000006</v>
      </c>
    </row>
    <row r="57" spans="1:6" ht="13.5" thickBot="1">
      <c r="A57" s="201">
        <f t="shared" si="1"/>
        <v>42</v>
      </c>
      <c r="B57" s="310" t="s">
        <v>410</v>
      </c>
      <c r="C57" s="311">
        <f>SUM(C49:C56)</f>
        <v>2065208337.1919999</v>
      </c>
      <c r="D57" s="311">
        <f>SUM(D49:D56)</f>
        <v>2083918845.5300002</v>
      </c>
      <c r="E57" s="312">
        <f>SUM(E49:E56)</f>
        <v>18200755.142000008</v>
      </c>
      <c r="F57" s="311">
        <f>SUM(F49:F56)</f>
        <v>2102119600.6719997</v>
      </c>
    </row>
    <row r="58" spans="1:6" ht="13.5" thickTop="1"/>
    <row r="60" spans="1:6">
      <c r="A60" s="1" t="s">
        <v>913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410E-A77F-4E24-81AB-1B978E4DC358}">
  <dimension ref="A1:Q33"/>
  <sheetViews>
    <sheetView zoomScale="110" zoomScaleNormal="110" workbookViewId="0"/>
  </sheetViews>
  <sheetFormatPr defaultColWidth="8.7265625" defaultRowHeight="13"/>
  <cols>
    <col min="1" max="2" width="8.7265625" style="109"/>
    <col min="3" max="3" width="30.54296875" style="109" bestFit="1" customWidth="1"/>
    <col min="4" max="4" width="8.7265625" style="109"/>
    <col min="5" max="5" width="13.7265625" style="109" customWidth="1"/>
    <col min="6" max="6" width="8.7265625" style="109"/>
    <col min="7" max="7" width="13.26953125" style="109" customWidth="1"/>
    <col min="8" max="8" width="13" style="109" customWidth="1"/>
    <col min="9" max="9" width="18.7265625" style="109" customWidth="1"/>
    <col min="10" max="14" width="8.7265625" style="109"/>
    <col min="15" max="15" width="12.54296875" style="109" bestFit="1" customWidth="1"/>
    <col min="16" max="16" width="8.7265625" style="109"/>
    <col min="17" max="17" width="15" style="109" bestFit="1" customWidth="1"/>
    <col min="18" max="16384" width="8.7265625" style="109"/>
  </cols>
  <sheetData>
    <row r="1" spans="1:1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"/>
      <c r="L1" s="1"/>
    </row>
    <row r="2" spans="1:12">
      <c r="A2" s="115"/>
      <c r="B2" s="835" t="s">
        <v>0</v>
      </c>
      <c r="C2" s="835"/>
      <c r="D2" s="835"/>
      <c r="E2" s="835"/>
      <c r="F2" s="835"/>
      <c r="G2" s="835"/>
      <c r="H2" s="835"/>
      <c r="I2" s="115"/>
      <c r="J2" s="115"/>
      <c r="K2" s="1"/>
      <c r="L2" s="1"/>
    </row>
    <row r="3" spans="1:12">
      <c r="A3" s="115"/>
      <c r="B3" s="836" t="s">
        <v>248</v>
      </c>
      <c r="C3" s="836"/>
      <c r="D3" s="836"/>
      <c r="E3" s="836"/>
      <c r="F3" s="836"/>
      <c r="G3" s="836"/>
      <c r="H3" s="836"/>
      <c r="I3" s="115"/>
      <c r="J3" s="115"/>
      <c r="K3" s="1"/>
      <c r="L3" s="1"/>
    </row>
    <row r="4" spans="1:12">
      <c r="A4" s="115"/>
      <c r="B4" s="835" t="s">
        <v>588</v>
      </c>
      <c r="C4" s="835"/>
      <c r="D4" s="835"/>
      <c r="E4" s="835"/>
      <c r="F4" s="835"/>
      <c r="G4" s="835"/>
      <c r="H4" s="835"/>
      <c r="I4" s="115"/>
      <c r="J4" s="115"/>
      <c r="K4" s="1"/>
      <c r="L4" s="1"/>
    </row>
    <row r="5" spans="1:12">
      <c r="A5" s="1"/>
      <c r="B5" s="835" t="s">
        <v>900</v>
      </c>
      <c r="C5" s="835"/>
      <c r="D5" s="835"/>
      <c r="E5" s="835"/>
      <c r="F5" s="835"/>
      <c r="G5" s="835"/>
      <c r="H5" s="835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2">
      <c r="A7" s="116" t="s">
        <v>1</v>
      </c>
      <c r="B7" s="837" t="s">
        <v>2</v>
      </c>
      <c r="C7" s="837"/>
      <c r="D7" s="837"/>
      <c r="E7" s="116" t="s">
        <v>3</v>
      </c>
      <c r="F7" s="116"/>
      <c r="G7" s="116" t="s">
        <v>4</v>
      </c>
      <c r="H7" s="116" t="s">
        <v>5</v>
      </c>
      <c r="I7" s="116" t="s">
        <v>6</v>
      </c>
      <c r="J7" s="115"/>
      <c r="K7" s="1"/>
      <c r="L7" s="1"/>
    </row>
    <row r="8" spans="1:12">
      <c r="A8" s="117"/>
      <c r="B8" s="117"/>
      <c r="C8" s="117"/>
      <c r="D8" s="115"/>
      <c r="E8" s="118"/>
      <c r="F8" s="119"/>
      <c r="G8" s="119"/>
      <c r="H8" s="120"/>
      <c r="I8" s="120"/>
      <c r="J8" s="115"/>
      <c r="K8" s="1"/>
      <c r="L8" s="1"/>
    </row>
    <row r="9" spans="1:12">
      <c r="A9" s="115"/>
      <c r="B9" s="115"/>
      <c r="C9" s="115"/>
      <c r="D9" s="115"/>
      <c r="E9" s="121"/>
      <c r="F9" s="115"/>
      <c r="G9" s="115"/>
      <c r="H9" s="122"/>
      <c r="I9" s="122"/>
      <c r="J9" s="115"/>
      <c r="K9" s="1"/>
      <c r="L9" s="1"/>
    </row>
    <row r="10" spans="1:12">
      <c r="A10" s="115"/>
      <c r="B10" s="123" t="s">
        <v>249</v>
      </c>
      <c r="C10" s="123"/>
      <c r="D10" s="115"/>
      <c r="E10" s="1"/>
      <c r="F10" s="1"/>
      <c r="G10" s="115"/>
      <c r="H10" s="122"/>
      <c r="I10" s="124"/>
      <c r="J10" s="115"/>
      <c r="K10" s="1"/>
      <c r="L10" s="1"/>
    </row>
    <row r="11" spans="1:12">
      <c r="A11" s="117">
        <v>1</v>
      </c>
      <c r="B11" s="117" t="s">
        <v>7</v>
      </c>
      <c r="C11" s="115" t="s">
        <v>250</v>
      </c>
      <c r="D11" s="115"/>
      <c r="E11" s="131">
        <v>-2278308.3927401057</v>
      </c>
      <c r="F11" s="1"/>
      <c r="G11" s="115" t="s">
        <v>8</v>
      </c>
      <c r="H11" s="125">
        <v>1</v>
      </c>
      <c r="I11" s="124">
        <f>E11</f>
        <v>-2278308.3927401057</v>
      </c>
      <c r="J11" s="126" t="s">
        <v>251</v>
      </c>
      <c r="K11" s="1"/>
      <c r="L11" s="1"/>
    </row>
    <row r="12" spans="1:12">
      <c r="A12" s="117">
        <v>2</v>
      </c>
      <c r="B12" s="117" t="s">
        <v>7</v>
      </c>
      <c r="C12" s="115" t="s">
        <v>252</v>
      </c>
      <c r="D12" s="115"/>
      <c r="E12" s="131">
        <v>4727891.17</v>
      </c>
      <c r="F12" s="1"/>
      <c r="G12" s="115" t="s">
        <v>8</v>
      </c>
      <c r="H12" s="125">
        <v>1</v>
      </c>
      <c r="I12" s="127">
        <f>E12</f>
        <v>4727891.17</v>
      </c>
      <c r="J12" s="126" t="s">
        <v>253</v>
      </c>
      <c r="K12" s="1"/>
      <c r="L12" s="1"/>
    </row>
    <row r="13" spans="1:12" ht="13.5" thickBot="1">
      <c r="A13" s="1"/>
      <c r="B13" s="1"/>
      <c r="C13" s="115"/>
      <c r="D13" s="115"/>
      <c r="E13" s="124"/>
      <c r="F13" s="115"/>
      <c r="G13" s="115"/>
      <c r="H13" s="122"/>
      <c r="I13" s="128">
        <f>I11+I12</f>
        <v>2449582.7772598942</v>
      </c>
      <c r="J13" s="126" t="s">
        <v>253</v>
      </c>
      <c r="K13" s="1"/>
      <c r="L13" s="1"/>
    </row>
    <row r="14" spans="1:12" ht="13.5" thickTop="1">
      <c r="A14" s="1"/>
      <c r="B14" s="1"/>
      <c r="C14" s="1"/>
      <c r="D14" s="1"/>
      <c r="E14" s="1"/>
      <c r="F14" s="1"/>
      <c r="G14" s="1"/>
      <c r="H14" s="132"/>
      <c r="I14" s="132"/>
      <c r="J14" s="1"/>
      <c r="K14" s="1"/>
      <c r="L14" s="1"/>
    </row>
    <row r="15" spans="1:12">
      <c r="A15" s="129" t="s">
        <v>724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O18" s="827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7">
      <c r="Q26" s="827"/>
    </row>
    <row r="27" spans="1:17">
      <c r="Q27" s="827"/>
    </row>
    <row r="29" spans="1:17">
      <c r="Q29" s="827"/>
    </row>
    <row r="32" spans="1:17">
      <c r="Q32" s="828"/>
    </row>
    <row r="33" spans="17:17">
      <c r="Q33" s="828"/>
    </row>
  </sheetData>
  <mergeCells count="5">
    <mergeCell ref="B2:H2"/>
    <mergeCell ref="B3:H3"/>
    <mergeCell ref="B7:D7"/>
    <mergeCell ref="B4:H4"/>
    <mergeCell ref="B5:H5"/>
  </mergeCells>
  <pageMargins left="0.7" right="0.7" top="0.75" bottom="0.75" header="0.3" footer="0.3"/>
  <pageSetup scale="60" orientation="portrait" r:id="rId1"/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43FC-2F07-4800-BA3C-565259A8D6ED}">
  <sheetPr>
    <pageSetUpPr fitToPage="1"/>
  </sheetPr>
  <dimension ref="A1:AD29"/>
  <sheetViews>
    <sheetView zoomScale="120" zoomScaleNormal="120" workbookViewId="0">
      <pane xSplit="2" ySplit="9" topLeftCell="C10" activePane="bottomRight" state="frozen"/>
      <selection activeCell="R29" sqref="R29"/>
      <selection pane="topRight" activeCell="R29" sqref="R29"/>
      <selection pane="bottomLeft" activeCell="R29" sqref="R29"/>
      <selection pane="bottomRight" activeCell="F32" sqref="F32"/>
    </sheetView>
  </sheetViews>
  <sheetFormatPr defaultRowHeight="13"/>
  <cols>
    <col min="1" max="1" width="5.1796875" style="19" customWidth="1"/>
    <col min="2" max="2" width="45.81640625" style="19" bestFit="1" customWidth="1"/>
    <col min="3" max="14" width="12.26953125" style="19" customWidth="1"/>
    <col min="15" max="16" width="15.7265625" style="19" customWidth="1"/>
    <col min="17" max="17" width="18.26953125" style="19" customWidth="1"/>
    <col min="18" max="18" width="13" style="19" customWidth="1"/>
    <col min="19" max="19" width="10.26953125" style="19" customWidth="1"/>
    <col min="20" max="25" width="8.7265625" style="19"/>
    <col min="26" max="26" width="10.81640625" style="19" bestFit="1" customWidth="1"/>
    <col min="27" max="255" width="8.7265625" style="19"/>
    <col min="256" max="256" width="4.26953125" style="19" customWidth="1"/>
    <col min="257" max="257" width="3.453125" style="19" customWidth="1"/>
    <col min="258" max="258" width="43.1796875" style="19" bestFit="1" customWidth="1"/>
    <col min="259" max="259" width="0.7265625" style="19" customWidth="1"/>
    <col min="260" max="260" width="2.81640625" style="19" customWidth="1"/>
    <col min="261" max="261" width="16.54296875" style="19" customWidth="1"/>
    <col min="262" max="511" width="8.7265625" style="19"/>
    <col min="512" max="512" width="4.26953125" style="19" customWidth="1"/>
    <col min="513" max="513" width="3.453125" style="19" customWidth="1"/>
    <col min="514" max="514" width="43.1796875" style="19" bestFit="1" customWidth="1"/>
    <col min="515" max="515" width="0.7265625" style="19" customWidth="1"/>
    <col min="516" max="516" width="2.81640625" style="19" customWidth="1"/>
    <col min="517" max="517" width="16.54296875" style="19" customWidth="1"/>
    <col min="518" max="767" width="8.7265625" style="19"/>
    <col min="768" max="768" width="4.26953125" style="19" customWidth="1"/>
    <col min="769" max="769" width="3.453125" style="19" customWidth="1"/>
    <col min="770" max="770" width="43.1796875" style="19" bestFit="1" customWidth="1"/>
    <col min="771" max="771" width="0.7265625" style="19" customWidth="1"/>
    <col min="772" max="772" width="2.81640625" style="19" customWidth="1"/>
    <col min="773" max="773" width="16.54296875" style="19" customWidth="1"/>
    <col min="774" max="1023" width="8.7265625" style="19"/>
    <col min="1024" max="1024" width="4.26953125" style="19" customWidth="1"/>
    <col min="1025" max="1025" width="3.453125" style="19" customWidth="1"/>
    <col min="1026" max="1026" width="43.1796875" style="19" bestFit="1" customWidth="1"/>
    <col min="1027" max="1027" width="0.7265625" style="19" customWidth="1"/>
    <col min="1028" max="1028" width="2.81640625" style="19" customWidth="1"/>
    <col min="1029" max="1029" width="16.54296875" style="19" customWidth="1"/>
    <col min="1030" max="1279" width="8.7265625" style="19"/>
    <col min="1280" max="1280" width="4.26953125" style="19" customWidth="1"/>
    <col min="1281" max="1281" width="3.453125" style="19" customWidth="1"/>
    <col min="1282" max="1282" width="43.1796875" style="19" bestFit="1" customWidth="1"/>
    <col min="1283" max="1283" width="0.7265625" style="19" customWidth="1"/>
    <col min="1284" max="1284" width="2.81640625" style="19" customWidth="1"/>
    <col min="1285" max="1285" width="16.54296875" style="19" customWidth="1"/>
    <col min="1286" max="1535" width="8.7265625" style="19"/>
    <col min="1536" max="1536" width="4.26953125" style="19" customWidth="1"/>
    <col min="1537" max="1537" width="3.453125" style="19" customWidth="1"/>
    <col min="1538" max="1538" width="43.1796875" style="19" bestFit="1" customWidth="1"/>
    <col min="1539" max="1539" width="0.7265625" style="19" customWidth="1"/>
    <col min="1540" max="1540" width="2.81640625" style="19" customWidth="1"/>
    <col min="1541" max="1541" width="16.54296875" style="19" customWidth="1"/>
    <col min="1542" max="1791" width="8.7265625" style="19"/>
    <col min="1792" max="1792" width="4.26953125" style="19" customWidth="1"/>
    <col min="1793" max="1793" width="3.453125" style="19" customWidth="1"/>
    <col min="1794" max="1794" width="43.1796875" style="19" bestFit="1" customWidth="1"/>
    <col min="1795" max="1795" width="0.7265625" style="19" customWidth="1"/>
    <col min="1796" max="1796" width="2.81640625" style="19" customWidth="1"/>
    <col min="1797" max="1797" width="16.54296875" style="19" customWidth="1"/>
    <col min="1798" max="2047" width="8.7265625" style="19"/>
    <col min="2048" max="2048" width="4.26953125" style="19" customWidth="1"/>
    <col min="2049" max="2049" width="3.453125" style="19" customWidth="1"/>
    <col min="2050" max="2050" width="43.1796875" style="19" bestFit="1" customWidth="1"/>
    <col min="2051" max="2051" width="0.7265625" style="19" customWidth="1"/>
    <col min="2052" max="2052" width="2.81640625" style="19" customWidth="1"/>
    <col min="2053" max="2053" width="16.54296875" style="19" customWidth="1"/>
    <col min="2054" max="2303" width="8.7265625" style="19"/>
    <col min="2304" max="2304" width="4.26953125" style="19" customWidth="1"/>
    <col min="2305" max="2305" width="3.453125" style="19" customWidth="1"/>
    <col min="2306" max="2306" width="43.1796875" style="19" bestFit="1" customWidth="1"/>
    <col min="2307" max="2307" width="0.7265625" style="19" customWidth="1"/>
    <col min="2308" max="2308" width="2.81640625" style="19" customWidth="1"/>
    <col min="2309" max="2309" width="16.54296875" style="19" customWidth="1"/>
    <col min="2310" max="2559" width="8.7265625" style="19"/>
    <col min="2560" max="2560" width="4.26953125" style="19" customWidth="1"/>
    <col min="2561" max="2561" width="3.453125" style="19" customWidth="1"/>
    <col min="2562" max="2562" width="43.1796875" style="19" bestFit="1" customWidth="1"/>
    <col min="2563" max="2563" width="0.7265625" style="19" customWidth="1"/>
    <col min="2564" max="2564" width="2.81640625" style="19" customWidth="1"/>
    <col min="2565" max="2565" width="16.54296875" style="19" customWidth="1"/>
    <col min="2566" max="2815" width="8.7265625" style="19"/>
    <col min="2816" max="2816" width="4.26953125" style="19" customWidth="1"/>
    <col min="2817" max="2817" width="3.453125" style="19" customWidth="1"/>
    <col min="2818" max="2818" width="43.1796875" style="19" bestFit="1" customWidth="1"/>
    <col min="2819" max="2819" width="0.7265625" style="19" customWidth="1"/>
    <col min="2820" max="2820" width="2.81640625" style="19" customWidth="1"/>
    <col min="2821" max="2821" width="16.54296875" style="19" customWidth="1"/>
    <col min="2822" max="3071" width="8.7265625" style="19"/>
    <col min="3072" max="3072" width="4.26953125" style="19" customWidth="1"/>
    <col min="3073" max="3073" width="3.453125" style="19" customWidth="1"/>
    <col min="3074" max="3074" width="43.1796875" style="19" bestFit="1" customWidth="1"/>
    <col min="3075" max="3075" width="0.7265625" style="19" customWidth="1"/>
    <col min="3076" max="3076" width="2.81640625" style="19" customWidth="1"/>
    <col min="3077" max="3077" width="16.54296875" style="19" customWidth="1"/>
    <col min="3078" max="3327" width="8.7265625" style="19"/>
    <col min="3328" max="3328" width="4.26953125" style="19" customWidth="1"/>
    <col min="3329" max="3329" width="3.453125" style="19" customWidth="1"/>
    <col min="3330" max="3330" width="43.1796875" style="19" bestFit="1" customWidth="1"/>
    <col min="3331" max="3331" width="0.7265625" style="19" customWidth="1"/>
    <col min="3332" max="3332" width="2.81640625" style="19" customWidth="1"/>
    <col min="3333" max="3333" width="16.54296875" style="19" customWidth="1"/>
    <col min="3334" max="3583" width="8.7265625" style="19"/>
    <col min="3584" max="3584" width="4.26953125" style="19" customWidth="1"/>
    <col min="3585" max="3585" width="3.453125" style="19" customWidth="1"/>
    <col min="3586" max="3586" width="43.1796875" style="19" bestFit="1" customWidth="1"/>
    <col min="3587" max="3587" width="0.7265625" style="19" customWidth="1"/>
    <col min="3588" max="3588" width="2.81640625" style="19" customWidth="1"/>
    <col min="3589" max="3589" width="16.54296875" style="19" customWidth="1"/>
    <col min="3590" max="3839" width="8.7265625" style="19"/>
    <col min="3840" max="3840" width="4.26953125" style="19" customWidth="1"/>
    <col min="3841" max="3841" width="3.453125" style="19" customWidth="1"/>
    <col min="3842" max="3842" width="43.1796875" style="19" bestFit="1" customWidth="1"/>
    <col min="3843" max="3843" width="0.7265625" style="19" customWidth="1"/>
    <col min="3844" max="3844" width="2.81640625" style="19" customWidth="1"/>
    <col min="3845" max="3845" width="16.54296875" style="19" customWidth="1"/>
    <col min="3846" max="4095" width="8.7265625" style="19"/>
    <col min="4096" max="4096" width="4.26953125" style="19" customWidth="1"/>
    <col min="4097" max="4097" width="3.453125" style="19" customWidth="1"/>
    <col min="4098" max="4098" width="43.1796875" style="19" bestFit="1" customWidth="1"/>
    <col min="4099" max="4099" width="0.7265625" style="19" customWidth="1"/>
    <col min="4100" max="4100" width="2.81640625" style="19" customWidth="1"/>
    <col min="4101" max="4101" width="16.54296875" style="19" customWidth="1"/>
    <col min="4102" max="4351" width="8.7265625" style="19"/>
    <col min="4352" max="4352" width="4.26953125" style="19" customWidth="1"/>
    <col min="4353" max="4353" width="3.453125" style="19" customWidth="1"/>
    <col min="4354" max="4354" width="43.1796875" style="19" bestFit="1" customWidth="1"/>
    <col min="4355" max="4355" width="0.7265625" style="19" customWidth="1"/>
    <col min="4356" max="4356" width="2.81640625" style="19" customWidth="1"/>
    <col min="4357" max="4357" width="16.54296875" style="19" customWidth="1"/>
    <col min="4358" max="4607" width="8.7265625" style="19"/>
    <col min="4608" max="4608" width="4.26953125" style="19" customWidth="1"/>
    <col min="4609" max="4609" width="3.453125" style="19" customWidth="1"/>
    <col min="4610" max="4610" width="43.1796875" style="19" bestFit="1" customWidth="1"/>
    <col min="4611" max="4611" width="0.7265625" style="19" customWidth="1"/>
    <col min="4612" max="4612" width="2.81640625" style="19" customWidth="1"/>
    <col min="4613" max="4613" width="16.54296875" style="19" customWidth="1"/>
    <col min="4614" max="4863" width="8.7265625" style="19"/>
    <col min="4864" max="4864" width="4.26953125" style="19" customWidth="1"/>
    <col min="4865" max="4865" width="3.453125" style="19" customWidth="1"/>
    <col min="4866" max="4866" width="43.1796875" style="19" bestFit="1" customWidth="1"/>
    <col min="4867" max="4867" width="0.7265625" style="19" customWidth="1"/>
    <col min="4868" max="4868" width="2.81640625" style="19" customWidth="1"/>
    <col min="4869" max="4869" width="16.54296875" style="19" customWidth="1"/>
    <col min="4870" max="5119" width="8.7265625" style="19"/>
    <col min="5120" max="5120" width="4.26953125" style="19" customWidth="1"/>
    <col min="5121" max="5121" width="3.453125" style="19" customWidth="1"/>
    <col min="5122" max="5122" width="43.1796875" style="19" bestFit="1" customWidth="1"/>
    <col min="5123" max="5123" width="0.7265625" style="19" customWidth="1"/>
    <col min="5124" max="5124" width="2.81640625" style="19" customWidth="1"/>
    <col min="5125" max="5125" width="16.54296875" style="19" customWidth="1"/>
    <col min="5126" max="5375" width="8.7265625" style="19"/>
    <col min="5376" max="5376" width="4.26953125" style="19" customWidth="1"/>
    <col min="5377" max="5377" width="3.453125" style="19" customWidth="1"/>
    <col min="5378" max="5378" width="43.1796875" style="19" bestFit="1" customWidth="1"/>
    <col min="5379" max="5379" width="0.7265625" style="19" customWidth="1"/>
    <col min="5380" max="5380" width="2.81640625" style="19" customWidth="1"/>
    <col min="5381" max="5381" width="16.54296875" style="19" customWidth="1"/>
    <col min="5382" max="5631" width="8.7265625" style="19"/>
    <col min="5632" max="5632" width="4.26953125" style="19" customWidth="1"/>
    <col min="5633" max="5633" width="3.453125" style="19" customWidth="1"/>
    <col min="5634" max="5634" width="43.1796875" style="19" bestFit="1" customWidth="1"/>
    <col min="5635" max="5635" width="0.7265625" style="19" customWidth="1"/>
    <col min="5636" max="5636" width="2.81640625" style="19" customWidth="1"/>
    <col min="5637" max="5637" width="16.54296875" style="19" customWidth="1"/>
    <col min="5638" max="5887" width="8.7265625" style="19"/>
    <col min="5888" max="5888" width="4.26953125" style="19" customWidth="1"/>
    <col min="5889" max="5889" width="3.453125" style="19" customWidth="1"/>
    <col min="5890" max="5890" width="43.1796875" style="19" bestFit="1" customWidth="1"/>
    <col min="5891" max="5891" width="0.7265625" style="19" customWidth="1"/>
    <col min="5892" max="5892" width="2.81640625" style="19" customWidth="1"/>
    <col min="5893" max="5893" width="16.54296875" style="19" customWidth="1"/>
    <col min="5894" max="6143" width="8.7265625" style="19"/>
    <col min="6144" max="6144" width="4.26953125" style="19" customWidth="1"/>
    <col min="6145" max="6145" width="3.453125" style="19" customWidth="1"/>
    <col min="6146" max="6146" width="43.1796875" style="19" bestFit="1" customWidth="1"/>
    <col min="6147" max="6147" width="0.7265625" style="19" customWidth="1"/>
    <col min="6148" max="6148" width="2.81640625" style="19" customWidth="1"/>
    <col min="6149" max="6149" width="16.54296875" style="19" customWidth="1"/>
    <col min="6150" max="6399" width="8.7265625" style="19"/>
    <col min="6400" max="6400" width="4.26953125" style="19" customWidth="1"/>
    <col min="6401" max="6401" width="3.453125" style="19" customWidth="1"/>
    <col min="6402" max="6402" width="43.1796875" style="19" bestFit="1" customWidth="1"/>
    <col min="6403" max="6403" width="0.7265625" style="19" customWidth="1"/>
    <col min="6404" max="6404" width="2.81640625" style="19" customWidth="1"/>
    <col min="6405" max="6405" width="16.54296875" style="19" customWidth="1"/>
    <col min="6406" max="6655" width="8.7265625" style="19"/>
    <col min="6656" max="6656" width="4.26953125" style="19" customWidth="1"/>
    <col min="6657" max="6657" width="3.453125" style="19" customWidth="1"/>
    <col min="6658" max="6658" width="43.1796875" style="19" bestFit="1" customWidth="1"/>
    <col min="6659" max="6659" width="0.7265625" style="19" customWidth="1"/>
    <col min="6660" max="6660" width="2.81640625" style="19" customWidth="1"/>
    <col min="6661" max="6661" width="16.54296875" style="19" customWidth="1"/>
    <col min="6662" max="6911" width="8.7265625" style="19"/>
    <col min="6912" max="6912" width="4.26953125" style="19" customWidth="1"/>
    <col min="6913" max="6913" width="3.453125" style="19" customWidth="1"/>
    <col min="6914" max="6914" width="43.1796875" style="19" bestFit="1" customWidth="1"/>
    <col min="6915" max="6915" width="0.7265625" style="19" customWidth="1"/>
    <col min="6916" max="6916" width="2.81640625" style="19" customWidth="1"/>
    <col min="6917" max="6917" width="16.54296875" style="19" customWidth="1"/>
    <col min="6918" max="7167" width="8.7265625" style="19"/>
    <col min="7168" max="7168" width="4.26953125" style="19" customWidth="1"/>
    <col min="7169" max="7169" width="3.453125" style="19" customWidth="1"/>
    <col min="7170" max="7170" width="43.1796875" style="19" bestFit="1" customWidth="1"/>
    <col min="7171" max="7171" width="0.7265625" style="19" customWidth="1"/>
    <col min="7172" max="7172" width="2.81640625" style="19" customWidth="1"/>
    <col min="7173" max="7173" width="16.54296875" style="19" customWidth="1"/>
    <col min="7174" max="7423" width="8.7265625" style="19"/>
    <col min="7424" max="7424" width="4.26953125" style="19" customWidth="1"/>
    <col min="7425" max="7425" width="3.453125" style="19" customWidth="1"/>
    <col min="7426" max="7426" width="43.1796875" style="19" bestFit="1" customWidth="1"/>
    <col min="7427" max="7427" width="0.7265625" style="19" customWidth="1"/>
    <col min="7428" max="7428" width="2.81640625" style="19" customWidth="1"/>
    <col min="7429" max="7429" width="16.54296875" style="19" customWidth="1"/>
    <col min="7430" max="7679" width="8.7265625" style="19"/>
    <col min="7680" max="7680" width="4.26953125" style="19" customWidth="1"/>
    <col min="7681" max="7681" width="3.453125" style="19" customWidth="1"/>
    <col min="7682" max="7682" width="43.1796875" style="19" bestFit="1" customWidth="1"/>
    <col min="7683" max="7683" width="0.7265625" style="19" customWidth="1"/>
    <col min="7684" max="7684" width="2.81640625" style="19" customWidth="1"/>
    <col min="7685" max="7685" width="16.54296875" style="19" customWidth="1"/>
    <col min="7686" max="7935" width="8.7265625" style="19"/>
    <col min="7936" max="7936" width="4.26953125" style="19" customWidth="1"/>
    <col min="7937" max="7937" width="3.453125" style="19" customWidth="1"/>
    <col min="7938" max="7938" width="43.1796875" style="19" bestFit="1" customWidth="1"/>
    <col min="7939" max="7939" width="0.7265625" style="19" customWidth="1"/>
    <col min="7940" max="7940" width="2.81640625" style="19" customWidth="1"/>
    <col min="7941" max="7941" width="16.54296875" style="19" customWidth="1"/>
    <col min="7942" max="8191" width="8.7265625" style="19"/>
    <col min="8192" max="8192" width="4.26953125" style="19" customWidth="1"/>
    <col min="8193" max="8193" width="3.453125" style="19" customWidth="1"/>
    <col min="8194" max="8194" width="43.1796875" style="19" bestFit="1" customWidth="1"/>
    <col min="8195" max="8195" width="0.7265625" style="19" customWidth="1"/>
    <col min="8196" max="8196" width="2.81640625" style="19" customWidth="1"/>
    <col min="8197" max="8197" width="16.54296875" style="19" customWidth="1"/>
    <col min="8198" max="8447" width="8.7265625" style="19"/>
    <col min="8448" max="8448" width="4.26953125" style="19" customWidth="1"/>
    <col min="8449" max="8449" width="3.453125" style="19" customWidth="1"/>
    <col min="8450" max="8450" width="43.1796875" style="19" bestFit="1" customWidth="1"/>
    <col min="8451" max="8451" width="0.7265625" style="19" customWidth="1"/>
    <col min="8452" max="8452" width="2.81640625" style="19" customWidth="1"/>
    <col min="8453" max="8453" width="16.54296875" style="19" customWidth="1"/>
    <col min="8454" max="8703" width="8.7265625" style="19"/>
    <col min="8704" max="8704" width="4.26953125" style="19" customWidth="1"/>
    <col min="8705" max="8705" width="3.453125" style="19" customWidth="1"/>
    <col min="8706" max="8706" width="43.1796875" style="19" bestFit="1" customWidth="1"/>
    <col min="8707" max="8707" width="0.7265625" style="19" customWidth="1"/>
    <col min="8708" max="8708" width="2.81640625" style="19" customWidth="1"/>
    <col min="8709" max="8709" width="16.54296875" style="19" customWidth="1"/>
    <col min="8710" max="8959" width="8.7265625" style="19"/>
    <col min="8960" max="8960" width="4.26953125" style="19" customWidth="1"/>
    <col min="8961" max="8961" width="3.453125" style="19" customWidth="1"/>
    <col min="8962" max="8962" width="43.1796875" style="19" bestFit="1" customWidth="1"/>
    <col min="8963" max="8963" width="0.7265625" style="19" customWidth="1"/>
    <col min="8964" max="8964" width="2.81640625" style="19" customWidth="1"/>
    <col min="8965" max="8965" width="16.54296875" style="19" customWidth="1"/>
    <col min="8966" max="9215" width="8.7265625" style="19"/>
    <col min="9216" max="9216" width="4.26953125" style="19" customWidth="1"/>
    <col min="9217" max="9217" width="3.453125" style="19" customWidth="1"/>
    <col min="9218" max="9218" width="43.1796875" style="19" bestFit="1" customWidth="1"/>
    <col min="9219" max="9219" width="0.7265625" style="19" customWidth="1"/>
    <col min="9220" max="9220" width="2.81640625" style="19" customWidth="1"/>
    <col min="9221" max="9221" width="16.54296875" style="19" customWidth="1"/>
    <col min="9222" max="9471" width="8.7265625" style="19"/>
    <col min="9472" max="9472" width="4.26953125" style="19" customWidth="1"/>
    <col min="9473" max="9473" width="3.453125" style="19" customWidth="1"/>
    <col min="9474" max="9474" width="43.1796875" style="19" bestFit="1" customWidth="1"/>
    <col min="9475" max="9475" width="0.7265625" style="19" customWidth="1"/>
    <col min="9476" max="9476" width="2.81640625" style="19" customWidth="1"/>
    <col min="9477" max="9477" width="16.54296875" style="19" customWidth="1"/>
    <col min="9478" max="9727" width="8.7265625" style="19"/>
    <col min="9728" max="9728" width="4.26953125" style="19" customWidth="1"/>
    <col min="9729" max="9729" width="3.453125" style="19" customWidth="1"/>
    <col min="9730" max="9730" width="43.1796875" style="19" bestFit="1" customWidth="1"/>
    <col min="9731" max="9731" width="0.7265625" style="19" customWidth="1"/>
    <col min="9732" max="9732" width="2.81640625" style="19" customWidth="1"/>
    <col min="9733" max="9733" width="16.54296875" style="19" customWidth="1"/>
    <col min="9734" max="9983" width="8.7265625" style="19"/>
    <col min="9984" max="9984" width="4.26953125" style="19" customWidth="1"/>
    <col min="9985" max="9985" width="3.453125" style="19" customWidth="1"/>
    <col min="9986" max="9986" width="43.1796875" style="19" bestFit="1" customWidth="1"/>
    <col min="9987" max="9987" width="0.7265625" style="19" customWidth="1"/>
    <col min="9988" max="9988" width="2.81640625" style="19" customWidth="1"/>
    <col min="9989" max="9989" width="16.54296875" style="19" customWidth="1"/>
    <col min="9990" max="10239" width="8.7265625" style="19"/>
    <col min="10240" max="10240" width="4.26953125" style="19" customWidth="1"/>
    <col min="10241" max="10241" width="3.453125" style="19" customWidth="1"/>
    <col min="10242" max="10242" width="43.1796875" style="19" bestFit="1" customWidth="1"/>
    <col min="10243" max="10243" width="0.7265625" style="19" customWidth="1"/>
    <col min="10244" max="10244" width="2.81640625" style="19" customWidth="1"/>
    <col min="10245" max="10245" width="16.54296875" style="19" customWidth="1"/>
    <col min="10246" max="10495" width="8.7265625" style="19"/>
    <col min="10496" max="10496" width="4.26953125" style="19" customWidth="1"/>
    <col min="10497" max="10497" width="3.453125" style="19" customWidth="1"/>
    <col min="10498" max="10498" width="43.1796875" style="19" bestFit="1" customWidth="1"/>
    <col min="10499" max="10499" width="0.7265625" style="19" customWidth="1"/>
    <col min="10500" max="10500" width="2.81640625" style="19" customWidth="1"/>
    <col min="10501" max="10501" width="16.54296875" style="19" customWidth="1"/>
    <col min="10502" max="10751" width="8.7265625" style="19"/>
    <col min="10752" max="10752" width="4.26953125" style="19" customWidth="1"/>
    <col min="10753" max="10753" width="3.453125" style="19" customWidth="1"/>
    <col min="10754" max="10754" width="43.1796875" style="19" bestFit="1" customWidth="1"/>
    <col min="10755" max="10755" width="0.7265625" style="19" customWidth="1"/>
    <col min="10756" max="10756" width="2.81640625" style="19" customWidth="1"/>
    <col min="10757" max="10757" width="16.54296875" style="19" customWidth="1"/>
    <col min="10758" max="11007" width="8.7265625" style="19"/>
    <col min="11008" max="11008" width="4.26953125" style="19" customWidth="1"/>
    <col min="11009" max="11009" width="3.453125" style="19" customWidth="1"/>
    <col min="11010" max="11010" width="43.1796875" style="19" bestFit="1" customWidth="1"/>
    <col min="11011" max="11011" width="0.7265625" style="19" customWidth="1"/>
    <col min="11012" max="11012" width="2.81640625" style="19" customWidth="1"/>
    <col min="11013" max="11013" width="16.54296875" style="19" customWidth="1"/>
    <col min="11014" max="11263" width="8.7265625" style="19"/>
    <col min="11264" max="11264" width="4.26953125" style="19" customWidth="1"/>
    <col min="11265" max="11265" width="3.453125" style="19" customWidth="1"/>
    <col min="11266" max="11266" width="43.1796875" style="19" bestFit="1" customWidth="1"/>
    <col min="11267" max="11267" width="0.7265625" style="19" customWidth="1"/>
    <col min="11268" max="11268" width="2.81640625" style="19" customWidth="1"/>
    <col min="11269" max="11269" width="16.54296875" style="19" customWidth="1"/>
    <col min="11270" max="11519" width="8.7265625" style="19"/>
    <col min="11520" max="11520" width="4.26953125" style="19" customWidth="1"/>
    <col min="11521" max="11521" width="3.453125" style="19" customWidth="1"/>
    <col min="11522" max="11522" width="43.1796875" style="19" bestFit="1" customWidth="1"/>
    <col min="11523" max="11523" width="0.7265625" style="19" customWidth="1"/>
    <col min="11524" max="11524" width="2.81640625" style="19" customWidth="1"/>
    <col min="11525" max="11525" width="16.54296875" style="19" customWidth="1"/>
    <col min="11526" max="11775" width="8.7265625" style="19"/>
    <col min="11776" max="11776" width="4.26953125" style="19" customWidth="1"/>
    <col min="11777" max="11777" width="3.453125" style="19" customWidth="1"/>
    <col min="11778" max="11778" width="43.1796875" style="19" bestFit="1" customWidth="1"/>
    <col min="11779" max="11779" width="0.7265625" style="19" customWidth="1"/>
    <col min="11780" max="11780" width="2.81640625" style="19" customWidth="1"/>
    <col min="11781" max="11781" width="16.54296875" style="19" customWidth="1"/>
    <col min="11782" max="12031" width="8.7265625" style="19"/>
    <col min="12032" max="12032" width="4.26953125" style="19" customWidth="1"/>
    <col min="12033" max="12033" width="3.453125" style="19" customWidth="1"/>
    <col min="12034" max="12034" width="43.1796875" style="19" bestFit="1" customWidth="1"/>
    <col min="12035" max="12035" width="0.7265625" style="19" customWidth="1"/>
    <col min="12036" max="12036" width="2.81640625" style="19" customWidth="1"/>
    <col min="12037" max="12037" width="16.54296875" style="19" customWidth="1"/>
    <col min="12038" max="12287" width="8.7265625" style="19"/>
    <col min="12288" max="12288" width="4.26953125" style="19" customWidth="1"/>
    <col min="12289" max="12289" width="3.453125" style="19" customWidth="1"/>
    <col min="12290" max="12290" width="43.1796875" style="19" bestFit="1" customWidth="1"/>
    <col min="12291" max="12291" width="0.7265625" style="19" customWidth="1"/>
    <col min="12292" max="12292" width="2.81640625" style="19" customWidth="1"/>
    <col min="12293" max="12293" width="16.54296875" style="19" customWidth="1"/>
    <col min="12294" max="12543" width="8.7265625" style="19"/>
    <col min="12544" max="12544" width="4.26953125" style="19" customWidth="1"/>
    <col min="12545" max="12545" width="3.453125" style="19" customWidth="1"/>
    <col min="12546" max="12546" width="43.1796875" style="19" bestFit="1" customWidth="1"/>
    <col min="12547" max="12547" width="0.7265625" style="19" customWidth="1"/>
    <col min="12548" max="12548" width="2.81640625" style="19" customWidth="1"/>
    <col min="12549" max="12549" width="16.54296875" style="19" customWidth="1"/>
    <col min="12550" max="12799" width="8.7265625" style="19"/>
    <col min="12800" max="12800" width="4.26953125" style="19" customWidth="1"/>
    <col min="12801" max="12801" width="3.453125" style="19" customWidth="1"/>
    <col min="12802" max="12802" width="43.1796875" style="19" bestFit="1" customWidth="1"/>
    <col min="12803" max="12803" width="0.7265625" style="19" customWidth="1"/>
    <col min="12804" max="12804" width="2.81640625" style="19" customWidth="1"/>
    <col min="12805" max="12805" width="16.54296875" style="19" customWidth="1"/>
    <col min="12806" max="13055" width="8.7265625" style="19"/>
    <col min="13056" max="13056" width="4.26953125" style="19" customWidth="1"/>
    <col min="13057" max="13057" width="3.453125" style="19" customWidth="1"/>
    <col min="13058" max="13058" width="43.1796875" style="19" bestFit="1" customWidth="1"/>
    <col min="13059" max="13059" width="0.7265625" style="19" customWidth="1"/>
    <col min="13060" max="13060" width="2.81640625" style="19" customWidth="1"/>
    <col min="13061" max="13061" width="16.54296875" style="19" customWidth="1"/>
    <col min="13062" max="13311" width="8.7265625" style="19"/>
    <col min="13312" max="13312" width="4.26953125" style="19" customWidth="1"/>
    <col min="13313" max="13313" width="3.453125" style="19" customWidth="1"/>
    <col min="13314" max="13314" width="43.1796875" style="19" bestFit="1" customWidth="1"/>
    <col min="13315" max="13315" width="0.7265625" style="19" customWidth="1"/>
    <col min="13316" max="13316" width="2.81640625" style="19" customWidth="1"/>
    <col min="13317" max="13317" width="16.54296875" style="19" customWidth="1"/>
    <col min="13318" max="13567" width="8.7265625" style="19"/>
    <col min="13568" max="13568" width="4.26953125" style="19" customWidth="1"/>
    <col min="13569" max="13569" width="3.453125" style="19" customWidth="1"/>
    <col min="13570" max="13570" width="43.1796875" style="19" bestFit="1" customWidth="1"/>
    <col min="13571" max="13571" width="0.7265625" style="19" customWidth="1"/>
    <col min="13572" max="13572" width="2.81640625" style="19" customWidth="1"/>
    <col min="13573" max="13573" width="16.54296875" style="19" customWidth="1"/>
    <col min="13574" max="13823" width="8.7265625" style="19"/>
    <col min="13824" max="13824" width="4.26953125" style="19" customWidth="1"/>
    <col min="13825" max="13825" width="3.453125" style="19" customWidth="1"/>
    <col min="13826" max="13826" width="43.1796875" style="19" bestFit="1" customWidth="1"/>
    <col min="13827" max="13827" width="0.7265625" style="19" customWidth="1"/>
    <col min="13828" max="13828" width="2.81640625" style="19" customWidth="1"/>
    <col min="13829" max="13829" width="16.54296875" style="19" customWidth="1"/>
    <col min="13830" max="14079" width="8.7265625" style="19"/>
    <col min="14080" max="14080" width="4.26953125" style="19" customWidth="1"/>
    <col min="14081" max="14081" width="3.453125" style="19" customWidth="1"/>
    <col min="14082" max="14082" width="43.1796875" style="19" bestFit="1" customWidth="1"/>
    <col min="14083" max="14083" width="0.7265625" style="19" customWidth="1"/>
    <col min="14084" max="14084" width="2.81640625" style="19" customWidth="1"/>
    <col min="14085" max="14085" width="16.54296875" style="19" customWidth="1"/>
    <col min="14086" max="14335" width="8.7265625" style="19"/>
    <col min="14336" max="14336" width="4.26953125" style="19" customWidth="1"/>
    <col min="14337" max="14337" width="3.453125" style="19" customWidth="1"/>
    <col min="14338" max="14338" width="43.1796875" style="19" bestFit="1" customWidth="1"/>
    <col min="14339" max="14339" width="0.7265625" style="19" customWidth="1"/>
    <col min="14340" max="14340" width="2.81640625" style="19" customWidth="1"/>
    <col min="14341" max="14341" width="16.54296875" style="19" customWidth="1"/>
    <col min="14342" max="14591" width="8.7265625" style="19"/>
    <col min="14592" max="14592" width="4.26953125" style="19" customWidth="1"/>
    <col min="14593" max="14593" width="3.453125" style="19" customWidth="1"/>
    <col min="14594" max="14594" width="43.1796875" style="19" bestFit="1" customWidth="1"/>
    <col min="14595" max="14595" width="0.7265625" style="19" customWidth="1"/>
    <col min="14596" max="14596" width="2.81640625" style="19" customWidth="1"/>
    <col min="14597" max="14597" width="16.54296875" style="19" customWidth="1"/>
    <col min="14598" max="14847" width="8.7265625" style="19"/>
    <col min="14848" max="14848" width="4.26953125" style="19" customWidth="1"/>
    <col min="14849" max="14849" width="3.453125" style="19" customWidth="1"/>
    <col min="14850" max="14850" width="43.1796875" style="19" bestFit="1" customWidth="1"/>
    <col min="14851" max="14851" width="0.7265625" style="19" customWidth="1"/>
    <col min="14852" max="14852" width="2.81640625" style="19" customWidth="1"/>
    <col min="14853" max="14853" width="16.54296875" style="19" customWidth="1"/>
    <col min="14854" max="15103" width="8.7265625" style="19"/>
    <col min="15104" max="15104" width="4.26953125" style="19" customWidth="1"/>
    <col min="15105" max="15105" width="3.453125" style="19" customWidth="1"/>
    <col min="15106" max="15106" width="43.1796875" style="19" bestFit="1" customWidth="1"/>
    <col min="15107" max="15107" width="0.7265625" style="19" customWidth="1"/>
    <col min="15108" max="15108" width="2.81640625" style="19" customWidth="1"/>
    <col min="15109" max="15109" width="16.54296875" style="19" customWidth="1"/>
    <col min="15110" max="15359" width="8.7265625" style="19"/>
    <col min="15360" max="15360" width="4.26953125" style="19" customWidth="1"/>
    <col min="15361" max="15361" width="3.453125" style="19" customWidth="1"/>
    <col min="15362" max="15362" width="43.1796875" style="19" bestFit="1" customWidth="1"/>
    <col min="15363" max="15363" width="0.7265625" style="19" customWidth="1"/>
    <col min="15364" max="15364" width="2.81640625" style="19" customWidth="1"/>
    <col min="15365" max="15365" width="16.54296875" style="19" customWidth="1"/>
    <col min="15366" max="15615" width="8.7265625" style="19"/>
    <col min="15616" max="15616" width="4.26953125" style="19" customWidth="1"/>
    <col min="15617" max="15617" width="3.453125" style="19" customWidth="1"/>
    <col min="15618" max="15618" width="43.1796875" style="19" bestFit="1" customWidth="1"/>
    <col min="15619" max="15619" width="0.7265625" style="19" customWidth="1"/>
    <col min="15620" max="15620" width="2.81640625" style="19" customWidth="1"/>
    <col min="15621" max="15621" width="16.54296875" style="19" customWidth="1"/>
    <col min="15622" max="15871" width="8.7265625" style="19"/>
    <col min="15872" max="15872" width="4.26953125" style="19" customWidth="1"/>
    <col min="15873" max="15873" width="3.453125" style="19" customWidth="1"/>
    <col min="15874" max="15874" width="43.1796875" style="19" bestFit="1" customWidth="1"/>
    <col min="15875" max="15875" width="0.7265625" style="19" customWidth="1"/>
    <col min="15876" max="15876" width="2.81640625" style="19" customWidth="1"/>
    <col min="15877" max="15877" width="16.54296875" style="19" customWidth="1"/>
    <col min="15878" max="16127" width="8.7265625" style="19"/>
    <col min="16128" max="16128" width="4.26953125" style="19" customWidth="1"/>
    <col min="16129" max="16129" width="3.453125" style="19" customWidth="1"/>
    <col min="16130" max="16130" width="43.1796875" style="19" bestFit="1" customWidth="1"/>
    <col min="16131" max="16131" width="0.7265625" style="19" customWidth="1"/>
    <col min="16132" max="16132" width="2.81640625" style="19" customWidth="1"/>
    <col min="16133" max="16133" width="16.54296875" style="19" customWidth="1"/>
    <col min="16134" max="16384" width="8.7265625" style="19"/>
  </cols>
  <sheetData>
    <row r="1" spans="1:30">
      <c r="B1" s="853" t="s">
        <v>0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</row>
    <row r="2" spans="1:30">
      <c r="B2" s="853" t="s">
        <v>268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</row>
    <row r="3" spans="1:30">
      <c r="B3" s="853" t="s">
        <v>0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</row>
    <row r="4" spans="1:30">
      <c r="B4" s="854" t="s">
        <v>513</v>
      </c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</row>
    <row r="6" spans="1:30">
      <c r="C6" s="22"/>
    </row>
    <row r="7" spans="1:30" s="25" customFormat="1" ht="26">
      <c r="A7" s="23" t="s">
        <v>434</v>
      </c>
      <c r="B7" s="24" t="s">
        <v>117</v>
      </c>
      <c r="C7" s="23" t="s">
        <v>51</v>
      </c>
    </row>
    <row r="8" spans="1:30" s="25" customFormat="1" ht="13.5" thickBot="1">
      <c r="A8" s="26">
        <v>-1</v>
      </c>
      <c r="B8" s="26">
        <v>-2</v>
      </c>
      <c r="C8" s="26" t="s">
        <v>51</v>
      </c>
    </row>
    <row r="9" spans="1:30" s="27" customFormat="1" ht="13.5" thickBot="1">
      <c r="B9" s="28" t="s">
        <v>269</v>
      </c>
      <c r="C9" s="91">
        <v>45467</v>
      </c>
      <c r="D9" s="91">
        <v>45497</v>
      </c>
      <c r="E9" s="91">
        <v>45528</v>
      </c>
      <c r="F9" s="91">
        <v>45559</v>
      </c>
      <c r="G9" s="91">
        <v>45589</v>
      </c>
      <c r="H9" s="91">
        <v>45620</v>
      </c>
      <c r="I9" s="91">
        <v>45650</v>
      </c>
      <c r="J9" s="91">
        <v>45658</v>
      </c>
      <c r="K9" s="91">
        <v>45689</v>
      </c>
      <c r="L9" s="91">
        <v>45717</v>
      </c>
      <c r="M9" s="91">
        <v>45748</v>
      </c>
      <c r="N9" s="91">
        <v>45778</v>
      </c>
      <c r="O9" s="112" t="s">
        <v>138</v>
      </c>
    </row>
    <row r="10" spans="1:30" ht="14.15" customHeight="1">
      <c r="A10" s="19">
        <v>1</v>
      </c>
      <c r="B10" s="29" t="s">
        <v>270</v>
      </c>
      <c r="C10" s="5">
        <v>297633.69</v>
      </c>
      <c r="D10" s="5">
        <v>306248.52</v>
      </c>
      <c r="E10" s="5">
        <v>260968.33000000002</v>
      </c>
      <c r="F10" s="5">
        <v>47978.450000000004</v>
      </c>
      <c r="G10" s="5">
        <v>187378.03</v>
      </c>
      <c r="H10" s="5">
        <v>277619.22000000003</v>
      </c>
      <c r="I10" s="5">
        <v>320071.87</v>
      </c>
      <c r="J10" s="5">
        <v>293674.01</v>
      </c>
      <c r="K10" s="5">
        <v>108042.89</v>
      </c>
      <c r="L10" s="5">
        <v>28337.16</v>
      </c>
      <c r="M10" s="5">
        <v>201531.73</v>
      </c>
      <c r="N10" s="5">
        <v>56715.14</v>
      </c>
      <c r="O10" s="30"/>
      <c r="P10" s="31"/>
      <c r="Q10" s="3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 ht="14.15" customHeight="1">
      <c r="A11" s="19">
        <v>2</v>
      </c>
      <c r="B11" s="29" t="s">
        <v>271</v>
      </c>
      <c r="C11" s="6">
        <v>16750.121375520564</v>
      </c>
      <c r="D11" s="6">
        <v>16750.121375520564</v>
      </c>
      <c r="E11" s="6">
        <v>16343.317304016769</v>
      </c>
      <c r="F11" s="6">
        <v>16344.291958274276</v>
      </c>
      <c r="G11" s="6">
        <v>16346.108676518576</v>
      </c>
      <c r="H11" s="6">
        <v>16346.125813830775</v>
      </c>
      <c r="I11" s="6">
        <v>16347.254122207376</v>
      </c>
      <c r="J11" s="6">
        <v>16347.855260617682</v>
      </c>
      <c r="K11" s="6">
        <v>16348.698882226381</v>
      </c>
      <c r="L11" s="6">
        <v>16348.926724969077</v>
      </c>
      <c r="M11" s="6">
        <v>16342.56240734838</v>
      </c>
      <c r="N11" s="6">
        <v>16340.572010542981</v>
      </c>
      <c r="O11" s="30"/>
      <c r="P11" s="31"/>
      <c r="Q11" s="32"/>
      <c r="Z11" s="31"/>
    </row>
    <row r="12" spans="1:30" ht="14.15" customHeight="1">
      <c r="A12" s="19">
        <v>3</v>
      </c>
      <c r="B12" s="29" t="s">
        <v>272</v>
      </c>
      <c r="C12" s="6">
        <v>813166.03148233425</v>
      </c>
      <c r="D12" s="6">
        <v>813183.6025356676</v>
      </c>
      <c r="E12" s="6">
        <v>812936.39880166773</v>
      </c>
      <c r="F12" s="6">
        <v>812984.87928500143</v>
      </c>
      <c r="G12" s="6">
        <v>813075.24505100143</v>
      </c>
      <c r="H12" s="6">
        <v>813076.097481668</v>
      </c>
      <c r="I12" s="6">
        <v>813132.22090700129</v>
      </c>
      <c r="J12" s="6">
        <v>813162.12225966831</v>
      </c>
      <c r="K12" s="6">
        <v>813204.08502033504</v>
      </c>
      <c r="L12" s="6">
        <v>813215.41819433484</v>
      </c>
      <c r="M12" s="6">
        <v>812898.8493270016</v>
      </c>
      <c r="N12" s="6">
        <v>812799.84457900166</v>
      </c>
      <c r="O12" s="30"/>
      <c r="P12" s="31"/>
      <c r="Q12" s="32"/>
    </row>
    <row r="13" spans="1:30" ht="14.15" customHeight="1">
      <c r="A13" s="19">
        <v>4</v>
      </c>
      <c r="B13" s="29" t="s">
        <v>273</v>
      </c>
      <c r="C13" s="6">
        <v>109349.2</v>
      </c>
      <c r="D13" s="6">
        <v>-35275.94</v>
      </c>
      <c r="E13" s="6">
        <v>-8592.56</v>
      </c>
      <c r="F13" s="6">
        <v>-81920.09</v>
      </c>
      <c r="G13" s="6">
        <v>51061.24</v>
      </c>
      <c r="H13" s="6">
        <v>10006.870000000001</v>
      </c>
      <c r="I13" s="6">
        <v>8947.6200000000008</v>
      </c>
      <c r="J13" s="6">
        <v>-201229.11</v>
      </c>
      <c r="K13" s="6">
        <v>17996.759999999998</v>
      </c>
      <c r="L13" s="6">
        <v>98743.12</v>
      </c>
      <c r="M13" s="6">
        <v>22516.16</v>
      </c>
      <c r="N13" s="6">
        <v>-56484.51</v>
      </c>
      <c r="O13" s="30"/>
      <c r="P13" s="31"/>
      <c r="Q13" s="32"/>
    </row>
    <row r="14" spans="1:30" ht="14.15" customHeight="1">
      <c r="A14" s="19">
        <v>5</v>
      </c>
      <c r="B14" s="29" t="s">
        <v>274</v>
      </c>
      <c r="C14" s="6">
        <v>28958.799999999999</v>
      </c>
      <c r="D14" s="6">
        <v>59314.69</v>
      </c>
      <c r="E14" s="6">
        <v>66485.48</v>
      </c>
      <c r="F14" s="6">
        <v>220578.42</v>
      </c>
      <c r="G14" s="6">
        <v>169377.26</v>
      </c>
      <c r="H14" s="6">
        <v>44214.67</v>
      </c>
      <c r="I14" s="6">
        <v>80703.14</v>
      </c>
      <c r="J14" s="6">
        <v>51967.59</v>
      </c>
      <c r="K14" s="6">
        <v>92855.66</v>
      </c>
      <c r="L14" s="6">
        <v>240929.91</v>
      </c>
      <c r="M14" s="6">
        <v>202895.2</v>
      </c>
      <c r="N14" s="6">
        <v>122444.98</v>
      </c>
      <c r="O14" s="30"/>
      <c r="P14" s="31"/>
      <c r="Q14" s="32"/>
    </row>
    <row r="15" spans="1:30" ht="14.15" customHeight="1" thickBot="1">
      <c r="A15" s="19">
        <v>6</v>
      </c>
      <c r="B15" s="25" t="s">
        <v>275</v>
      </c>
      <c r="C15" s="33">
        <f t="shared" ref="C15:N15" si="0">SUM(C10:C14)</f>
        <v>1265857.8428578549</v>
      </c>
      <c r="D15" s="33">
        <f t="shared" si="0"/>
        <v>1160220.9939111881</v>
      </c>
      <c r="E15" s="33">
        <f t="shared" si="0"/>
        <v>1148140.9661056844</v>
      </c>
      <c r="F15" s="33">
        <f t="shared" si="0"/>
        <v>1015965.9512432758</v>
      </c>
      <c r="G15" s="33">
        <f t="shared" si="0"/>
        <v>1237237.88372752</v>
      </c>
      <c r="H15" s="33">
        <f t="shared" si="0"/>
        <v>1161262.9832954989</v>
      </c>
      <c r="I15" s="33">
        <f t="shared" si="0"/>
        <v>1239202.1050292086</v>
      </c>
      <c r="J15" s="33">
        <f t="shared" si="0"/>
        <v>973922.46752028586</v>
      </c>
      <c r="K15" s="33">
        <f t="shared" si="0"/>
        <v>1048448.0939025615</v>
      </c>
      <c r="L15" s="33">
        <f t="shared" si="0"/>
        <v>1197574.5349193038</v>
      </c>
      <c r="M15" s="33">
        <f t="shared" si="0"/>
        <v>1256184.5017343499</v>
      </c>
      <c r="N15" s="33">
        <f t="shared" si="0"/>
        <v>951816.02658954461</v>
      </c>
      <c r="P15" s="34"/>
      <c r="Q15" s="35"/>
    </row>
    <row r="16" spans="1:30" ht="13.5" thickBo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7"/>
    </row>
    <row r="17" spans="1:17" ht="14.15" customHeight="1" thickBot="1">
      <c r="A17" s="19">
        <v>7</v>
      </c>
      <c r="B17" s="37" t="s">
        <v>276</v>
      </c>
      <c r="C17" s="38">
        <v>0.91807093807503382</v>
      </c>
      <c r="D17" s="38">
        <v>0.94000750072371764</v>
      </c>
      <c r="E17" s="38">
        <v>0.95517587925640668</v>
      </c>
      <c r="F17" s="38">
        <v>0.98559489060281036</v>
      </c>
      <c r="G17" s="38">
        <v>0.96665694853230411</v>
      </c>
      <c r="H17" s="38">
        <v>0.94745732320738141</v>
      </c>
      <c r="I17" s="38">
        <v>0.96858823375448411</v>
      </c>
      <c r="J17" s="38">
        <v>0.96162457753234853</v>
      </c>
      <c r="K17" s="38">
        <v>0.97696408654555567</v>
      </c>
      <c r="L17" s="38">
        <v>0.97158833711871428</v>
      </c>
      <c r="M17" s="38">
        <v>0.95794659619970901</v>
      </c>
      <c r="N17" s="38">
        <v>0.95692913591702466</v>
      </c>
      <c r="O17" s="39"/>
      <c r="P17" s="40" t="s">
        <v>51</v>
      </c>
    </row>
    <row r="18" spans="1:17" ht="17.25" customHeight="1" thickBot="1">
      <c r="B18" s="41" t="s">
        <v>277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 t="s">
        <v>51</v>
      </c>
      <c r="P18" s="42" t="s">
        <v>51</v>
      </c>
    </row>
    <row r="19" spans="1:17" ht="14.15" customHeight="1" thickBot="1">
      <c r="A19" s="19">
        <v>8</v>
      </c>
      <c r="B19" s="29" t="s">
        <v>270</v>
      </c>
      <c r="C19" s="5">
        <f t="shared" ref="C19:N23" si="1">ROUND(C10*C$17,0)</f>
        <v>273249</v>
      </c>
      <c r="D19" s="43">
        <f t="shared" si="1"/>
        <v>287876</v>
      </c>
      <c r="E19" s="43">
        <f t="shared" si="1"/>
        <v>249271</v>
      </c>
      <c r="F19" s="43">
        <f t="shared" si="1"/>
        <v>47287</v>
      </c>
      <c r="G19" s="43">
        <f t="shared" si="1"/>
        <v>181130</v>
      </c>
      <c r="H19" s="43">
        <f t="shared" si="1"/>
        <v>263032</v>
      </c>
      <c r="I19" s="43">
        <f t="shared" si="1"/>
        <v>310018</v>
      </c>
      <c r="J19" s="43">
        <f t="shared" si="1"/>
        <v>282404</v>
      </c>
      <c r="K19" s="43">
        <f t="shared" si="1"/>
        <v>105554</v>
      </c>
      <c r="L19" s="44">
        <f t="shared" si="1"/>
        <v>27532</v>
      </c>
      <c r="M19" s="44">
        <f t="shared" si="1"/>
        <v>193057</v>
      </c>
      <c r="N19" s="44">
        <f t="shared" si="1"/>
        <v>54272</v>
      </c>
      <c r="O19" s="45">
        <f>-SUM(C19:N19)</f>
        <v>-2274682</v>
      </c>
    </row>
    <row r="20" spans="1:17" ht="14.15" customHeight="1" thickBot="1">
      <c r="A20" s="19">
        <f>A19+1</f>
        <v>9</v>
      </c>
      <c r="B20" s="29" t="s">
        <v>271</v>
      </c>
      <c r="C20" s="6">
        <f t="shared" si="1"/>
        <v>15378</v>
      </c>
      <c r="D20" s="46">
        <f t="shared" si="1"/>
        <v>15745</v>
      </c>
      <c r="E20" s="46">
        <f t="shared" si="1"/>
        <v>15611</v>
      </c>
      <c r="F20" s="46">
        <f t="shared" si="1"/>
        <v>16109</v>
      </c>
      <c r="G20" s="46">
        <f t="shared" si="1"/>
        <v>15801</v>
      </c>
      <c r="H20" s="46">
        <f t="shared" si="1"/>
        <v>15487</v>
      </c>
      <c r="I20" s="46">
        <f t="shared" si="1"/>
        <v>15834</v>
      </c>
      <c r="J20" s="46">
        <f t="shared" si="1"/>
        <v>15720</v>
      </c>
      <c r="K20" s="46">
        <f t="shared" si="1"/>
        <v>15972</v>
      </c>
      <c r="L20" s="47">
        <f t="shared" si="1"/>
        <v>15884</v>
      </c>
      <c r="M20" s="47">
        <f t="shared" si="1"/>
        <v>15655</v>
      </c>
      <c r="N20" s="47">
        <f t="shared" si="1"/>
        <v>15637</v>
      </c>
      <c r="O20" s="45">
        <f t="shared" ref="O20:O23" si="2">-SUM(C20:N20)</f>
        <v>-188833</v>
      </c>
    </row>
    <row r="21" spans="1:17" ht="14.15" customHeight="1" thickBot="1">
      <c r="A21" s="19">
        <f t="shared" ref="A21:A23" si="3">A20+1</f>
        <v>10</v>
      </c>
      <c r="B21" s="29" t="s">
        <v>272</v>
      </c>
      <c r="C21" s="6">
        <f t="shared" si="1"/>
        <v>746544</v>
      </c>
      <c r="D21" s="46">
        <f t="shared" si="1"/>
        <v>764399</v>
      </c>
      <c r="E21" s="46">
        <f t="shared" si="1"/>
        <v>776497</v>
      </c>
      <c r="F21" s="46">
        <f t="shared" si="1"/>
        <v>801274</v>
      </c>
      <c r="G21" s="46">
        <f t="shared" si="1"/>
        <v>785965</v>
      </c>
      <c r="H21" s="46">
        <f t="shared" si="1"/>
        <v>770355</v>
      </c>
      <c r="I21" s="46">
        <f t="shared" si="1"/>
        <v>787590</v>
      </c>
      <c r="J21" s="46">
        <f t="shared" si="1"/>
        <v>781957</v>
      </c>
      <c r="K21" s="46">
        <f t="shared" si="1"/>
        <v>794471</v>
      </c>
      <c r="L21" s="47">
        <f t="shared" si="1"/>
        <v>790111</v>
      </c>
      <c r="M21" s="47">
        <f t="shared" si="1"/>
        <v>778714</v>
      </c>
      <c r="N21" s="47">
        <f t="shared" si="1"/>
        <v>777792</v>
      </c>
      <c r="O21" s="45">
        <f t="shared" si="2"/>
        <v>-9355669</v>
      </c>
    </row>
    <row r="22" spans="1:17" ht="14.15" customHeight="1" thickBot="1">
      <c r="A22" s="19">
        <f t="shared" si="3"/>
        <v>11</v>
      </c>
      <c r="B22" s="29" t="s">
        <v>273</v>
      </c>
      <c r="C22" s="6">
        <f t="shared" si="1"/>
        <v>100390</v>
      </c>
      <c r="D22" s="46">
        <f t="shared" si="1"/>
        <v>-33160</v>
      </c>
      <c r="E22" s="46">
        <f t="shared" si="1"/>
        <v>-8207</v>
      </c>
      <c r="F22" s="46">
        <f t="shared" si="1"/>
        <v>-80740</v>
      </c>
      <c r="G22" s="46">
        <f t="shared" si="1"/>
        <v>49359</v>
      </c>
      <c r="H22" s="46">
        <f t="shared" si="1"/>
        <v>9481</v>
      </c>
      <c r="I22" s="46">
        <f t="shared" si="1"/>
        <v>8667</v>
      </c>
      <c r="J22" s="46">
        <f t="shared" si="1"/>
        <v>-193507</v>
      </c>
      <c r="K22" s="46">
        <f t="shared" si="1"/>
        <v>17582</v>
      </c>
      <c r="L22" s="47">
        <f t="shared" si="1"/>
        <v>95938</v>
      </c>
      <c r="M22" s="47">
        <f t="shared" si="1"/>
        <v>21569</v>
      </c>
      <c r="N22" s="47">
        <f t="shared" si="1"/>
        <v>-54052</v>
      </c>
      <c r="O22" s="45">
        <f t="shared" si="2"/>
        <v>66680</v>
      </c>
    </row>
    <row r="23" spans="1:17" ht="14.15" customHeight="1" thickBot="1">
      <c r="A23" s="19">
        <f t="shared" si="3"/>
        <v>12</v>
      </c>
      <c r="B23" s="29" t="s">
        <v>274</v>
      </c>
      <c r="C23" s="33">
        <f t="shared" si="1"/>
        <v>26586</v>
      </c>
      <c r="D23" s="48">
        <f t="shared" si="1"/>
        <v>55756</v>
      </c>
      <c r="E23" s="48">
        <f t="shared" si="1"/>
        <v>63505</v>
      </c>
      <c r="F23" s="48">
        <f t="shared" si="1"/>
        <v>217401</v>
      </c>
      <c r="G23" s="48">
        <f t="shared" si="1"/>
        <v>163730</v>
      </c>
      <c r="H23" s="48">
        <f t="shared" si="1"/>
        <v>41892</v>
      </c>
      <c r="I23" s="48">
        <f t="shared" si="1"/>
        <v>78168</v>
      </c>
      <c r="J23" s="48">
        <f t="shared" si="1"/>
        <v>49973</v>
      </c>
      <c r="K23" s="48">
        <f t="shared" si="1"/>
        <v>90717</v>
      </c>
      <c r="L23" s="49">
        <f t="shared" si="1"/>
        <v>234085</v>
      </c>
      <c r="M23" s="49">
        <f t="shared" si="1"/>
        <v>194363</v>
      </c>
      <c r="N23" s="49">
        <f t="shared" si="1"/>
        <v>117171</v>
      </c>
      <c r="O23" s="101">
        <f t="shared" si="2"/>
        <v>-1333347</v>
      </c>
    </row>
    <row r="24" spans="1:17" ht="14.15" customHeight="1">
      <c r="B24" s="25" t="s">
        <v>51</v>
      </c>
      <c r="Q24" s="50" t="s">
        <v>51</v>
      </c>
    </row>
    <row r="25" spans="1:17" ht="14.15" customHeight="1">
      <c r="P25" s="51" t="s">
        <v>278</v>
      </c>
      <c r="Q25" s="50" t="s">
        <v>51</v>
      </c>
    </row>
    <row r="26" spans="1:17" ht="14.15" customHeight="1">
      <c r="O26" s="8">
        <f>SUM(O19:O23)</f>
        <v>-13085851</v>
      </c>
    </row>
    <row r="29" spans="1:17">
      <c r="B29" s="92" t="s">
        <v>642</v>
      </c>
    </row>
  </sheetData>
  <mergeCells count="4">
    <mergeCell ref="B1:O1"/>
    <mergeCell ref="B2:O2"/>
    <mergeCell ref="B3:O3"/>
    <mergeCell ref="B4:O4"/>
  </mergeCells>
  <pageMargins left="0.7" right="0.7" top="0.75" bottom="0.75" header="0.3" footer="0.3"/>
  <pageSetup scale="49" orientation="landscape" r:id="rId1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F33A-9CAB-4814-8236-27E5A9FA7555}">
  <dimension ref="A1:F23"/>
  <sheetViews>
    <sheetView showRuler="0" zoomScale="120" zoomScaleNormal="120" workbookViewId="0">
      <selection activeCell="B26" sqref="B26"/>
    </sheetView>
  </sheetViews>
  <sheetFormatPr defaultColWidth="13.7265625" defaultRowHeight="13"/>
  <cols>
    <col min="1" max="1" width="8.453125" style="172" customWidth="1"/>
    <col min="2" max="2" width="43.7265625" style="172" customWidth="1"/>
    <col min="3" max="3" width="1.26953125" style="172" customWidth="1"/>
    <col min="4" max="4" width="9.7265625" style="172" customWidth="1"/>
    <col min="5" max="5" width="1.26953125" style="172" customWidth="1"/>
    <col min="6" max="6" width="19.1796875" style="172" customWidth="1"/>
    <col min="7" max="7" width="10.54296875" style="172" customWidth="1"/>
    <col min="8" max="16384" width="13.7265625" style="172"/>
  </cols>
  <sheetData>
    <row r="1" spans="1:6" ht="15.75" customHeight="1">
      <c r="A1" s="844" t="s">
        <v>0</v>
      </c>
      <c r="B1" s="845"/>
      <c r="C1" s="845"/>
      <c r="D1" s="845"/>
      <c r="E1" s="845"/>
      <c r="F1" s="845"/>
    </row>
    <row r="2" spans="1:6" ht="15.75" customHeight="1">
      <c r="A2" s="844" t="s">
        <v>367</v>
      </c>
      <c r="B2" s="845"/>
      <c r="C2" s="845"/>
      <c r="D2" s="845"/>
      <c r="E2" s="845"/>
      <c r="F2" s="845"/>
    </row>
    <row r="3" spans="1:6" ht="15.75" customHeight="1">
      <c r="A3" s="844" t="s">
        <v>591</v>
      </c>
      <c r="B3" s="845"/>
      <c r="C3" s="845"/>
      <c r="D3" s="845"/>
      <c r="E3" s="845"/>
      <c r="F3" s="845"/>
    </row>
    <row r="4" spans="1:6" ht="15.75" customHeight="1">
      <c r="A4" s="844" t="s">
        <v>53</v>
      </c>
      <c r="B4" s="845"/>
      <c r="C4" s="845"/>
      <c r="D4" s="845"/>
      <c r="E4" s="845"/>
      <c r="F4" s="845"/>
    </row>
    <row r="5" spans="1:6" ht="15.75" customHeight="1"/>
    <row r="6" spans="1:6" ht="39.25" customHeight="1">
      <c r="A6" s="173" t="s">
        <v>10</v>
      </c>
      <c r="B6" s="173" t="s">
        <v>11</v>
      </c>
      <c r="D6" s="173" t="s">
        <v>12</v>
      </c>
      <c r="F6" s="173" t="s">
        <v>13</v>
      </c>
    </row>
    <row r="7" spans="1:6" ht="15.75" customHeight="1"/>
    <row r="8" spans="1:6" ht="15.75" customHeight="1">
      <c r="A8" s="188">
        <v>1</v>
      </c>
      <c r="B8" s="194" t="s">
        <v>639</v>
      </c>
      <c r="F8" s="314">
        <v>38090279.75</v>
      </c>
    </row>
    <row r="9" spans="1:6" ht="15.75" customHeight="1"/>
    <row r="10" spans="1:6" ht="15.75" customHeight="1">
      <c r="A10" s="188">
        <v>2</v>
      </c>
      <c r="B10" s="315" t="s">
        <v>640</v>
      </c>
      <c r="F10" s="181">
        <f>F8*0.0419</f>
        <v>1595982.7215249999</v>
      </c>
    </row>
    <row r="11" spans="1:6" ht="15.75" customHeight="1">
      <c r="F11" s="181"/>
    </row>
    <row r="12" spans="1:6" ht="15.75" customHeight="1">
      <c r="A12" s="188">
        <v>3</v>
      </c>
      <c r="B12" s="191" t="s">
        <v>50</v>
      </c>
      <c r="D12" s="178">
        <v>431</v>
      </c>
      <c r="F12" s="181">
        <v>1839861.61</v>
      </c>
    </row>
    <row r="13" spans="1:6" ht="15.75" customHeight="1">
      <c r="F13" s="181"/>
    </row>
    <row r="14" spans="1:6" ht="15.75" customHeight="1">
      <c r="A14" s="188">
        <v>4</v>
      </c>
      <c r="B14" s="191" t="s">
        <v>433</v>
      </c>
      <c r="F14" s="181">
        <f>F10-F12</f>
        <v>-243878.88847500016</v>
      </c>
    </row>
    <row r="15" spans="1:6" ht="15.75" customHeight="1">
      <c r="A15" s="173" t="s">
        <v>51</v>
      </c>
      <c r="F15" s="181"/>
    </row>
    <row r="16" spans="1:6" ht="15.75" customHeight="1">
      <c r="A16" s="188">
        <v>5</v>
      </c>
      <c r="B16" s="191" t="s">
        <v>35</v>
      </c>
      <c r="F16" s="316">
        <v>1</v>
      </c>
    </row>
    <row r="17" spans="1:6" ht="15.75" customHeight="1">
      <c r="A17" s="173" t="s">
        <v>51</v>
      </c>
    </row>
    <row r="18" spans="1:6" ht="16.75" customHeight="1" thickBot="1">
      <c r="A18" s="188">
        <v>6</v>
      </c>
      <c r="B18" s="191" t="s">
        <v>52</v>
      </c>
      <c r="F18" s="317">
        <f>F14*F16</f>
        <v>-243878.88847500016</v>
      </c>
    </row>
    <row r="19" spans="1:6" ht="16.75" customHeight="1" thickTop="1">
      <c r="F19" s="272"/>
    </row>
    <row r="20" spans="1:6" ht="15.75" customHeight="1"/>
    <row r="21" spans="1:6" ht="15.75" customHeight="1">
      <c r="A21" s="193" t="s">
        <v>33</v>
      </c>
      <c r="B21" s="194" t="s">
        <v>590</v>
      </c>
    </row>
    <row r="22" spans="1:6" ht="15.75" customHeight="1"/>
    <row r="23" spans="1:6" ht="15.75" customHeight="1"/>
  </sheetData>
  <mergeCells count="4">
    <mergeCell ref="A1:F1"/>
    <mergeCell ref="A2:F2"/>
    <mergeCell ref="A3:F3"/>
    <mergeCell ref="A4:F4"/>
  </mergeCell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EF87-18DA-4CAA-853B-7C3FFBC773F3}">
  <sheetPr>
    <pageSetUpPr autoPageBreaks="0" fitToPage="1"/>
  </sheetPr>
  <dimension ref="A1:N46"/>
  <sheetViews>
    <sheetView workbookViewId="0">
      <selection activeCell="M32" sqref="M32"/>
    </sheetView>
  </sheetViews>
  <sheetFormatPr defaultRowHeight="14.5"/>
  <cols>
    <col min="1" max="1" width="5.1796875" style="97" customWidth="1"/>
    <col min="2" max="2" width="3.7265625" style="97" customWidth="1"/>
    <col min="3" max="3" width="25.453125" style="97" customWidth="1"/>
    <col min="4" max="4" width="3.7265625" style="97" customWidth="1"/>
    <col min="5" max="5" width="16" style="97" customWidth="1"/>
    <col min="6" max="6" width="3.7265625" style="97" customWidth="1"/>
    <col min="7" max="7" width="8.7265625" style="97"/>
    <col min="8" max="8" width="3.7265625" style="97" customWidth="1"/>
    <col min="9" max="9" width="8.7265625" style="97"/>
    <col min="10" max="10" width="3.7265625" style="97" customWidth="1"/>
    <col min="11" max="11" width="15.453125" style="97" customWidth="1"/>
    <col min="12" max="13" width="8.7265625" style="97"/>
    <col min="14" max="14" width="15.1796875" style="97" customWidth="1"/>
    <col min="15" max="256" width="8.7265625" style="97"/>
    <col min="257" max="257" width="5.1796875" style="97" customWidth="1"/>
    <col min="258" max="258" width="3.7265625" style="97" customWidth="1"/>
    <col min="259" max="259" width="25.453125" style="97" customWidth="1"/>
    <col min="260" max="260" width="3.7265625" style="97" customWidth="1"/>
    <col min="261" max="261" width="16" style="97" customWidth="1"/>
    <col min="262" max="262" width="3.7265625" style="97" customWidth="1"/>
    <col min="263" max="263" width="8.7265625" style="97"/>
    <col min="264" max="264" width="3.7265625" style="97" customWidth="1"/>
    <col min="265" max="265" width="8.7265625" style="97"/>
    <col min="266" max="266" width="3.7265625" style="97" customWidth="1"/>
    <col min="267" max="267" width="12.7265625" style="97" customWidth="1"/>
    <col min="268" max="512" width="8.7265625" style="97"/>
    <col min="513" max="513" width="5.1796875" style="97" customWidth="1"/>
    <col min="514" max="514" width="3.7265625" style="97" customWidth="1"/>
    <col min="515" max="515" width="25.453125" style="97" customWidth="1"/>
    <col min="516" max="516" width="3.7265625" style="97" customWidth="1"/>
    <col min="517" max="517" width="16" style="97" customWidth="1"/>
    <col min="518" max="518" width="3.7265625" style="97" customWidth="1"/>
    <col min="519" max="519" width="8.7265625" style="97"/>
    <col min="520" max="520" width="3.7265625" style="97" customWidth="1"/>
    <col min="521" max="521" width="8.7265625" style="97"/>
    <col min="522" max="522" width="3.7265625" style="97" customWidth="1"/>
    <col min="523" max="523" width="12.7265625" style="97" customWidth="1"/>
    <col min="524" max="768" width="8.7265625" style="97"/>
    <col min="769" max="769" width="5.1796875" style="97" customWidth="1"/>
    <col min="770" max="770" width="3.7265625" style="97" customWidth="1"/>
    <col min="771" max="771" width="25.453125" style="97" customWidth="1"/>
    <col min="772" max="772" width="3.7265625" style="97" customWidth="1"/>
    <col min="773" max="773" width="16" style="97" customWidth="1"/>
    <col min="774" max="774" width="3.7265625" style="97" customWidth="1"/>
    <col min="775" max="775" width="8.7265625" style="97"/>
    <col min="776" max="776" width="3.7265625" style="97" customWidth="1"/>
    <col min="777" max="777" width="8.7265625" style="97"/>
    <col min="778" max="778" width="3.7265625" style="97" customWidth="1"/>
    <col min="779" max="779" width="12.7265625" style="97" customWidth="1"/>
    <col min="780" max="1024" width="8.7265625" style="97"/>
    <col min="1025" max="1025" width="5.1796875" style="97" customWidth="1"/>
    <col min="1026" max="1026" width="3.7265625" style="97" customWidth="1"/>
    <col min="1027" max="1027" width="25.453125" style="97" customWidth="1"/>
    <col min="1028" max="1028" width="3.7265625" style="97" customWidth="1"/>
    <col min="1029" max="1029" width="16" style="97" customWidth="1"/>
    <col min="1030" max="1030" width="3.7265625" style="97" customWidth="1"/>
    <col min="1031" max="1031" width="8.7265625" style="97"/>
    <col min="1032" max="1032" width="3.7265625" style="97" customWidth="1"/>
    <col min="1033" max="1033" width="8.7265625" style="97"/>
    <col min="1034" max="1034" width="3.7265625" style="97" customWidth="1"/>
    <col min="1035" max="1035" width="12.7265625" style="97" customWidth="1"/>
    <col min="1036" max="1280" width="8.7265625" style="97"/>
    <col min="1281" max="1281" width="5.1796875" style="97" customWidth="1"/>
    <col min="1282" max="1282" width="3.7265625" style="97" customWidth="1"/>
    <col min="1283" max="1283" width="25.453125" style="97" customWidth="1"/>
    <col min="1284" max="1284" width="3.7265625" style="97" customWidth="1"/>
    <col min="1285" max="1285" width="16" style="97" customWidth="1"/>
    <col min="1286" max="1286" width="3.7265625" style="97" customWidth="1"/>
    <col min="1287" max="1287" width="8.7265625" style="97"/>
    <col min="1288" max="1288" width="3.7265625" style="97" customWidth="1"/>
    <col min="1289" max="1289" width="8.7265625" style="97"/>
    <col min="1290" max="1290" width="3.7265625" style="97" customWidth="1"/>
    <col min="1291" max="1291" width="12.7265625" style="97" customWidth="1"/>
    <col min="1292" max="1536" width="8.7265625" style="97"/>
    <col min="1537" max="1537" width="5.1796875" style="97" customWidth="1"/>
    <col min="1538" max="1538" width="3.7265625" style="97" customWidth="1"/>
    <col min="1539" max="1539" width="25.453125" style="97" customWidth="1"/>
    <col min="1540" max="1540" width="3.7265625" style="97" customWidth="1"/>
    <col min="1541" max="1541" width="16" style="97" customWidth="1"/>
    <col min="1542" max="1542" width="3.7265625" style="97" customWidth="1"/>
    <col min="1543" max="1543" width="8.7265625" style="97"/>
    <col min="1544" max="1544" width="3.7265625" style="97" customWidth="1"/>
    <col min="1545" max="1545" width="8.7265625" style="97"/>
    <col min="1546" max="1546" width="3.7265625" style="97" customWidth="1"/>
    <col min="1547" max="1547" width="12.7265625" style="97" customWidth="1"/>
    <col min="1548" max="1792" width="8.7265625" style="97"/>
    <col min="1793" max="1793" width="5.1796875" style="97" customWidth="1"/>
    <col min="1794" max="1794" width="3.7265625" style="97" customWidth="1"/>
    <col min="1795" max="1795" width="25.453125" style="97" customWidth="1"/>
    <col min="1796" max="1796" width="3.7265625" style="97" customWidth="1"/>
    <col min="1797" max="1797" width="16" style="97" customWidth="1"/>
    <col min="1798" max="1798" width="3.7265625" style="97" customWidth="1"/>
    <col min="1799" max="1799" width="8.7265625" style="97"/>
    <col min="1800" max="1800" width="3.7265625" style="97" customWidth="1"/>
    <col min="1801" max="1801" width="8.7265625" style="97"/>
    <col min="1802" max="1802" width="3.7265625" style="97" customWidth="1"/>
    <col min="1803" max="1803" width="12.7265625" style="97" customWidth="1"/>
    <col min="1804" max="2048" width="8.7265625" style="97"/>
    <col min="2049" max="2049" width="5.1796875" style="97" customWidth="1"/>
    <col min="2050" max="2050" width="3.7265625" style="97" customWidth="1"/>
    <col min="2051" max="2051" width="25.453125" style="97" customWidth="1"/>
    <col min="2052" max="2052" width="3.7265625" style="97" customWidth="1"/>
    <col min="2053" max="2053" width="16" style="97" customWidth="1"/>
    <col min="2054" max="2054" width="3.7265625" style="97" customWidth="1"/>
    <col min="2055" max="2055" width="8.7265625" style="97"/>
    <col min="2056" max="2056" width="3.7265625" style="97" customWidth="1"/>
    <col min="2057" max="2057" width="8.7265625" style="97"/>
    <col min="2058" max="2058" width="3.7265625" style="97" customWidth="1"/>
    <col min="2059" max="2059" width="12.7265625" style="97" customWidth="1"/>
    <col min="2060" max="2304" width="8.7265625" style="97"/>
    <col min="2305" max="2305" width="5.1796875" style="97" customWidth="1"/>
    <col min="2306" max="2306" width="3.7265625" style="97" customWidth="1"/>
    <col min="2307" max="2307" width="25.453125" style="97" customWidth="1"/>
    <col min="2308" max="2308" width="3.7265625" style="97" customWidth="1"/>
    <col min="2309" max="2309" width="16" style="97" customWidth="1"/>
    <col min="2310" max="2310" width="3.7265625" style="97" customWidth="1"/>
    <col min="2311" max="2311" width="8.7265625" style="97"/>
    <col min="2312" max="2312" width="3.7265625" style="97" customWidth="1"/>
    <col min="2313" max="2313" width="8.7265625" style="97"/>
    <col min="2314" max="2314" width="3.7265625" style="97" customWidth="1"/>
    <col min="2315" max="2315" width="12.7265625" style="97" customWidth="1"/>
    <col min="2316" max="2560" width="8.7265625" style="97"/>
    <col min="2561" max="2561" width="5.1796875" style="97" customWidth="1"/>
    <col min="2562" max="2562" width="3.7265625" style="97" customWidth="1"/>
    <col min="2563" max="2563" width="25.453125" style="97" customWidth="1"/>
    <col min="2564" max="2564" width="3.7265625" style="97" customWidth="1"/>
    <col min="2565" max="2565" width="16" style="97" customWidth="1"/>
    <col min="2566" max="2566" width="3.7265625" style="97" customWidth="1"/>
    <col min="2567" max="2567" width="8.7265625" style="97"/>
    <col min="2568" max="2568" width="3.7265625" style="97" customWidth="1"/>
    <col min="2569" max="2569" width="8.7265625" style="97"/>
    <col min="2570" max="2570" width="3.7265625" style="97" customWidth="1"/>
    <col min="2571" max="2571" width="12.7265625" style="97" customWidth="1"/>
    <col min="2572" max="2816" width="8.7265625" style="97"/>
    <col min="2817" max="2817" width="5.1796875" style="97" customWidth="1"/>
    <col min="2818" max="2818" width="3.7265625" style="97" customWidth="1"/>
    <col min="2819" max="2819" width="25.453125" style="97" customWidth="1"/>
    <col min="2820" max="2820" width="3.7265625" style="97" customWidth="1"/>
    <col min="2821" max="2821" width="16" style="97" customWidth="1"/>
    <col min="2822" max="2822" width="3.7265625" style="97" customWidth="1"/>
    <col min="2823" max="2823" width="8.7265625" style="97"/>
    <col min="2824" max="2824" width="3.7265625" style="97" customWidth="1"/>
    <col min="2825" max="2825" width="8.7265625" style="97"/>
    <col min="2826" max="2826" width="3.7265625" style="97" customWidth="1"/>
    <col min="2827" max="2827" width="12.7265625" style="97" customWidth="1"/>
    <col min="2828" max="3072" width="8.7265625" style="97"/>
    <col min="3073" max="3073" width="5.1796875" style="97" customWidth="1"/>
    <col min="3074" max="3074" width="3.7265625" style="97" customWidth="1"/>
    <col min="3075" max="3075" width="25.453125" style="97" customWidth="1"/>
    <col min="3076" max="3076" width="3.7265625" style="97" customWidth="1"/>
    <col min="3077" max="3077" width="16" style="97" customWidth="1"/>
    <col min="3078" max="3078" width="3.7265625" style="97" customWidth="1"/>
    <col min="3079" max="3079" width="8.7265625" style="97"/>
    <col min="3080" max="3080" width="3.7265625" style="97" customWidth="1"/>
    <col min="3081" max="3081" width="8.7265625" style="97"/>
    <col min="3082" max="3082" width="3.7265625" style="97" customWidth="1"/>
    <col min="3083" max="3083" width="12.7265625" style="97" customWidth="1"/>
    <col min="3084" max="3328" width="8.7265625" style="97"/>
    <col min="3329" max="3329" width="5.1796875" style="97" customWidth="1"/>
    <col min="3330" max="3330" width="3.7265625" style="97" customWidth="1"/>
    <col min="3331" max="3331" width="25.453125" style="97" customWidth="1"/>
    <col min="3332" max="3332" width="3.7265625" style="97" customWidth="1"/>
    <col min="3333" max="3333" width="16" style="97" customWidth="1"/>
    <col min="3334" max="3334" width="3.7265625" style="97" customWidth="1"/>
    <col min="3335" max="3335" width="8.7265625" style="97"/>
    <col min="3336" max="3336" width="3.7265625" style="97" customWidth="1"/>
    <col min="3337" max="3337" width="8.7265625" style="97"/>
    <col min="3338" max="3338" width="3.7265625" style="97" customWidth="1"/>
    <col min="3339" max="3339" width="12.7265625" style="97" customWidth="1"/>
    <col min="3340" max="3584" width="8.7265625" style="97"/>
    <col min="3585" max="3585" width="5.1796875" style="97" customWidth="1"/>
    <col min="3586" max="3586" width="3.7265625" style="97" customWidth="1"/>
    <col min="3587" max="3587" width="25.453125" style="97" customWidth="1"/>
    <col min="3588" max="3588" width="3.7265625" style="97" customWidth="1"/>
    <col min="3589" max="3589" width="16" style="97" customWidth="1"/>
    <col min="3590" max="3590" width="3.7265625" style="97" customWidth="1"/>
    <col min="3591" max="3591" width="8.7265625" style="97"/>
    <col min="3592" max="3592" width="3.7265625" style="97" customWidth="1"/>
    <col min="3593" max="3593" width="8.7265625" style="97"/>
    <col min="3594" max="3594" width="3.7265625" style="97" customWidth="1"/>
    <col min="3595" max="3595" width="12.7265625" style="97" customWidth="1"/>
    <col min="3596" max="3840" width="8.7265625" style="97"/>
    <col min="3841" max="3841" width="5.1796875" style="97" customWidth="1"/>
    <col min="3842" max="3842" width="3.7265625" style="97" customWidth="1"/>
    <col min="3843" max="3843" width="25.453125" style="97" customWidth="1"/>
    <col min="3844" max="3844" width="3.7265625" style="97" customWidth="1"/>
    <col min="3845" max="3845" width="16" style="97" customWidth="1"/>
    <col min="3846" max="3846" width="3.7265625" style="97" customWidth="1"/>
    <col min="3847" max="3847" width="8.7265625" style="97"/>
    <col min="3848" max="3848" width="3.7265625" style="97" customWidth="1"/>
    <col min="3849" max="3849" width="8.7265625" style="97"/>
    <col min="3850" max="3850" width="3.7265625" style="97" customWidth="1"/>
    <col min="3851" max="3851" width="12.7265625" style="97" customWidth="1"/>
    <col min="3852" max="4096" width="8.7265625" style="97"/>
    <col min="4097" max="4097" width="5.1796875" style="97" customWidth="1"/>
    <col min="4098" max="4098" width="3.7265625" style="97" customWidth="1"/>
    <col min="4099" max="4099" width="25.453125" style="97" customWidth="1"/>
    <col min="4100" max="4100" width="3.7265625" style="97" customWidth="1"/>
    <col min="4101" max="4101" width="16" style="97" customWidth="1"/>
    <col min="4102" max="4102" width="3.7265625" style="97" customWidth="1"/>
    <col min="4103" max="4103" width="8.7265625" style="97"/>
    <col min="4104" max="4104" width="3.7265625" style="97" customWidth="1"/>
    <col min="4105" max="4105" width="8.7265625" style="97"/>
    <col min="4106" max="4106" width="3.7265625" style="97" customWidth="1"/>
    <col min="4107" max="4107" width="12.7265625" style="97" customWidth="1"/>
    <col min="4108" max="4352" width="8.7265625" style="97"/>
    <col min="4353" max="4353" width="5.1796875" style="97" customWidth="1"/>
    <col min="4354" max="4354" width="3.7265625" style="97" customWidth="1"/>
    <col min="4355" max="4355" width="25.453125" style="97" customWidth="1"/>
    <col min="4356" max="4356" width="3.7265625" style="97" customWidth="1"/>
    <col min="4357" max="4357" width="16" style="97" customWidth="1"/>
    <col min="4358" max="4358" width="3.7265625" style="97" customWidth="1"/>
    <col min="4359" max="4359" width="8.7265625" style="97"/>
    <col min="4360" max="4360" width="3.7265625" style="97" customWidth="1"/>
    <col min="4361" max="4361" width="8.7265625" style="97"/>
    <col min="4362" max="4362" width="3.7265625" style="97" customWidth="1"/>
    <col min="4363" max="4363" width="12.7265625" style="97" customWidth="1"/>
    <col min="4364" max="4608" width="8.7265625" style="97"/>
    <col min="4609" max="4609" width="5.1796875" style="97" customWidth="1"/>
    <col min="4610" max="4610" width="3.7265625" style="97" customWidth="1"/>
    <col min="4611" max="4611" width="25.453125" style="97" customWidth="1"/>
    <col min="4612" max="4612" width="3.7265625" style="97" customWidth="1"/>
    <col min="4613" max="4613" width="16" style="97" customWidth="1"/>
    <col min="4614" max="4614" width="3.7265625" style="97" customWidth="1"/>
    <col min="4615" max="4615" width="8.7265625" style="97"/>
    <col min="4616" max="4616" width="3.7265625" style="97" customWidth="1"/>
    <col min="4617" max="4617" width="8.7265625" style="97"/>
    <col min="4618" max="4618" width="3.7265625" style="97" customWidth="1"/>
    <col min="4619" max="4619" width="12.7265625" style="97" customWidth="1"/>
    <col min="4620" max="4864" width="8.7265625" style="97"/>
    <col min="4865" max="4865" width="5.1796875" style="97" customWidth="1"/>
    <col min="4866" max="4866" width="3.7265625" style="97" customWidth="1"/>
    <col min="4867" max="4867" width="25.453125" style="97" customWidth="1"/>
    <col min="4868" max="4868" width="3.7265625" style="97" customWidth="1"/>
    <col min="4869" max="4869" width="16" style="97" customWidth="1"/>
    <col min="4870" max="4870" width="3.7265625" style="97" customWidth="1"/>
    <col min="4871" max="4871" width="8.7265625" style="97"/>
    <col min="4872" max="4872" width="3.7265625" style="97" customWidth="1"/>
    <col min="4873" max="4873" width="8.7265625" style="97"/>
    <col min="4874" max="4874" width="3.7265625" style="97" customWidth="1"/>
    <col min="4875" max="4875" width="12.7265625" style="97" customWidth="1"/>
    <col min="4876" max="5120" width="8.7265625" style="97"/>
    <col min="5121" max="5121" width="5.1796875" style="97" customWidth="1"/>
    <col min="5122" max="5122" width="3.7265625" style="97" customWidth="1"/>
    <col min="5123" max="5123" width="25.453125" style="97" customWidth="1"/>
    <col min="5124" max="5124" width="3.7265625" style="97" customWidth="1"/>
    <col min="5125" max="5125" width="16" style="97" customWidth="1"/>
    <col min="5126" max="5126" width="3.7265625" style="97" customWidth="1"/>
    <col min="5127" max="5127" width="8.7265625" style="97"/>
    <col min="5128" max="5128" width="3.7265625" style="97" customWidth="1"/>
    <col min="5129" max="5129" width="8.7265625" style="97"/>
    <col min="5130" max="5130" width="3.7265625" style="97" customWidth="1"/>
    <col min="5131" max="5131" width="12.7265625" style="97" customWidth="1"/>
    <col min="5132" max="5376" width="8.7265625" style="97"/>
    <col min="5377" max="5377" width="5.1796875" style="97" customWidth="1"/>
    <col min="5378" max="5378" width="3.7265625" style="97" customWidth="1"/>
    <col min="5379" max="5379" width="25.453125" style="97" customWidth="1"/>
    <col min="5380" max="5380" width="3.7265625" style="97" customWidth="1"/>
    <col min="5381" max="5381" width="16" style="97" customWidth="1"/>
    <col min="5382" max="5382" width="3.7265625" style="97" customWidth="1"/>
    <col min="5383" max="5383" width="8.7265625" style="97"/>
    <col min="5384" max="5384" width="3.7265625" style="97" customWidth="1"/>
    <col min="5385" max="5385" width="8.7265625" style="97"/>
    <col min="5386" max="5386" width="3.7265625" style="97" customWidth="1"/>
    <col min="5387" max="5387" width="12.7265625" style="97" customWidth="1"/>
    <col min="5388" max="5632" width="8.7265625" style="97"/>
    <col min="5633" max="5633" width="5.1796875" style="97" customWidth="1"/>
    <col min="5634" max="5634" width="3.7265625" style="97" customWidth="1"/>
    <col min="5635" max="5635" width="25.453125" style="97" customWidth="1"/>
    <col min="5636" max="5636" width="3.7265625" style="97" customWidth="1"/>
    <col min="5637" max="5637" width="16" style="97" customWidth="1"/>
    <col min="5638" max="5638" width="3.7265625" style="97" customWidth="1"/>
    <col min="5639" max="5639" width="8.7265625" style="97"/>
    <col min="5640" max="5640" width="3.7265625" style="97" customWidth="1"/>
    <col min="5641" max="5641" width="8.7265625" style="97"/>
    <col min="5642" max="5642" width="3.7265625" style="97" customWidth="1"/>
    <col min="5643" max="5643" width="12.7265625" style="97" customWidth="1"/>
    <col min="5644" max="5888" width="8.7265625" style="97"/>
    <col min="5889" max="5889" width="5.1796875" style="97" customWidth="1"/>
    <col min="5890" max="5890" width="3.7265625" style="97" customWidth="1"/>
    <col min="5891" max="5891" width="25.453125" style="97" customWidth="1"/>
    <col min="5892" max="5892" width="3.7265625" style="97" customWidth="1"/>
    <col min="5893" max="5893" width="16" style="97" customWidth="1"/>
    <col min="5894" max="5894" width="3.7265625" style="97" customWidth="1"/>
    <col min="5895" max="5895" width="8.7265625" style="97"/>
    <col min="5896" max="5896" width="3.7265625" style="97" customWidth="1"/>
    <col min="5897" max="5897" width="8.7265625" style="97"/>
    <col min="5898" max="5898" width="3.7265625" style="97" customWidth="1"/>
    <col min="5899" max="5899" width="12.7265625" style="97" customWidth="1"/>
    <col min="5900" max="6144" width="8.7265625" style="97"/>
    <col min="6145" max="6145" width="5.1796875" style="97" customWidth="1"/>
    <col min="6146" max="6146" width="3.7265625" style="97" customWidth="1"/>
    <col min="6147" max="6147" width="25.453125" style="97" customWidth="1"/>
    <col min="6148" max="6148" width="3.7265625" style="97" customWidth="1"/>
    <col min="6149" max="6149" width="16" style="97" customWidth="1"/>
    <col min="6150" max="6150" width="3.7265625" style="97" customWidth="1"/>
    <col min="6151" max="6151" width="8.7265625" style="97"/>
    <col min="6152" max="6152" width="3.7265625" style="97" customWidth="1"/>
    <col min="6153" max="6153" width="8.7265625" style="97"/>
    <col min="6154" max="6154" width="3.7265625" style="97" customWidth="1"/>
    <col min="6155" max="6155" width="12.7265625" style="97" customWidth="1"/>
    <col min="6156" max="6400" width="8.7265625" style="97"/>
    <col min="6401" max="6401" width="5.1796875" style="97" customWidth="1"/>
    <col min="6402" max="6402" width="3.7265625" style="97" customWidth="1"/>
    <col min="6403" max="6403" width="25.453125" style="97" customWidth="1"/>
    <col min="6404" max="6404" width="3.7265625" style="97" customWidth="1"/>
    <col min="6405" max="6405" width="16" style="97" customWidth="1"/>
    <col min="6406" max="6406" width="3.7265625" style="97" customWidth="1"/>
    <col min="6407" max="6407" width="8.7265625" style="97"/>
    <col min="6408" max="6408" width="3.7265625" style="97" customWidth="1"/>
    <col min="6409" max="6409" width="8.7265625" style="97"/>
    <col min="6410" max="6410" width="3.7265625" style="97" customWidth="1"/>
    <col min="6411" max="6411" width="12.7265625" style="97" customWidth="1"/>
    <col min="6412" max="6656" width="8.7265625" style="97"/>
    <col min="6657" max="6657" width="5.1796875" style="97" customWidth="1"/>
    <col min="6658" max="6658" width="3.7265625" style="97" customWidth="1"/>
    <col min="6659" max="6659" width="25.453125" style="97" customWidth="1"/>
    <col min="6660" max="6660" width="3.7265625" style="97" customWidth="1"/>
    <col min="6661" max="6661" width="16" style="97" customWidth="1"/>
    <col min="6662" max="6662" width="3.7265625" style="97" customWidth="1"/>
    <col min="6663" max="6663" width="8.7265625" style="97"/>
    <col min="6664" max="6664" width="3.7265625" style="97" customWidth="1"/>
    <col min="6665" max="6665" width="8.7265625" style="97"/>
    <col min="6666" max="6666" width="3.7265625" style="97" customWidth="1"/>
    <col min="6667" max="6667" width="12.7265625" style="97" customWidth="1"/>
    <col min="6668" max="6912" width="8.7265625" style="97"/>
    <col min="6913" max="6913" width="5.1796875" style="97" customWidth="1"/>
    <col min="6914" max="6914" width="3.7265625" style="97" customWidth="1"/>
    <col min="6915" max="6915" width="25.453125" style="97" customWidth="1"/>
    <col min="6916" max="6916" width="3.7265625" style="97" customWidth="1"/>
    <col min="6917" max="6917" width="16" style="97" customWidth="1"/>
    <col min="6918" max="6918" width="3.7265625" style="97" customWidth="1"/>
    <col min="6919" max="6919" width="8.7265625" style="97"/>
    <col min="6920" max="6920" width="3.7265625" style="97" customWidth="1"/>
    <col min="6921" max="6921" width="8.7265625" style="97"/>
    <col min="6922" max="6922" width="3.7265625" style="97" customWidth="1"/>
    <col min="6923" max="6923" width="12.7265625" style="97" customWidth="1"/>
    <col min="6924" max="7168" width="8.7265625" style="97"/>
    <col min="7169" max="7169" width="5.1796875" style="97" customWidth="1"/>
    <col min="7170" max="7170" width="3.7265625" style="97" customWidth="1"/>
    <col min="7171" max="7171" width="25.453125" style="97" customWidth="1"/>
    <col min="7172" max="7172" width="3.7265625" style="97" customWidth="1"/>
    <col min="7173" max="7173" width="16" style="97" customWidth="1"/>
    <col min="7174" max="7174" width="3.7265625" style="97" customWidth="1"/>
    <col min="7175" max="7175" width="8.7265625" style="97"/>
    <col min="7176" max="7176" width="3.7265625" style="97" customWidth="1"/>
    <col min="7177" max="7177" width="8.7265625" style="97"/>
    <col min="7178" max="7178" width="3.7265625" style="97" customWidth="1"/>
    <col min="7179" max="7179" width="12.7265625" style="97" customWidth="1"/>
    <col min="7180" max="7424" width="8.7265625" style="97"/>
    <col min="7425" max="7425" width="5.1796875" style="97" customWidth="1"/>
    <col min="7426" max="7426" width="3.7265625" style="97" customWidth="1"/>
    <col min="7427" max="7427" width="25.453125" style="97" customWidth="1"/>
    <col min="7428" max="7428" width="3.7265625" style="97" customWidth="1"/>
    <col min="7429" max="7429" width="16" style="97" customWidth="1"/>
    <col min="7430" max="7430" width="3.7265625" style="97" customWidth="1"/>
    <col min="7431" max="7431" width="8.7265625" style="97"/>
    <col min="7432" max="7432" width="3.7265625" style="97" customWidth="1"/>
    <col min="7433" max="7433" width="8.7265625" style="97"/>
    <col min="7434" max="7434" width="3.7265625" style="97" customWidth="1"/>
    <col min="7435" max="7435" width="12.7265625" style="97" customWidth="1"/>
    <col min="7436" max="7680" width="8.7265625" style="97"/>
    <col min="7681" max="7681" width="5.1796875" style="97" customWidth="1"/>
    <col min="7682" max="7682" width="3.7265625" style="97" customWidth="1"/>
    <col min="7683" max="7683" width="25.453125" style="97" customWidth="1"/>
    <col min="7684" max="7684" width="3.7265625" style="97" customWidth="1"/>
    <col min="7685" max="7685" width="16" style="97" customWidth="1"/>
    <col min="7686" max="7686" width="3.7265625" style="97" customWidth="1"/>
    <col min="7687" max="7687" width="8.7265625" style="97"/>
    <col min="7688" max="7688" width="3.7265625" style="97" customWidth="1"/>
    <col min="7689" max="7689" width="8.7265625" style="97"/>
    <col min="7690" max="7690" width="3.7265625" style="97" customWidth="1"/>
    <col min="7691" max="7691" width="12.7265625" style="97" customWidth="1"/>
    <col min="7692" max="7936" width="8.7265625" style="97"/>
    <col min="7937" max="7937" width="5.1796875" style="97" customWidth="1"/>
    <col min="7938" max="7938" width="3.7265625" style="97" customWidth="1"/>
    <col min="7939" max="7939" width="25.453125" style="97" customWidth="1"/>
    <col min="7940" max="7940" width="3.7265625" style="97" customWidth="1"/>
    <col min="7941" max="7941" width="16" style="97" customWidth="1"/>
    <col min="7942" max="7942" width="3.7265625" style="97" customWidth="1"/>
    <col min="7943" max="7943" width="8.7265625" style="97"/>
    <col min="7944" max="7944" width="3.7265625" style="97" customWidth="1"/>
    <col min="7945" max="7945" width="8.7265625" style="97"/>
    <col min="7946" max="7946" width="3.7265625" style="97" customWidth="1"/>
    <col min="7947" max="7947" width="12.7265625" style="97" customWidth="1"/>
    <col min="7948" max="8192" width="8.7265625" style="97"/>
    <col min="8193" max="8193" width="5.1796875" style="97" customWidth="1"/>
    <col min="8194" max="8194" width="3.7265625" style="97" customWidth="1"/>
    <col min="8195" max="8195" width="25.453125" style="97" customWidth="1"/>
    <col min="8196" max="8196" width="3.7265625" style="97" customWidth="1"/>
    <col min="8197" max="8197" width="16" style="97" customWidth="1"/>
    <col min="8198" max="8198" width="3.7265625" style="97" customWidth="1"/>
    <col min="8199" max="8199" width="8.7265625" style="97"/>
    <col min="8200" max="8200" width="3.7265625" style="97" customWidth="1"/>
    <col min="8201" max="8201" width="8.7265625" style="97"/>
    <col min="8202" max="8202" width="3.7265625" style="97" customWidth="1"/>
    <col min="8203" max="8203" width="12.7265625" style="97" customWidth="1"/>
    <col min="8204" max="8448" width="8.7265625" style="97"/>
    <col min="8449" max="8449" width="5.1796875" style="97" customWidth="1"/>
    <col min="8450" max="8450" width="3.7265625" style="97" customWidth="1"/>
    <col min="8451" max="8451" width="25.453125" style="97" customWidth="1"/>
    <col min="8452" max="8452" width="3.7265625" style="97" customWidth="1"/>
    <col min="8453" max="8453" width="16" style="97" customWidth="1"/>
    <col min="8454" max="8454" width="3.7265625" style="97" customWidth="1"/>
    <col min="8455" max="8455" width="8.7265625" style="97"/>
    <col min="8456" max="8456" width="3.7265625" style="97" customWidth="1"/>
    <col min="8457" max="8457" width="8.7265625" style="97"/>
    <col min="8458" max="8458" width="3.7265625" style="97" customWidth="1"/>
    <col min="8459" max="8459" width="12.7265625" style="97" customWidth="1"/>
    <col min="8460" max="8704" width="8.7265625" style="97"/>
    <col min="8705" max="8705" width="5.1796875" style="97" customWidth="1"/>
    <col min="8706" max="8706" width="3.7265625" style="97" customWidth="1"/>
    <col min="8707" max="8707" width="25.453125" style="97" customWidth="1"/>
    <col min="8708" max="8708" width="3.7265625" style="97" customWidth="1"/>
    <col min="8709" max="8709" width="16" style="97" customWidth="1"/>
    <col min="8710" max="8710" width="3.7265625" style="97" customWidth="1"/>
    <col min="8711" max="8711" width="8.7265625" style="97"/>
    <col min="8712" max="8712" width="3.7265625" style="97" customWidth="1"/>
    <col min="8713" max="8713" width="8.7265625" style="97"/>
    <col min="8714" max="8714" width="3.7265625" style="97" customWidth="1"/>
    <col min="8715" max="8715" width="12.7265625" style="97" customWidth="1"/>
    <col min="8716" max="8960" width="8.7265625" style="97"/>
    <col min="8961" max="8961" width="5.1796875" style="97" customWidth="1"/>
    <col min="8962" max="8962" width="3.7265625" style="97" customWidth="1"/>
    <col min="8963" max="8963" width="25.453125" style="97" customWidth="1"/>
    <col min="8964" max="8964" width="3.7265625" style="97" customWidth="1"/>
    <col min="8965" max="8965" width="16" style="97" customWidth="1"/>
    <col min="8966" max="8966" width="3.7265625" style="97" customWidth="1"/>
    <col min="8967" max="8967" width="8.7265625" style="97"/>
    <col min="8968" max="8968" width="3.7265625" style="97" customWidth="1"/>
    <col min="8969" max="8969" width="8.7265625" style="97"/>
    <col min="8970" max="8970" width="3.7265625" style="97" customWidth="1"/>
    <col min="8971" max="8971" width="12.7265625" style="97" customWidth="1"/>
    <col min="8972" max="9216" width="8.7265625" style="97"/>
    <col min="9217" max="9217" width="5.1796875" style="97" customWidth="1"/>
    <col min="9218" max="9218" width="3.7265625" style="97" customWidth="1"/>
    <col min="9219" max="9219" width="25.453125" style="97" customWidth="1"/>
    <col min="9220" max="9220" width="3.7265625" style="97" customWidth="1"/>
    <col min="9221" max="9221" width="16" style="97" customWidth="1"/>
    <col min="9222" max="9222" width="3.7265625" style="97" customWidth="1"/>
    <col min="9223" max="9223" width="8.7265625" style="97"/>
    <col min="9224" max="9224" width="3.7265625" style="97" customWidth="1"/>
    <col min="9225" max="9225" width="8.7265625" style="97"/>
    <col min="9226" max="9226" width="3.7265625" style="97" customWidth="1"/>
    <col min="9227" max="9227" width="12.7265625" style="97" customWidth="1"/>
    <col min="9228" max="9472" width="8.7265625" style="97"/>
    <col min="9473" max="9473" width="5.1796875" style="97" customWidth="1"/>
    <col min="9474" max="9474" width="3.7265625" style="97" customWidth="1"/>
    <col min="9475" max="9475" width="25.453125" style="97" customWidth="1"/>
    <col min="9476" max="9476" width="3.7265625" style="97" customWidth="1"/>
    <col min="9477" max="9477" width="16" style="97" customWidth="1"/>
    <col min="9478" max="9478" width="3.7265625" style="97" customWidth="1"/>
    <col min="9479" max="9479" width="8.7265625" style="97"/>
    <col min="9480" max="9480" width="3.7265625" style="97" customWidth="1"/>
    <col min="9481" max="9481" width="8.7265625" style="97"/>
    <col min="9482" max="9482" width="3.7265625" style="97" customWidth="1"/>
    <col min="9483" max="9483" width="12.7265625" style="97" customWidth="1"/>
    <col min="9484" max="9728" width="8.7265625" style="97"/>
    <col min="9729" max="9729" width="5.1796875" style="97" customWidth="1"/>
    <col min="9730" max="9730" width="3.7265625" style="97" customWidth="1"/>
    <col min="9731" max="9731" width="25.453125" style="97" customWidth="1"/>
    <col min="9732" max="9732" width="3.7265625" style="97" customWidth="1"/>
    <col min="9733" max="9733" width="16" style="97" customWidth="1"/>
    <col min="9734" max="9734" width="3.7265625" style="97" customWidth="1"/>
    <col min="9735" max="9735" width="8.7265625" style="97"/>
    <col min="9736" max="9736" width="3.7265625" style="97" customWidth="1"/>
    <col min="9737" max="9737" width="8.7265625" style="97"/>
    <col min="9738" max="9738" width="3.7265625" style="97" customWidth="1"/>
    <col min="9739" max="9739" width="12.7265625" style="97" customWidth="1"/>
    <col min="9740" max="9984" width="8.7265625" style="97"/>
    <col min="9985" max="9985" width="5.1796875" style="97" customWidth="1"/>
    <col min="9986" max="9986" width="3.7265625" style="97" customWidth="1"/>
    <col min="9987" max="9987" width="25.453125" style="97" customWidth="1"/>
    <col min="9988" max="9988" width="3.7265625" style="97" customWidth="1"/>
    <col min="9989" max="9989" width="16" style="97" customWidth="1"/>
    <col min="9990" max="9990" width="3.7265625" style="97" customWidth="1"/>
    <col min="9991" max="9991" width="8.7265625" style="97"/>
    <col min="9992" max="9992" width="3.7265625" style="97" customWidth="1"/>
    <col min="9993" max="9993" width="8.7265625" style="97"/>
    <col min="9994" max="9994" width="3.7265625" style="97" customWidth="1"/>
    <col min="9995" max="9995" width="12.7265625" style="97" customWidth="1"/>
    <col min="9996" max="10240" width="8.7265625" style="97"/>
    <col min="10241" max="10241" width="5.1796875" style="97" customWidth="1"/>
    <col min="10242" max="10242" width="3.7265625" style="97" customWidth="1"/>
    <col min="10243" max="10243" width="25.453125" style="97" customWidth="1"/>
    <col min="10244" max="10244" width="3.7265625" style="97" customWidth="1"/>
    <col min="10245" max="10245" width="16" style="97" customWidth="1"/>
    <col min="10246" max="10246" width="3.7265625" style="97" customWidth="1"/>
    <col min="10247" max="10247" width="8.7265625" style="97"/>
    <col min="10248" max="10248" width="3.7265625" style="97" customWidth="1"/>
    <col min="10249" max="10249" width="8.7265625" style="97"/>
    <col min="10250" max="10250" width="3.7265625" style="97" customWidth="1"/>
    <col min="10251" max="10251" width="12.7265625" style="97" customWidth="1"/>
    <col min="10252" max="10496" width="8.7265625" style="97"/>
    <col min="10497" max="10497" width="5.1796875" style="97" customWidth="1"/>
    <col min="10498" max="10498" width="3.7265625" style="97" customWidth="1"/>
    <col min="10499" max="10499" width="25.453125" style="97" customWidth="1"/>
    <col min="10500" max="10500" width="3.7265625" style="97" customWidth="1"/>
    <col min="10501" max="10501" width="16" style="97" customWidth="1"/>
    <col min="10502" max="10502" width="3.7265625" style="97" customWidth="1"/>
    <col min="10503" max="10503" width="8.7265625" style="97"/>
    <col min="10504" max="10504" width="3.7265625" style="97" customWidth="1"/>
    <col min="10505" max="10505" width="8.7265625" style="97"/>
    <col min="10506" max="10506" width="3.7265625" style="97" customWidth="1"/>
    <col min="10507" max="10507" width="12.7265625" style="97" customWidth="1"/>
    <col min="10508" max="10752" width="8.7265625" style="97"/>
    <col min="10753" max="10753" width="5.1796875" style="97" customWidth="1"/>
    <col min="10754" max="10754" width="3.7265625" style="97" customWidth="1"/>
    <col min="10755" max="10755" width="25.453125" style="97" customWidth="1"/>
    <col min="10756" max="10756" width="3.7265625" style="97" customWidth="1"/>
    <col min="10757" max="10757" width="16" style="97" customWidth="1"/>
    <col min="10758" max="10758" width="3.7265625" style="97" customWidth="1"/>
    <col min="10759" max="10759" width="8.7265625" style="97"/>
    <col min="10760" max="10760" width="3.7265625" style="97" customWidth="1"/>
    <col min="10761" max="10761" width="8.7265625" style="97"/>
    <col min="10762" max="10762" width="3.7265625" style="97" customWidth="1"/>
    <col min="10763" max="10763" width="12.7265625" style="97" customWidth="1"/>
    <col min="10764" max="11008" width="8.7265625" style="97"/>
    <col min="11009" max="11009" width="5.1796875" style="97" customWidth="1"/>
    <col min="11010" max="11010" width="3.7265625" style="97" customWidth="1"/>
    <col min="11011" max="11011" width="25.453125" style="97" customWidth="1"/>
    <col min="11012" max="11012" width="3.7265625" style="97" customWidth="1"/>
    <col min="11013" max="11013" width="16" style="97" customWidth="1"/>
    <col min="11014" max="11014" width="3.7265625" style="97" customWidth="1"/>
    <col min="11015" max="11015" width="8.7265625" style="97"/>
    <col min="11016" max="11016" width="3.7265625" style="97" customWidth="1"/>
    <col min="11017" max="11017" width="8.7265625" style="97"/>
    <col min="11018" max="11018" width="3.7265625" style="97" customWidth="1"/>
    <col min="11019" max="11019" width="12.7265625" style="97" customWidth="1"/>
    <col min="11020" max="11264" width="8.7265625" style="97"/>
    <col min="11265" max="11265" width="5.1796875" style="97" customWidth="1"/>
    <col min="11266" max="11266" width="3.7265625" style="97" customWidth="1"/>
    <col min="11267" max="11267" width="25.453125" style="97" customWidth="1"/>
    <col min="11268" max="11268" width="3.7265625" style="97" customWidth="1"/>
    <col min="11269" max="11269" width="16" style="97" customWidth="1"/>
    <col min="11270" max="11270" width="3.7265625" style="97" customWidth="1"/>
    <col min="11271" max="11271" width="8.7265625" style="97"/>
    <col min="11272" max="11272" width="3.7265625" style="97" customWidth="1"/>
    <col min="11273" max="11273" width="8.7265625" style="97"/>
    <col min="11274" max="11274" width="3.7265625" style="97" customWidth="1"/>
    <col min="11275" max="11275" width="12.7265625" style="97" customWidth="1"/>
    <col min="11276" max="11520" width="8.7265625" style="97"/>
    <col min="11521" max="11521" width="5.1796875" style="97" customWidth="1"/>
    <col min="11522" max="11522" width="3.7265625" style="97" customWidth="1"/>
    <col min="11523" max="11523" width="25.453125" style="97" customWidth="1"/>
    <col min="11524" max="11524" width="3.7265625" style="97" customWidth="1"/>
    <col min="11525" max="11525" width="16" style="97" customWidth="1"/>
    <col min="11526" max="11526" width="3.7265625" style="97" customWidth="1"/>
    <col min="11527" max="11527" width="8.7265625" style="97"/>
    <col min="11528" max="11528" width="3.7265625" style="97" customWidth="1"/>
    <col min="11529" max="11529" width="8.7265625" style="97"/>
    <col min="11530" max="11530" width="3.7265625" style="97" customWidth="1"/>
    <col min="11531" max="11531" width="12.7265625" style="97" customWidth="1"/>
    <col min="11532" max="11776" width="8.7265625" style="97"/>
    <col min="11777" max="11777" width="5.1796875" style="97" customWidth="1"/>
    <col min="11778" max="11778" width="3.7265625" style="97" customWidth="1"/>
    <col min="11779" max="11779" width="25.453125" style="97" customWidth="1"/>
    <col min="11780" max="11780" width="3.7265625" style="97" customWidth="1"/>
    <col min="11781" max="11781" width="16" style="97" customWidth="1"/>
    <col min="11782" max="11782" width="3.7265625" style="97" customWidth="1"/>
    <col min="11783" max="11783" width="8.7265625" style="97"/>
    <col min="11784" max="11784" width="3.7265625" style="97" customWidth="1"/>
    <col min="11785" max="11785" width="8.7265625" style="97"/>
    <col min="11786" max="11786" width="3.7265625" style="97" customWidth="1"/>
    <col min="11787" max="11787" width="12.7265625" style="97" customWidth="1"/>
    <col min="11788" max="12032" width="8.7265625" style="97"/>
    <col min="12033" max="12033" width="5.1796875" style="97" customWidth="1"/>
    <col min="12034" max="12034" width="3.7265625" style="97" customWidth="1"/>
    <col min="12035" max="12035" width="25.453125" style="97" customWidth="1"/>
    <col min="12036" max="12036" width="3.7265625" style="97" customWidth="1"/>
    <col min="12037" max="12037" width="16" style="97" customWidth="1"/>
    <col min="12038" max="12038" width="3.7265625" style="97" customWidth="1"/>
    <col min="12039" max="12039" width="8.7265625" style="97"/>
    <col min="12040" max="12040" width="3.7265625" style="97" customWidth="1"/>
    <col min="12041" max="12041" width="8.7265625" style="97"/>
    <col min="12042" max="12042" width="3.7265625" style="97" customWidth="1"/>
    <col min="12043" max="12043" width="12.7265625" style="97" customWidth="1"/>
    <col min="12044" max="12288" width="8.7265625" style="97"/>
    <col min="12289" max="12289" width="5.1796875" style="97" customWidth="1"/>
    <col min="12290" max="12290" width="3.7265625" style="97" customWidth="1"/>
    <col min="12291" max="12291" width="25.453125" style="97" customWidth="1"/>
    <col min="12292" max="12292" width="3.7265625" style="97" customWidth="1"/>
    <col min="12293" max="12293" width="16" style="97" customWidth="1"/>
    <col min="12294" max="12294" width="3.7265625" style="97" customWidth="1"/>
    <col min="12295" max="12295" width="8.7265625" style="97"/>
    <col min="12296" max="12296" width="3.7265625" style="97" customWidth="1"/>
    <col min="12297" max="12297" width="8.7265625" style="97"/>
    <col min="12298" max="12298" width="3.7265625" style="97" customWidth="1"/>
    <col min="12299" max="12299" width="12.7265625" style="97" customWidth="1"/>
    <col min="12300" max="12544" width="8.7265625" style="97"/>
    <col min="12545" max="12545" width="5.1796875" style="97" customWidth="1"/>
    <col min="12546" max="12546" width="3.7265625" style="97" customWidth="1"/>
    <col min="12547" max="12547" width="25.453125" style="97" customWidth="1"/>
    <col min="12548" max="12548" width="3.7265625" style="97" customWidth="1"/>
    <col min="12549" max="12549" width="16" style="97" customWidth="1"/>
    <col min="12550" max="12550" width="3.7265625" style="97" customWidth="1"/>
    <col min="12551" max="12551" width="8.7265625" style="97"/>
    <col min="12552" max="12552" width="3.7265625" style="97" customWidth="1"/>
    <col min="12553" max="12553" width="8.7265625" style="97"/>
    <col min="12554" max="12554" width="3.7265625" style="97" customWidth="1"/>
    <col min="12555" max="12555" width="12.7265625" style="97" customWidth="1"/>
    <col min="12556" max="12800" width="8.7265625" style="97"/>
    <col min="12801" max="12801" width="5.1796875" style="97" customWidth="1"/>
    <col min="12802" max="12802" width="3.7265625" style="97" customWidth="1"/>
    <col min="12803" max="12803" width="25.453125" style="97" customWidth="1"/>
    <col min="12804" max="12804" width="3.7265625" style="97" customWidth="1"/>
    <col min="12805" max="12805" width="16" style="97" customWidth="1"/>
    <col min="12806" max="12806" width="3.7265625" style="97" customWidth="1"/>
    <col min="12807" max="12807" width="8.7265625" style="97"/>
    <col min="12808" max="12808" width="3.7265625" style="97" customWidth="1"/>
    <col min="12809" max="12809" width="8.7265625" style="97"/>
    <col min="12810" max="12810" width="3.7265625" style="97" customWidth="1"/>
    <col min="12811" max="12811" width="12.7265625" style="97" customWidth="1"/>
    <col min="12812" max="13056" width="8.7265625" style="97"/>
    <col min="13057" max="13057" width="5.1796875" style="97" customWidth="1"/>
    <col min="13058" max="13058" width="3.7265625" style="97" customWidth="1"/>
    <col min="13059" max="13059" width="25.453125" style="97" customWidth="1"/>
    <col min="13060" max="13060" width="3.7265625" style="97" customWidth="1"/>
    <col min="13061" max="13061" width="16" style="97" customWidth="1"/>
    <col min="13062" max="13062" width="3.7265625" style="97" customWidth="1"/>
    <col min="13063" max="13063" width="8.7265625" style="97"/>
    <col min="13064" max="13064" width="3.7265625" style="97" customWidth="1"/>
    <col min="13065" max="13065" width="8.7265625" style="97"/>
    <col min="13066" max="13066" width="3.7265625" style="97" customWidth="1"/>
    <col min="13067" max="13067" width="12.7265625" style="97" customWidth="1"/>
    <col min="13068" max="13312" width="8.7265625" style="97"/>
    <col min="13313" max="13313" width="5.1796875" style="97" customWidth="1"/>
    <col min="13314" max="13314" width="3.7265625" style="97" customWidth="1"/>
    <col min="13315" max="13315" width="25.453125" style="97" customWidth="1"/>
    <col min="13316" max="13316" width="3.7265625" style="97" customWidth="1"/>
    <col min="13317" max="13317" width="16" style="97" customWidth="1"/>
    <col min="13318" max="13318" width="3.7265625" style="97" customWidth="1"/>
    <col min="13319" max="13319" width="8.7265625" style="97"/>
    <col min="13320" max="13320" width="3.7265625" style="97" customWidth="1"/>
    <col min="13321" max="13321" width="8.7265625" style="97"/>
    <col min="13322" max="13322" width="3.7265625" style="97" customWidth="1"/>
    <col min="13323" max="13323" width="12.7265625" style="97" customWidth="1"/>
    <col min="13324" max="13568" width="8.7265625" style="97"/>
    <col min="13569" max="13569" width="5.1796875" style="97" customWidth="1"/>
    <col min="13570" max="13570" width="3.7265625" style="97" customWidth="1"/>
    <col min="13571" max="13571" width="25.453125" style="97" customWidth="1"/>
    <col min="13572" max="13572" width="3.7265625" style="97" customWidth="1"/>
    <col min="13573" max="13573" width="16" style="97" customWidth="1"/>
    <col min="13574" max="13574" width="3.7265625" style="97" customWidth="1"/>
    <col min="13575" max="13575" width="8.7265625" style="97"/>
    <col min="13576" max="13576" width="3.7265625" style="97" customWidth="1"/>
    <col min="13577" max="13577" width="8.7265625" style="97"/>
    <col min="13578" max="13578" width="3.7265625" style="97" customWidth="1"/>
    <col min="13579" max="13579" width="12.7265625" style="97" customWidth="1"/>
    <col min="13580" max="13824" width="8.7265625" style="97"/>
    <col min="13825" max="13825" width="5.1796875" style="97" customWidth="1"/>
    <col min="13826" max="13826" width="3.7265625" style="97" customWidth="1"/>
    <col min="13827" max="13827" width="25.453125" style="97" customWidth="1"/>
    <col min="13828" max="13828" width="3.7265625" style="97" customWidth="1"/>
    <col min="13829" max="13829" width="16" style="97" customWidth="1"/>
    <col min="13830" max="13830" width="3.7265625" style="97" customWidth="1"/>
    <col min="13831" max="13831" width="8.7265625" style="97"/>
    <col min="13832" max="13832" width="3.7265625" style="97" customWidth="1"/>
    <col min="13833" max="13833" width="8.7265625" style="97"/>
    <col min="13834" max="13834" width="3.7265625" style="97" customWidth="1"/>
    <col min="13835" max="13835" width="12.7265625" style="97" customWidth="1"/>
    <col min="13836" max="14080" width="8.7265625" style="97"/>
    <col min="14081" max="14081" width="5.1796875" style="97" customWidth="1"/>
    <col min="14082" max="14082" width="3.7265625" style="97" customWidth="1"/>
    <col min="14083" max="14083" width="25.453125" style="97" customWidth="1"/>
    <col min="14084" max="14084" width="3.7265625" style="97" customWidth="1"/>
    <col min="14085" max="14085" width="16" style="97" customWidth="1"/>
    <col min="14086" max="14086" width="3.7265625" style="97" customWidth="1"/>
    <col min="14087" max="14087" width="8.7265625" style="97"/>
    <col min="14088" max="14088" width="3.7265625" style="97" customWidth="1"/>
    <col min="14089" max="14089" width="8.7265625" style="97"/>
    <col min="14090" max="14090" width="3.7265625" style="97" customWidth="1"/>
    <col min="14091" max="14091" width="12.7265625" style="97" customWidth="1"/>
    <col min="14092" max="14336" width="8.7265625" style="97"/>
    <col min="14337" max="14337" width="5.1796875" style="97" customWidth="1"/>
    <col min="14338" max="14338" width="3.7265625" style="97" customWidth="1"/>
    <col min="14339" max="14339" width="25.453125" style="97" customWidth="1"/>
    <col min="14340" max="14340" width="3.7265625" style="97" customWidth="1"/>
    <col min="14341" max="14341" width="16" style="97" customWidth="1"/>
    <col min="14342" max="14342" width="3.7265625" style="97" customWidth="1"/>
    <col min="14343" max="14343" width="8.7265625" style="97"/>
    <col min="14344" max="14344" width="3.7265625" style="97" customWidth="1"/>
    <col min="14345" max="14345" width="8.7265625" style="97"/>
    <col min="14346" max="14346" width="3.7265625" style="97" customWidth="1"/>
    <col min="14347" max="14347" width="12.7265625" style="97" customWidth="1"/>
    <col min="14348" max="14592" width="8.7265625" style="97"/>
    <col min="14593" max="14593" width="5.1796875" style="97" customWidth="1"/>
    <col min="14594" max="14594" width="3.7265625" style="97" customWidth="1"/>
    <col min="14595" max="14595" width="25.453125" style="97" customWidth="1"/>
    <col min="14596" max="14596" width="3.7265625" style="97" customWidth="1"/>
    <col min="14597" max="14597" width="16" style="97" customWidth="1"/>
    <col min="14598" max="14598" width="3.7265625" style="97" customWidth="1"/>
    <col min="14599" max="14599" width="8.7265625" style="97"/>
    <col min="14600" max="14600" width="3.7265625" style="97" customWidth="1"/>
    <col min="14601" max="14601" width="8.7265625" style="97"/>
    <col min="14602" max="14602" width="3.7265625" style="97" customWidth="1"/>
    <col min="14603" max="14603" width="12.7265625" style="97" customWidth="1"/>
    <col min="14604" max="14848" width="8.7265625" style="97"/>
    <col min="14849" max="14849" width="5.1796875" style="97" customWidth="1"/>
    <col min="14850" max="14850" width="3.7265625" style="97" customWidth="1"/>
    <col min="14851" max="14851" width="25.453125" style="97" customWidth="1"/>
    <col min="14852" max="14852" width="3.7265625" style="97" customWidth="1"/>
    <col min="14853" max="14853" width="16" style="97" customWidth="1"/>
    <col min="14854" max="14854" width="3.7265625" style="97" customWidth="1"/>
    <col min="14855" max="14855" width="8.7265625" style="97"/>
    <col min="14856" max="14856" width="3.7265625" style="97" customWidth="1"/>
    <col min="14857" max="14857" width="8.7265625" style="97"/>
    <col min="14858" max="14858" width="3.7265625" style="97" customWidth="1"/>
    <col min="14859" max="14859" width="12.7265625" style="97" customWidth="1"/>
    <col min="14860" max="15104" width="8.7265625" style="97"/>
    <col min="15105" max="15105" width="5.1796875" style="97" customWidth="1"/>
    <col min="15106" max="15106" width="3.7265625" style="97" customWidth="1"/>
    <col min="15107" max="15107" width="25.453125" style="97" customWidth="1"/>
    <col min="15108" max="15108" width="3.7265625" style="97" customWidth="1"/>
    <col min="15109" max="15109" width="16" style="97" customWidth="1"/>
    <col min="15110" max="15110" width="3.7265625" style="97" customWidth="1"/>
    <col min="15111" max="15111" width="8.7265625" style="97"/>
    <col min="15112" max="15112" width="3.7265625" style="97" customWidth="1"/>
    <col min="15113" max="15113" width="8.7265625" style="97"/>
    <col min="15114" max="15114" width="3.7265625" style="97" customWidth="1"/>
    <col min="15115" max="15115" width="12.7265625" style="97" customWidth="1"/>
    <col min="15116" max="15360" width="8.7265625" style="97"/>
    <col min="15361" max="15361" width="5.1796875" style="97" customWidth="1"/>
    <col min="15362" max="15362" width="3.7265625" style="97" customWidth="1"/>
    <col min="15363" max="15363" width="25.453125" style="97" customWidth="1"/>
    <col min="15364" max="15364" width="3.7265625" style="97" customWidth="1"/>
    <col min="15365" max="15365" width="16" style="97" customWidth="1"/>
    <col min="15366" max="15366" width="3.7265625" style="97" customWidth="1"/>
    <col min="15367" max="15367" width="8.7265625" style="97"/>
    <col min="15368" max="15368" width="3.7265625" style="97" customWidth="1"/>
    <col min="15369" max="15369" width="8.7265625" style="97"/>
    <col min="15370" max="15370" width="3.7265625" style="97" customWidth="1"/>
    <col min="15371" max="15371" width="12.7265625" style="97" customWidth="1"/>
    <col min="15372" max="15616" width="8.7265625" style="97"/>
    <col min="15617" max="15617" width="5.1796875" style="97" customWidth="1"/>
    <col min="15618" max="15618" width="3.7265625" style="97" customWidth="1"/>
    <col min="15619" max="15619" width="25.453125" style="97" customWidth="1"/>
    <col min="15620" max="15620" width="3.7265625" style="97" customWidth="1"/>
    <col min="15621" max="15621" width="16" style="97" customWidth="1"/>
    <col min="15622" max="15622" width="3.7265625" style="97" customWidth="1"/>
    <col min="15623" max="15623" width="8.7265625" style="97"/>
    <col min="15624" max="15624" width="3.7265625" style="97" customWidth="1"/>
    <col min="15625" max="15625" width="8.7265625" style="97"/>
    <col min="15626" max="15626" width="3.7265625" style="97" customWidth="1"/>
    <col min="15627" max="15627" width="12.7265625" style="97" customWidth="1"/>
    <col min="15628" max="15872" width="8.7265625" style="97"/>
    <col min="15873" max="15873" width="5.1796875" style="97" customWidth="1"/>
    <col min="15874" max="15874" width="3.7265625" style="97" customWidth="1"/>
    <col min="15875" max="15875" width="25.453125" style="97" customWidth="1"/>
    <col min="15876" max="15876" width="3.7265625" style="97" customWidth="1"/>
    <col min="15877" max="15877" width="16" style="97" customWidth="1"/>
    <col min="15878" max="15878" width="3.7265625" style="97" customWidth="1"/>
    <col min="15879" max="15879" width="8.7265625" style="97"/>
    <col min="15880" max="15880" width="3.7265625" style="97" customWidth="1"/>
    <col min="15881" max="15881" width="8.7265625" style="97"/>
    <col min="15882" max="15882" width="3.7265625" style="97" customWidth="1"/>
    <col min="15883" max="15883" width="12.7265625" style="97" customWidth="1"/>
    <col min="15884" max="16128" width="8.7265625" style="97"/>
    <col min="16129" max="16129" width="5.1796875" style="97" customWidth="1"/>
    <col min="16130" max="16130" width="3.7265625" style="97" customWidth="1"/>
    <col min="16131" max="16131" width="25.453125" style="97" customWidth="1"/>
    <col min="16132" max="16132" width="3.7265625" style="97" customWidth="1"/>
    <col min="16133" max="16133" width="16" style="97" customWidth="1"/>
    <col min="16134" max="16134" width="3.7265625" style="97" customWidth="1"/>
    <col min="16135" max="16135" width="8.7265625" style="97"/>
    <col min="16136" max="16136" width="3.7265625" style="97" customWidth="1"/>
    <col min="16137" max="16137" width="8.7265625" style="97"/>
    <col min="16138" max="16138" width="3.7265625" style="97" customWidth="1"/>
    <col min="16139" max="16139" width="12.7265625" style="97" customWidth="1"/>
    <col min="16140" max="16384" width="8.7265625" style="97"/>
  </cols>
  <sheetData>
    <row r="1" spans="1:13">
      <c r="A1" s="855" t="s">
        <v>0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</row>
    <row r="2" spans="1:13">
      <c r="A2" s="855" t="s">
        <v>957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</row>
    <row r="3" spans="1:13">
      <c r="A3" s="856" t="s">
        <v>599</v>
      </c>
      <c r="B3" s="856"/>
      <c r="C3" s="856"/>
      <c r="D3" s="856"/>
      <c r="E3" s="856"/>
      <c r="F3" s="856"/>
      <c r="G3" s="856"/>
      <c r="H3" s="856"/>
      <c r="I3" s="856"/>
      <c r="J3" s="856"/>
      <c r="K3" s="856"/>
    </row>
    <row r="4" spans="1:13">
      <c r="A4" s="856" t="s">
        <v>80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</row>
    <row r="5" spans="1:13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</row>
    <row r="6" spans="1:13" ht="39">
      <c r="A6" s="318" t="s">
        <v>10</v>
      </c>
      <c r="B6" s="318"/>
      <c r="C6" s="318" t="s">
        <v>600</v>
      </c>
      <c r="D6" s="318"/>
      <c r="E6" s="318" t="s">
        <v>601</v>
      </c>
      <c r="F6" s="318"/>
      <c r="G6" s="318" t="s">
        <v>966</v>
      </c>
      <c r="H6" s="318"/>
      <c r="I6" s="318" t="s">
        <v>967</v>
      </c>
      <c r="J6" s="318"/>
      <c r="K6" s="318" t="s">
        <v>602</v>
      </c>
    </row>
    <row r="7" spans="1:13">
      <c r="A7" s="321">
        <v>-1</v>
      </c>
      <c r="B7" s="321"/>
      <c r="C7" s="321">
        <v>-2</v>
      </c>
      <c r="D7" s="321"/>
      <c r="E7" s="321">
        <v>-3</v>
      </c>
      <c r="F7" s="321"/>
      <c r="G7" s="321">
        <v>-4</v>
      </c>
      <c r="H7" s="321"/>
      <c r="I7" s="321">
        <v>-5</v>
      </c>
      <c r="J7" s="319"/>
      <c r="K7" s="321">
        <v>-6</v>
      </c>
    </row>
    <row r="8" spans="1:13">
      <c r="A8" s="320"/>
      <c r="B8" s="320"/>
      <c r="C8" s="320"/>
      <c r="D8" s="320"/>
      <c r="E8" s="320"/>
      <c r="F8" s="320"/>
      <c r="G8" s="320"/>
      <c r="H8" s="320"/>
      <c r="I8" s="320"/>
      <c r="J8" s="319"/>
      <c r="K8" s="320"/>
    </row>
    <row r="9" spans="1:13">
      <c r="A9" s="321"/>
      <c r="B9" s="321"/>
      <c r="C9" s="321"/>
      <c r="D9" s="321"/>
      <c r="E9" s="321"/>
      <c r="F9" s="321"/>
      <c r="G9" s="321"/>
      <c r="H9" s="321"/>
      <c r="I9" s="321"/>
      <c r="J9" s="319"/>
      <c r="K9" s="336" t="s">
        <v>603</v>
      </c>
    </row>
    <row r="10" spans="1:13">
      <c r="A10" s="322">
        <v>1</v>
      </c>
      <c r="B10" s="319"/>
      <c r="C10" s="323" t="s">
        <v>604</v>
      </c>
      <c r="D10" s="319"/>
      <c r="E10" s="324">
        <v>19899701.280000001</v>
      </c>
      <c r="F10" s="319"/>
      <c r="G10" s="325">
        <f>E39</f>
        <v>1255</v>
      </c>
      <c r="H10" s="319"/>
      <c r="I10" s="326">
        <v>1</v>
      </c>
      <c r="J10" s="319"/>
      <c r="K10" s="324">
        <f>E10*I10</f>
        <v>19899701.280000001</v>
      </c>
    </row>
    <row r="11" spans="1:13">
      <c r="A11" s="319"/>
      <c r="B11" s="319"/>
      <c r="C11" s="323"/>
      <c r="D11" s="319"/>
      <c r="E11" s="324"/>
      <c r="F11" s="319"/>
      <c r="G11" s="325"/>
      <c r="H11" s="319"/>
      <c r="I11" s="327"/>
      <c r="J11" s="319"/>
      <c r="K11" s="324"/>
    </row>
    <row r="12" spans="1:13">
      <c r="A12" s="322">
        <f>+A10+1</f>
        <v>2</v>
      </c>
      <c r="B12" s="319"/>
      <c r="C12" s="323" t="s">
        <v>605</v>
      </c>
      <c r="D12" s="319"/>
      <c r="E12" s="324">
        <v>4620948.0100000007</v>
      </c>
      <c r="F12" s="337" t="s">
        <v>51</v>
      </c>
      <c r="G12" s="325">
        <f>E40</f>
        <v>1255</v>
      </c>
      <c r="H12" s="319"/>
      <c r="I12" s="326">
        <v>1</v>
      </c>
      <c r="J12" s="319"/>
      <c r="K12" s="324">
        <f>E12*I12</f>
        <v>4620948.0100000007</v>
      </c>
    </row>
    <row r="13" spans="1:13">
      <c r="A13" s="319"/>
      <c r="B13" s="319"/>
      <c r="C13" s="323"/>
      <c r="D13" s="319"/>
      <c r="E13" s="324"/>
      <c r="F13" s="319"/>
      <c r="G13" s="325"/>
      <c r="H13" s="319"/>
      <c r="I13" s="326"/>
      <c r="J13" s="319"/>
      <c r="K13" s="324"/>
    </row>
    <row r="14" spans="1:13">
      <c r="A14" s="322">
        <f>+A12+1</f>
        <v>3</v>
      </c>
      <c r="B14" s="319" t="s">
        <v>606</v>
      </c>
      <c r="C14" s="323" t="s">
        <v>607</v>
      </c>
      <c r="D14" s="319"/>
      <c r="E14" s="324">
        <v>14276099.460000005</v>
      </c>
      <c r="F14" s="319"/>
      <c r="G14" s="325">
        <f>E41</f>
        <v>1121</v>
      </c>
      <c r="H14" s="319"/>
      <c r="I14" s="326">
        <f>G10/G14</f>
        <v>1.1195361284567351</v>
      </c>
      <c r="J14" s="319"/>
      <c r="K14" s="324">
        <f>E14*I14</f>
        <v>15982609.118911693</v>
      </c>
    </row>
    <row r="15" spans="1:13">
      <c r="A15" s="319"/>
      <c r="B15" s="319"/>
      <c r="C15" s="323"/>
      <c r="D15" s="319"/>
      <c r="E15" s="319"/>
      <c r="F15" s="319"/>
      <c r="G15" s="319"/>
      <c r="H15" s="319"/>
      <c r="I15" s="319"/>
      <c r="J15" s="319"/>
      <c r="K15" s="319"/>
      <c r="L15" s="87"/>
      <c r="M15" s="87"/>
    </row>
    <row r="16" spans="1:13">
      <c r="A16" s="322">
        <f>+A14+1</f>
        <v>4</v>
      </c>
      <c r="B16" s="319" t="s">
        <v>606</v>
      </c>
      <c r="C16" s="323" t="s">
        <v>886</v>
      </c>
      <c r="D16" s="319"/>
      <c r="E16" s="324">
        <v>0</v>
      </c>
      <c r="F16" s="319"/>
      <c r="G16" s="325">
        <f>E42</f>
        <v>855</v>
      </c>
      <c r="H16" s="319"/>
      <c r="I16" s="326">
        <f>G12/G16</f>
        <v>1.4678362573099415</v>
      </c>
      <c r="J16" s="319"/>
      <c r="K16" s="324">
        <f>E16*I16</f>
        <v>0</v>
      </c>
    </row>
    <row r="17" spans="1:14">
      <c r="A17" s="319"/>
      <c r="B17" s="319"/>
      <c r="C17" s="323"/>
      <c r="D17" s="319"/>
      <c r="E17" s="319"/>
      <c r="F17" s="319"/>
      <c r="G17" s="319"/>
      <c r="H17" s="319"/>
      <c r="I17" s="319"/>
      <c r="J17" s="319"/>
      <c r="K17" s="319"/>
      <c r="L17" s="87"/>
      <c r="M17" s="87"/>
    </row>
    <row r="18" spans="1:14">
      <c r="A18" s="322">
        <f>+A16+1</f>
        <v>5</v>
      </c>
      <c r="B18" s="319" t="s">
        <v>606</v>
      </c>
      <c r="C18" s="323" t="s">
        <v>887</v>
      </c>
      <c r="D18" s="319"/>
      <c r="E18" s="324">
        <v>2018729</v>
      </c>
      <c r="F18" s="319"/>
      <c r="G18" s="325">
        <f>E43</f>
        <v>776</v>
      </c>
      <c r="H18" s="319"/>
      <c r="I18" s="326">
        <f>G14/G18</f>
        <v>1.4445876288659794</v>
      </c>
      <c r="J18" s="319"/>
      <c r="K18" s="324">
        <f>E18*I18</f>
        <v>2916230.9394329898</v>
      </c>
    </row>
    <row r="19" spans="1:14">
      <c r="A19" s="319"/>
      <c r="B19" s="319"/>
      <c r="C19" s="323"/>
      <c r="D19" s="319"/>
      <c r="E19" s="319"/>
      <c r="F19" s="319"/>
      <c r="G19" s="319"/>
      <c r="H19" s="319"/>
      <c r="I19" s="319"/>
      <c r="J19" s="319"/>
      <c r="K19" s="319"/>
      <c r="L19" s="87"/>
      <c r="M19" s="87"/>
    </row>
    <row r="20" spans="1:14" ht="15" thickBot="1">
      <c r="A20" s="322">
        <f>+A18+1</f>
        <v>6</v>
      </c>
      <c r="B20" s="319"/>
      <c r="C20" s="323" t="s">
        <v>968</v>
      </c>
      <c r="D20" s="319"/>
      <c r="E20" s="319"/>
      <c r="F20" s="319"/>
      <c r="G20" s="319"/>
      <c r="H20" s="319"/>
      <c r="I20" s="319"/>
      <c r="J20" s="319"/>
      <c r="K20" s="328">
        <f>K10+K12+K14+K16+K18</f>
        <v>43419489.348344684</v>
      </c>
      <c r="L20" s="87"/>
      <c r="M20" s="87"/>
    </row>
    <row r="21" spans="1:14" ht="15" thickTop="1">
      <c r="A21" s="319"/>
      <c r="B21" s="319"/>
      <c r="C21" s="323"/>
      <c r="D21" s="319"/>
      <c r="E21" s="319"/>
      <c r="F21" s="319"/>
      <c r="G21" s="319"/>
      <c r="H21" s="319"/>
      <c r="I21" s="319"/>
      <c r="J21" s="319"/>
      <c r="K21" s="319"/>
      <c r="L21" s="87"/>
      <c r="M21" s="87"/>
    </row>
    <row r="22" spans="1:14">
      <c r="A22" s="322">
        <f>+A20+1</f>
        <v>7</v>
      </c>
      <c r="B22" s="319"/>
      <c r="C22" s="323" t="s">
        <v>969</v>
      </c>
      <c r="D22" s="319"/>
      <c r="E22" s="319"/>
      <c r="F22" s="319"/>
      <c r="G22" s="319"/>
      <c r="H22" s="319"/>
      <c r="I22" s="319"/>
      <c r="J22" s="319"/>
      <c r="K22" s="329">
        <f>AVERAGE(K10,K12,K14,K18,K16)</f>
        <v>8683897.8696689364</v>
      </c>
      <c r="L22" s="87"/>
      <c r="M22" s="87"/>
    </row>
    <row r="23" spans="1:14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spans="1:14">
      <c r="A24" s="322">
        <f>+A22+1</f>
        <v>8</v>
      </c>
      <c r="B24" s="319"/>
      <c r="C24" s="319" t="s">
        <v>608</v>
      </c>
      <c r="D24" s="319"/>
      <c r="E24" s="319"/>
      <c r="F24" s="319"/>
      <c r="G24" s="319"/>
      <c r="H24" s="319"/>
      <c r="I24" s="319"/>
      <c r="J24" s="319"/>
      <c r="K24" s="324">
        <v>22969954.699999999</v>
      </c>
      <c r="L24" s="87"/>
      <c r="M24" s="87"/>
    </row>
    <row r="25" spans="1:14">
      <c r="A25" s="335"/>
      <c r="B25" s="335"/>
      <c r="C25" s="335"/>
      <c r="D25" s="335"/>
      <c r="E25" s="335"/>
      <c r="F25" s="335"/>
      <c r="G25" s="335"/>
      <c r="H25" s="335"/>
      <c r="I25" s="335"/>
      <c r="J25" s="335"/>
      <c r="K25" s="335"/>
    </row>
    <row r="26" spans="1:14">
      <c r="A26" s="322">
        <f>+A24+1</f>
        <v>9</v>
      </c>
      <c r="B26" s="335"/>
      <c r="C26" s="319" t="s">
        <v>947</v>
      </c>
      <c r="D26" s="335"/>
      <c r="E26" s="335"/>
      <c r="F26" s="335"/>
      <c r="G26" s="335"/>
      <c r="H26" s="335"/>
      <c r="I26" s="335"/>
      <c r="J26" s="335"/>
      <c r="K26" s="324">
        <v>-23185362.719999999</v>
      </c>
    </row>
    <row r="27" spans="1:14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</row>
    <row r="28" spans="1:14">
      <c r="A28" s="322">
        <f>+A26+1</f>
        <v>10</v>
      </c>
      <c r="B28" s="335"/>
      <c r="C28" s="319" t="s">
        <v>948</v>
      </c>
      <c r="D28" s="335"/>
      <c r="E28" s="335"/>
      <c r="F28" s="335"/>
      <c r="G28" s="335"/>
      <c r="H28" s="335"/>
      <c r="I28" s="335"/>
      <c r="J28" s="335"/>
      <c r="K28" s="324">
        <f>K24+K26</f>
        <v>-215408.01999999955</v>
      </c>
    </row>
    <row r="29" spans="1:14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335"/>
    </row>
    <row r="30" spans="1:14" ht="15" thickBot="1">
      <c r="A30" s="322">
        <f>+A28+1</f>
        <v>11</v>
      </c>
      <c r="B30" s="319"/>
      <c r="C30" s="319" t="s">
        <v>949</v>
      </c>
      <c r="D30" s="319"/>
      <c r="E30" s="319"/>
      <c r="F30" s="319"/>
      <c r="G30" s="319"/>
      <c r="H30" s="319"/>
      <c r="I30" s="319"/>
      <c r="J30" s="319"/>
      <c r="K30" s="328">
        <f>-K28</f>
        <v>215408.01999999955</v>
      </c>
      <c r="L30" s="87"/>
      <c r="M30" s="87"/>
    </row>
    <row r="31" spans="1:14" ht="15" thickTop="1">
      <c r="A31" s="319"/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87"/>
      <c r="M31" s="87"/>
      <c r="N31" s="98"/>
    </row>
    <row r="32" spans="1:14">
      <c r="A32" s="322">
        <f>+A30+1</f>
        <v>12</v>
      </c>
      <c r="B32" s="319"/>
      <c r="C32" s="319" t="s">
        <v>241</v>
      </c>
      <c r="D32" s="319"/>
      <c r="E32" s="319"/>
      <c r="F32" s="319"/>
      <c r="G32" s="319"/>
      <c r="H32" s="319"/>
      <c r="I32" s="319"/>
      <c r="J32" s="319"/>
      <c r="K32" s="330">
        <v>1</v>
      </c>
      <c r="L32" s="87"/>
      <c r="M32" s="87"/>
    </row>
    <row r="33" spans="1:13">
      <c r="A33" s="319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87"/>
      <c r="M33" s="87"/>
    </row>
    <row r="34" spans="1:13" ht="15" thickBot="1">
      <c r="A34" s="322">
        <f>+A32+1</f>
        <v>13</v>
      </c>
      <c r="B34" s="319"/>
      <c r="C34" s="319" t="s">
        <v>970</v>
      </c>
      <c r="D34" s="319"/>
      <c r="E34" s="319"/>
      <c r="F34" s="319"/>
      <c r="G34" s="319"/>
      <c r="H34" s="319"/>
      <c r="I34" s="319"/>
      <c r="J34" s="319"/>
      <c r="K34" s="331">
        <f>K30*K32</f>
        <v>215408.01999999955</v>
      </c>
      <c r="L34" s="87"/>
      <c r="M34" s="87"/>
    </row>
    <row r="35" spans="1:13" ht="15" thickTop="1">
      <c r="A35" s="319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87"/>
      <c r="M35" s="87"/>
    </row>
    <row r="36" spans="1:13">
      <c r="A36" s="335"/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87"/>
      <c r="M36" s="87"/>
    </row>
    <row r="37" spans="1:13" ht="16">
      <c r="A37" s="335"/>
      <c r="B37" s="332" t="s">
        <v>609</v>
      </c>
      <c r="C37" s="319" t="s">
        <v>610</v>
      </c>
      <c r="D37" s="319"/>
      <c r="E37" s="319"/>
      <c r="F37" s="319"/>
      <c r="G37" s="857" t="s">
        <v>611</v>
      </c>
      <c r="H37" s="858"/>
      <c r="I37" s="858"/>
      <c r="J37" s="858"/>
      <c r="K37" s="333">
        <v>1012476</v>
      </c>
      <c r="L37" s="87"/>
      <c r="M37" s="87"/>
    </row>
    <row r="38" spans="1:13">
      <c r="A38" s="335"/>
      <c r="B38" s="319"/>
      <c r="C38" s="319" t="s">
        <v>612</v>
      </c>
      <c r="D38" s="319"/>
      <c r="E38" s="319"/>
      <c r="F38" s="319"/>
      <c r="G38" s="319"/>
      <c r="H38" s="319"/>
      <c r="I38" s="319"/>
      <c r="J38" s="319"/>
      <c r="K38" s="319"/>
      <c r="L38" s="87"/>
      <c r="M38" s="87"/>
    </row>
    <row r="39" spans="1:13">
      <c r="A39" s="335"/>
      <c r="B39" s="319"/>
      <c r="C39" s="319" t="s">
        <v>613</v>
      </c>
      <c r="D39" s="319"/>
      <c r="E39" s="319">
        <v>1255</v>
      </c>
      <c r="F39" s="319"/>
      <c r="G39" s="319"/>
      <c r="H39" s="319"/>
      <c r="I39" s="319"/>
      <c r="J39" s="319"/>
      <c r="K39" s="319"/>
      <c r="L39" s="87"/>
      <c r="M39" s="87"/>
    </row>
    <row r="40" spans="1:13">
      <c r="A40" s="335"/>
      <c r="B40" s="319"/>
      <c r="C40" s="319" t="s">
        <v>614</v>
      </c>
      <c r="D40" s="319"/>
      <c r="E40" s="319">
        <v>1255</v>
      </c>
      <c r="F40" s="319"/>
      <c r="G40" s="319"/>
      <c r="H40" s="319"/>
      <c r="I40" s="319"/>
      <c r="J40" s="319"/>
      <c r="K40" s="319"/>
      <c r="L40" s="87"/>
      <c r="M40" s="87"/>
    </row>
    <row r="41" spans="1:13">
      <c r="A41" s="335"/>
      <c r="B41" s="319"/>
      <c r="C41" s="319" t="s">
        <v>615</v>
      </c>
      <c r="D41" s="319"/>
      <c r="E41" s="319">
        <v>1121</v>
      </c>
      <c r="F41" s="319"/>
      <c r="G41" s="319"/>
      <c r="H41" s="319"/>
      <c r="I41" s="319"/>
      <c r="J41" s="319"/>
      <c r="K41" s="329"/>
      <c r="L41" s="87"/>
      <c r="M41" s="87"/>
    </row>
    <row r="42" spans="1:13">
      <c r="A42" s="335"/>
      <c r="B42" s="319"/>
      <c r="C42" s="319" t="s">
        <v>888</v>
      </c>
      <c r="D42" s="319"/>
      <c r="E42" s="319">
        <v>855</v>
      </c>
      <c r="F42" s="319"/>
      <c r="G42" s="319"/>
      <c r="H42" s="319"/>
      <c r="I42" s="334"/>
      <c r="J42" s="319"/>
      <c r="K42" s="319"/>
      <c r="L42" s="87"/>
      <c r="M42" s="87"/>
    </row>
    <row r="43" spans="1:13">
      <c r="A43" s="335"/>
      <c r="B43" s="319"/>
      <c r="C43" s="319" t="s">
        <v>889</v>
      </c>
      <c r="D43" s="319"/>
      <c r="E43" s="319">
        <v>776</v>
      </c>
      <c r="F43" s="319"/>
      <c r="G43" s="319"/>
      <c r="H43" s="319"/>
      <c r="I43" s="319"/>
      <c r="J43" s="319"/>
      <c r="K43" s="319"/>
      <c r="L43" s="87"/>
      <c r="M43" s="87"/>
    </row>
    <row r="44" spans="1:13">
      <c r="A44" s="335"/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87"/>
      <c r="M44" s="87"/>
    </row>
    <row r="45" spans="1:13">
      <c r="A45" s="335"/>
      <c r="B45" s="319"/>
      <c r="C45" s="319" t="s">
        <v>950</v>
      </c>
      <c r="D45" s="319"/>
      <c r="E45" s="335" t="s">
        <v>885</v>
      </c>
      <c r="F45" s="319"/>
      <c r="G45" s="319"/>
      <c r="H45" s="319"/>
      <c r="I45" s="319"/>
      <c r="J45" s="319"/>
      <c r="K45" s="319"/>
      <c r="L45" s="87"/>
      <c r="M45" s="87"/>
    </row>
    <row r="46" spans="1:13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</row>
  </sheetData>
  <mergeCells count="5">
    <mergeCell ref="A1:K1"/>
    <mergeCell ref="A2:K2"/>
    <mergeCell ref="A3:K3"/>
    <mergeCell ref="G37:J37"/>
    <mergeCell ref="A4:K4"/>
  </mergeCells>
  <pageMargins left="0.7" right="0.7" top="0.75" bottom="0.75" header="0.3" footer="0.3"/>
  <pageSetup scale="92" orientation="portrait" r:id="rId1"/>
  <headerFooter>
    <oddFooter>&amp;C&amp;"Calibri,Regular"&amp;11&amp;B&amp;K000000AEP CONFIDENTIAL</oddFooter>
    <evenFooter>&amp;C&amp;"Calibri,Regular"&amp;11&amp;B&amp;K000000AEP CONFIDENTIAL</evenFooter>
    <firstFooter>&amp;C&amp;"Calibri,Regular"&amp;11&amp;B&amp;K000000AEP CONFIDENTIAL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8C1F-F111-4D21-93A7-9E26AB8DD9F6}">
  <dimension ref="A1:F93"/>
  <sheetViews>
    <sheetView zoomScaleNormal="100" workbookViewId="0">
      <selection activeCell="E35" sqref="E35"/>
    </sheetView>
  </sheetViews>
  <sheetFormatPr defaultRowHeight="13"/>
  <cols>
    <col min="1" max="1" width="4.81640625" style="362" customWidth="1"/>
    <col min="2" max="2" width="2.26953125" style="362" customWidth="1"/>
    <col min="3" max="3" width="57.26953125" style="362" customWidth="1"/>
    <col min="4" max="4" width="3.7265625" style="362" customWidth="1"/>
    <col min="5" max="5" width="16.453125" style="362" customWidth="1"/>
    <col min="6" max="6" width="16.453125" style="362" bestFit="1" customWidth="1"/>
    <col min="7" max="256" width="9.1796875" style="362"/>
    <col min="257" max="257" width="4.81640625" style="362" customWidth="1"/>
    <col min="258" max="258" width="2.26953125" style="362" customWidth="1"/>
    <col min="259" max="259" width="57.26953125" style="362" customWidth="1"/>
    <col min="260" max="260" width="3.7265625" style="362" customWidth="1"/>
    <col min="261" max="261" width="16.453125" style="362" customWidth="1"/>
    <col min="262" max="512" width="9.1796875" style="362"/>
    <col min="513" max="513" width="4.81640625" style="362" customWidth="1"/>
    <col min="514" max="514" width="2.26953125" style="362" customWidth="1"/>
    <col min="515" max="515" width="57.26953125" style="362" customWidth="1"/>
    <col min="516" max="516" width="3.7265625" style="362" customWidth="1"/>
    <col min="517" max="517" width="16.453125" style="362" customWidth="1"/>
    <col min="518" max="768" width="9.1796875" style="362"/>
    <col min="769" max="769" width="4.81640625" style="362" customWidth="1"/>
    <col min="770" max="770" width="2.26953125" style="362" customWidth="1"/>
    <col min="771" max="771" width="57.26953125" style="362" customWidth="1"/>
    <col min="772" max="772" width="3.7265625" style="362" customWidth="1"/>
    <col min="773" max="773" width="16.453125" style="362" customWidth="1"/>
    <col min="774" max="1024" width="9.1796875" style="362"/>
    <col min="1025" max="1025" width="4.81640625" style="362" customWidth="1"/>
    <col min="1026" max="1026" width="2.26953125" style="362" customWidth="1"/>
    <col min="1027" max="1027" width="57.26953125" style="362" customWidth="1"/>
    <col min="1028" max="1028" width="3.7265625" style="362" customWidth="1"/>
    <col min="1029" max="1029" width="16.453125" style="362" customWidth="1"/>
    <col min="1030" max="1280" width="9.1796875" style="362"/>
    <col min="1281" max="1281" width="4.81640625" style="362" customWidth="1"/>
    <col min="1282" max="1282" width="2.26953125" style="362" customWidth="1"/>
    <col min="1283" max="1283" width="57.26953125" style="362" customWidth="1"/>
    <col min="1284" max="1284" width="3.7265625" style="362" customWidth="1"/>
    <col min="1285" max="1285" width="16.453125" style="362" customWidth="1"/>
    <col min="1286" max="1536" width="9.1796875" style="362"/>
    <col min="1537" max="1537" width="4.81640625" style="362" customWidth="1"/>
    <col min="1538" max="1538" width="2.26953125" style="362" customWidth="1"/>
    <col min="1539" max="1539" width="57.26953125" style="362" customWidth="1"/>
    <col min="1540" max="1540" width="3.7265625" style="362" customWidth="1"/>
    <col min="1541" max="1541" width="16.453125" style="362" customWidth="1"/>
    <col min="1542" max="1792" width="9.1796875" style="362"/>
    <col min="1793" max="1793" width="4.81640625" style="362" customWidth="1"/>
    <col min="1794" max="1794" width="2.26953125" style="362" customWidth="1"/>
    <col min="1795" max="1795" width="57.26953125" style="362" customWidth="1"/>
    <col min="1796" max="1796" width="3.7265625" style="362" customWidth="1"/>
    <col min="1797" max="1797" width="16.453125" style="362" customWidth="1"/>
    <col min="1798" max="2048" width="9.1796875" style="362"/>
    <col min="2049" max="2049" width="4.81640625" style="362" customWidth="1"/>
    <col min="2050" max="2050" width="2.26953125" style="362" customWidth="1"/>
    <col min="2051" max="2051" width="57.26953125" style="362" customWidth="1"/>
    <col min="2052" max="2052" width="3.7265625" style="362" customWidth="1"/>
    <col min="2053" max="2053" width="16.453125" style="362" customWidth="1"/>
    <col min="2054" max="2304" width="9.1796875" style="362"/>
    <col min="2305" max="2305" width="4.81640625" style="362" customWidth="1"/>
    <col min="2306" max="2306" width="2.26953125" style="362" customWidth="1"/>
    <col min="2307" max="2307" width="57.26953125" style="362" customWidth="1"/>
    <col min="2308" max="2308" width="3.7265625" style="362" customWidth="1"/>
    <col min="2309" max="2309" width="16.453125" style="362" customWidth="1"/>
    <col min="2310" max="2560" width="9.1796875" style="362"/>
    <col min="2561" max="2561" width="4.81640625" style="362" customWidth="1"/>
    <col min="2562" max="2562" width="2.26953125" style="362" customWidth="1"/>
    <col min="2563" max="2563" width="57.26953125" style="362" customWidth="1"/>
    <col min="2564" max="2564" width="3.7265625" style="362" customWidth="1"/>
    <col min="2565" max="2565" width="16.453125" style="362" customWidth="1"/>
    <col min="2566" max="2816" width="9.1796875" style="362"/>
    <col min="2817" max="2817" width="4.81640625" style="362" customWidth="1"/>
    <col min="2818" max="2818" width="2.26953125" style="362" customWidth="1"/>
    <col min="2819" max="2819" width="57.26953125" style="362" customWidth="1"/>
    <col min="2820" max="2820" width="3.7265625" style="362" customWidth="1"/>
    <col min="2821" max="2821" width="16.453125" style="362" customWidth="1"/>
    <col min="2822" max="3072" width="9.1796875" style="362"/>
    <col min="3073" max="3073" width="4.81640625" style="362" customWidth="1"/>
    <col min="3074" max="3074" width="2.26953125" style="362" customWidth="1"/>
    <col min="3075" max="3075" width="57.26953125" style="362" customWidth="1"/>
    <col min="3076" max="3076" width="3.7265625" style="362" customWidth="1"/>
    <col min="3077" max="3077" width="16.453125" style="362" customWidth="1"/>
    <col min="3078" max="3328" width="9.1796875" style="362"/>
    <col min="3329" max="3329" width="4.81640625" style="362" customWidth="1"/>
    <col min="3330" max="3330" width="2.26953125" style="362" customWidth="1"/>
    <col min="3331" max="3331" width="57.26953125" style="362" customWidth="1"/>
    <col min="3332" max="3332" width="3.7265625" style="362" customWidth="1"/>
    <col min="3333" max="3333" width="16.453125" style="362" customWidth="1"/>
    <col min="3334" max="3584" width="9.1796875" style="362"/>
    <col min="3585" max="3585" width="4.81640625" style="362" customWidth="1"/>
    <col min="3586" max="3586" width="2.26953125" style="362" customWidth="1"/>
    <col min="3587" max="3587" width="57.26953125" style="362" customWidth="1"/>
    <col min="3588" max="3588" width="3.7265625" style="362" customWidth="1"/>
    <col min="3589" max="3589" width="16.453125" style="362" customWidth="1"/>
    <col min="3590" max="3840" width="9.1796875" style="362"/>
    <col min="3841" max="3841" width="4.81640625" style="362" customWidth="1"/>
    <col min="3842" max="3842" width="2.26953125" style="362" customWidth="1"/>
    <col min="3843" max="3843" width="57.26953125" style="362" customWidth="1"/>
    <col min="3844" max="3844" width="3.7265625" style="362" customWidth="1"/>
    <col min="3845" max="3845" width="16.453125" style="362" customWidth="1"/>
    <col min="3846" max="4096" width="9.1796875" style="362"/>
    <col min="4097" max="4097" width="4.81640625" style="362" customWidth="1"/>
    <col min="4098" max="4098" width="2.26953125" style="362" customWidth="1"/>
    <col min="4099" max="4099" width="57.26953125" style="362" customWidth="1"/>
    <col min="4100" max="4100" width="3.7265625" style="362" customWidth="1"/>
    <col min="4101" max="4101" width="16.453125" style="362" customWidth="1"/>
    <col min="4102" max="4352" width="9.1796875" style="362"/>
    <col min="4353" max="4353" width="4.81640625" style="362" customWidth="1"/>
    <col min="4354" max="4354" width="2.26953125" style="362" customWidth="1"/>
    <col min="4355" max="4355" width="57.26953125" style="362" customWidth="1"/>
    <col min="4356" max="4356" width="3.7265625" style="362" customWidth="1"/>
    <col min="4357" max="4357" width="16.453125" style="362" customWidth="1"/>
    <col min="4358" max="4608" width="9.1796875" style="362"/>
    <col min="4609" max="4609" width="4.81640625" style="362" customWidth="1"/>
    <col min="4610" max="4610" width="2.26953125" style="362" customWidth="1"/>
    <col min="4611" max="4611" width="57.26953125" style="362" customWidth="1"/>
    <col min="4612" max="4612" width="3.7265625" style="362" customWidth="1"/>
    <col min="4613" max="4613" width="16.453125" style="362" customWidth="1"/>
    <col min="4614" max="4864" width="9.1796875" style="362"/>
    <col min="4865" max="4865" width="4.81640625" style="362" customWidth="1"/>
    <col min="4866" max="4866" width="2.26953125" style="362" customWidth="1"/>
    <col min="4867" max="4867" width="57.26953125" style="362" customWidth="1"/>
    <col min="4868" max="4868" width="3.7265625" style="362" customWidth="1"/>
    <col min="4869" max="4869" width="16.453125" style="362" customWidth="1"/>
    <col min="4870" max="5120" width="9.1796875" style="362"/>
    <col min="5121" max="5121" width="4.81640625" style="362" customWidth="1"/>
    <col min="5122" max="5122" width="2.26953125" style="362" customWidth="1"/>
    <col min="5123" max="5123" width="57.26953125" style="362" customWidth="1"/>
    <col min="5124" max="5124" width="3.7265625" style="362" customWidth="1"/>
    <col min="5125" max="5125" width="16.453125" style="362" customWidth="1"/>
    <col min="5126" max="5376" width="9.1796875" style="362"/>
    <col min="5377" max="5377" width="4.81640625" style="362" customWidth="1"/>
    <col min="5378" max="5378" width="2.26953125" style="362" customWidth="1"/>
    <col min="5379" max="5379" width="57.26953125" style="362" customWidth="1"/>
    <col min="5380" max="5380" width="3.7265625" style="362" customWidth="1"/>
    <col min="5381" max="5381" width="16.453125" style="362" customWidth="1"/>
    <col min="5382" max="5632" width="9.1796875" style="362"/>
    <col min="5633" max="5633" width="4.81640625" style="362" customWidth="1"/>
    <col min="5634" max="5634" width="2.26953125" style="362" customWidth="1"/>
    <col min="5635" max="5635" width="57.26953125" style="362" customWidth="1"/>
    <col min="5636" max="5636" width="3.7265625" style="362" customWidth="1"/>
    <col min="5637" max="5637" width="16.453125" style="362" customWidth="1"/>
    <col min="5638" max="5888" width="9.1796875" style="362"/>
    <col min="5889" max="5889" width="4.81640625" style="362" customWidth="1"/>
    <col min="5890" max="5890" width="2.26953125" style="362" customWidth="1"/>
    <col min="5891" max="5891" width="57.26953125" style="362" customWidth="1"/>
    <col min="5892" max="5892" width="3.7265625" style="362" customWidth="1"/>
    <col min="5893" max="5893" width="16.453125" style="362" customWidth="1"/>
    <col min="5894" max="6144" width="9.1796875" style="362"/>
    <col min="6145" max="6145" width="4.81640625" style="362" customWidth="1"/>
    <col min="6146" max="6146" width="2.26953125" style="362" customWidth="1"/>
    <col min="6147" max="6147" width="57.26953125" style="362" customWidth="1"/>
    <col min="6148" max="6148" width="3.7265625" style="362" customWidth="1"/>
    <col min="6149" max="6149" width="16.453125" style="362" customWidth="1"/>
    <col min="6150" max="6400" width="9.1796875" style="362"/>
    <col min="6401" max="6401" width="4.81640625" style="362" customWidth="1"/>
    <col min="6402" max="6402" width="2.26953125" style="362" customWidth="1"/>
    <col min="6403" max="6403" width="57.26953125" style="362" customWidth="1"/>
    <col min="6404" max="6404" width="3.7265625" style="362" customWidth="1"/>
    <col min="6405" max="6405" width="16.453125" style="362" customWidth="1"/>
    <col min="6406" max="6656" width="9.1796875" style="362"/>
    <col min="6657" max="6657" width="4.81640625" style="362" customWidth="1"/>
    <col min="6658" max="6658" width="2.26953125" style="362" customWidth="1"/>
    <col min="6659" max="6659" width="57.26953125" style="362" customWidth="1"/>
    <col min="6660" max="6660" width="3.7265625" style="362" customWidth="1"/>
    <col min="6661" max="6661" width="16.453125" style="362" customWidth="1"/>
    <col min="6662" max="6912" width="9.1796875" style="362"/>
    <col min="6913" max="6913" width="4.81640625" style="362" customWidth="1"/>
    <col min="6914" max="6914" width="2.26953125" style="362" customWidth="1"/>
    <col min="6915" max="6915" width="57.26953125" style="362" customWidth="1"/>
    <col min="6916" max="6916" width="3.7265625" style="362" customWidth="1"/>
    <col min="6917" max="6917" width="16.453125" style="362" customWidth="1"/>
    <col min="6918" max="7168" width="9.1796875" style="362"/>
    <col min="7169" max="7169" width="4.81640625" style="362" customWidth="1"/>
    <col min="7170" max="7170" width="2.26953125" style="362" customWidth="1"/>
    <col min="7171" max="7171" width="57.26953125" style="362" customWidth="1"/>
    <col min="7172" max="7172" width="3.7265625" style="362" customWidth="1"/>
    <col min="7173" max="7173" width="16.453125" style="362" customWidth="1"/>
    <col min="7174" max="7424" width="9.1796875" style="362"/>
    <col min="7425" max="7425" width="4.81640625" style="362" customWidth="1"/>
    <col min="7426" max="7426" width="2.26953125" style="362" customWidth="1"/>
    <col min="7427" max="7427" width="57.26953125" style="362" customWidth="1"/>
    <col min="7428" max="7428" width="3.7265625" style="362" customWidth="1"/>
    <col min="7429" max="7429" width="16.453125" style="362" customWidth="1"/>
    <col min="7430" max="7680" width="9.1796875" style="362"/>
    <col min="7681" max="7681" width="4.81640625" style="362" customWidth="1"/>
    <col min="7682" max="7682" width="2.26953125" style="362" customWidth="1"/>
    <col min="7683" max="7683" width="57.26953125" style="362" customWidth="1"/>
    <col min="7684" max="7684" width="3.7265625" style="362" customWidth="1"/>
    <col min="7685" max="7685" width="16.453125" style="362" customWidth="1"/>
    <col min="7686" max="7936" width="9.1796875" style="362"/>
    <col min="7937" max="7937" width="4.81640625" style="362" customWidth="1"/>
    <col min="7938" max="7938" width="2.26953125" style="362" customWidth="1"/>
    <col min="7939" max="7939" width="57.26953125" style="362" customWidth="1"/>
    <col min="7940" max="7940" width="3.7265625" style="362" customWidth="1"/>
    <col min="7941" max="7941" width="16.453125" style="362" customWidth="1"/>
    <col min="7942" max="8192" width="9.1796875" style="362"/>
    <col min="8193" max="8193" width="4.81640625" style="362" customWidth="1"/>
    <col min="8194" max="8194" width="2.26953125" style="362" customWidth="1"/>
    <col min="8195" max="8195" width="57.26953125" style="362" customWidth="1"/>
    <col min="8196" max="8196" width="3.7265625" style="362" customWidth="1"/>
    <col min="8197" max="8197" width="16.453125" style="362" customWidth="1"/>
    <col min="8198" max="8448" width="9.1796875" style="362"/>
    <col min="8449" max="8449" width="4.81640625" style="362" customWidth="1"/>
    <col min="8450" max="8450" width="2.26953125" style="362" customWidth="1"/>
    <col min="8451" max="8451" width="57.26953125" style="362" customWidth="1"/>
    <col min="8452" max="8452" width="3.7265625" style="362" customWidth="1"/>
    <col min="8453" max="8453" width="16.453125" style="362" customWidth="1"/>
    <col min="8454" max="8704" width="9.1796875" style="362"/>
    <col min="8705" max="8705" width="4.81640625" style="362" customWidth="1"/>
    <col min="8706" max="8706" width="2.26953125" style="362" customWidth="1"/>
    <col min="8707" max="8707" width="57.26953125" style="362" customWidth="1"/>
    <col min="8708" max="8708" width="3.7265625" style="362" customWidth="1"/>
    <col min="8709" max="8709" width="16.453125" style="362" customWidth="1"/>
    <col min="8710" max="8960" width="9.1796875" style="362"/>
    <col min="8961" max="8961" width="4.81640625" style="362" customWidth="1"/>
    <col min="8962" max="8962" width="2.26953125" style="362" customWidth="1"/>
    <col min="8963" max="8963" width="57.26953125" style="362" customWidth="1"/>
    <col min="8964" max="8964" width="3.7265625" style="362" customWidth="1"/>
    <col min="8965" max="8965" width="16.453125" style="362" customWidth="1"/>
    <col min="8966" max="9216" width="9.1796875" style="362"/>
    <col min="9217" max="9217" width="4.81640625" style="362" customWidth="1"/>
    <col min="9218" max="9218" width="2.26953125" style="362" customWidth="1"/>
    <col min="9219" max="9219" width="57.26953125" style="362" customWidth="1"/>
    <col min="9220" max="9220" width="3.7265625" style="362" customWidth="1"/>
    <col min="9221" max="9221" width="16.453125" style="362" customWidth="1"/>
    <col min="9222" max="9472" width="9.1796875" style="362"/>
    <col min="9473" max="9473" width="4.81640625" style="362" customWidth="1"/>
    <col min="9474" max="9474" width="2.26953125" style="362" customWidth="1"/>
    <col min="9475" max="9475" width="57.26953125" style="362" customWidth="1"/>
    <col min="9476" max="9476" width="3.7265625" style="362" customWidth="1"/>
    <col min="9477" max="9477" width="16.453125" style="362" customWidth="1"/>
    <col min="9478" max="9728" width="9.1796875" style="362"/>
    <col min="9729" max="9729" width="4.81640625" style="362" customWidth="1"/>
    <col min="9730" max="9730" width="2.26953125" style="362" customWidth="1"/>
    <col min="9731" max="9731" width="57.26953125" style="362" customWidth="1"/>
    <col min="9732" max="9732" width="3.7265625" style="362" customWidth="1"/>
    <col min="9733" max="9733" width="16.453125" style="362" customWidth="1"/>
    <col min="9734" max="9984" width="9.1796875" style="362"/>
    <col min="9985" max="9985" width="4.81640625" style="362" customWidth="1"/>
    <col min="9986" max="9986" width="2.26953125" style="362" customWidth="1"/>
    <col min="9987" max="9987" width="57.26953125" style="362" customWidth="1"/>
    <col min="9988" max="9988" width="3.7265625" style="362" customWidth="1"/>
    <col min="9989" max="9989" width="16.453125" style="362" customWidth="1"/>
    <col min="9990" max="10240" width="9.1796875" style="362"/>
    <col min="10241" max="10241" width="4.81640625" style="362" customWidth="1"/>
    <col min="10242" max="10242" width="2.26953125" style="362" customWidth="1"/>
    <col min="10243" max="10243" width="57.26953125" style="362" customWidth="1"/>
    <col min="10244" max="10244" width="3.7265625" style="362" customWidth="1"/>
    <col min="10245" max="10245" width="16.453125" style="362" customWidth="1"/>
    <col min="10246" max="10496" width="9.1796875" style="362"/>
    <col min="10497" max="10497" width="4.81640625" style="362" customWidth="1"/>
    <col min="10498" max="10498" width="2.26953125" style="362" customWidth="1"/>
    <col min="10499" max="10499" width="57.26953125" style="362" customWidth="1"/>
    <col min="10500" max="10500" width="3.7265625" style="362" customWidth="1"/>
    <col min="10501" max="10501" width="16.453125" style="362" customWidth="1"/>
    <col min="10502" max="10752" width="9.1796875" style="362"/>
    <col min="10753" max="10753" width="4.81640625" style="362" customWidth="1"/>
    <col min="10754" max="10754" width="2.26953125" style="362" customWidth="1"/>
    <col min="10755" max="10755" width="57.26953125" style="362" customWidth="1"/>
    <col min="10756" max="10756" width="3.7265625" style="362" customWidth="1"/>
    <col min="10757" max="10757" width="16.453125" style="362" customWidth="1"/>
    <col min="10758" max="11008" width="9.1796875" style="362"/>
    <col min="11009" max="11009" width="4.81640625" style="362" customWidth="1"/>
    <col min="11010" max="11010" width="2.26953125" style="362" customWidth="1"/>
    <col min="11011" max="11011" width="57.26953125" style="362" customWidth="1"/>
    <col min="11012" max="11012" width="3.7265625" style="362" customWidth="1"/>
    <col min="11013" max="11013" width="16.453125" style="362" customWidth="1"/>
    <col min="11014" max="11264" width="9.1796875" style="362"/>
    <col min="11265" max="11265" width="4.81640625" style="362" customWidth="1"/>
    <col min="11266" max="11266" width="2.26953125" style="362" customWidth="1"/>
    <col min="11267" max="11267" width="57.26953125" style="362" customWidth="1"/>
    <col min="11268" max="11268" width="3.7265625" style="362" customWidth="1"/>
    <col min="11269" max="11269" width="16.453125" style="362" customWidth="1"/>
    <col min="11270" max="11520" width="9.1796875" style="362"/>
    <col min="11521" max="11521" width="4.81640625" style="362" customWidth="1"/>
    <col min="11522" max="11522" width="2.26953125" style="362" customWidth="1"/>
    <col min="11523" max="11523" width="57.26953125" style="362" customWidth="1"/>
    <col min="11524" max="11524" width="3.7265625" style="362" customWidth="1"/>
    <col min="11525" max="11525" width="16.453125" style="362" customWidth="1"/>
    <col min="11526" max="11776" width="9.1796875" style="362"/>
    <col min="11777" max="11777" width="4.81640625" style="362" customWidth="1"/>
    <col min="11778" max="11778" width="2.26953125" style="362" customWidth="1"/>
    <col min="11779" max="11779" width="57.26953125" style="362" customWidth="1"/>
    <col min="11780" max="11780" width="3.7265625" style="362" customWidth="1"/>
    <col min="11781" max="11781" width="16.453125" style="362" customWidth="1"/>
    <col min="11782" max="12032" width="9.1796875" style="362"/>
    <col min="12033" max="12033" width="4.81640625" style="362" customWidth="1"/>
    <col min="12034" max="12034" width="2.26953125" style="362" customWidth="1"/>
    <col min="12035" max="12035" width="57.26953125" style="362" customWidth="1"/>
    <col min="12036" max="12036" width="3.7265625" style="362" customWidth="1"/>
    <col min="12037" max="12037" width="16.453125" style="362" customWidth="1"/>
    <col min="12038" max="12288" width="9.1796875" style="362"/>
    <col min="12289" max="12289" width="4.81640625" style="362" customWidth="1"/>
    <col min="12290" max="12290" width="2.26953125" style="362" customWidth="1"/>
    <col min="12291" max="12291" width="57.26953125" style="362" customWidth="1"/>
    <col min="12292" max="12292" width="3.7265625" style="362" customWidth="1"/>
    <col min="12293" max="12293" width="16.453125" style="362" customWidth="1"/>
    <col min="12294" max="12544" width="9.1796875" style="362"/>
    <col min="12545" max="12545" width="4.81640625" style="362" customWidth="1"/>
    <col min="12546" max="12546" width="2.26953125" style="362" customWidth="1"/>
    <col min="12547" max="12547" width="57.26953125" style="362" customWidth="1"/>
    <col min="12548" max="12548" width="3.7265625" style="362" customWidth="1"/>
    <col min="12549" max="12549" width="16.453125" style="362" customWidth="1"/>
    <col min="12550" max="12800" width="9.1796875" style="362"/>
    <col min="12801" max="12801" width="4.81640625" style="362" customWidth="1"/>
    <col min="12802" max="12802" width="2.26953125" style="362" customWidth="1"/>
    <col min="12803" max="12803" width="57.26953125" style="362" customWidth="1"/>
    <col min="12804" max="12804" width="3.7265625" style="362" customWidth="1"/>
    <col min="12805" max="12805" width="16.453125" style="362" customWidth="1"/>
    <col min="12806" max="13056" width="9.1796875" style="362"/>
    <col min="13057" max="13057" width="4.81640625" style="362" customWidth="1"/>
    <col min="13058" max="13058" width="2.26953125" style="362" customWidth="1"/>
    <col min="13059" max="13059" width="57.26953125" style="362" customWidth="1"/>
    <col min="13060" max="13060" width="3.7265625" style="362" customWidth="1"/>
    <col min="13061" max="13061" width="16.453125" style="362" customWidth="1"/>
    <col min="13062" max="13312" width="9.1796875" style="362"/>
    <col min="13313" max="13313" width="4.81640625" style="362" customWidth="1"/>
    <col min="13314" max="13314" width="2.26953125" style="362" customWidth="1"/>
    <col min="13315" max="13315" width="57.26953125" style="362" customWidth="1"/>
    <col min="13316" max="13316" width="3.7265625" style="362" customWidth="1"/>
    <col min="13317" max="13317" width="16.453125" style="362" customWidth="1"/>
    <col min="13318" max="13568" width="9.1796875" style="362"/>
    <col min="13569" max="13569" width="4.81640625" style="362" customWidth="1"/>
    <col min="13570" max="13570" width="2.26953125" style="362" customWidth="1"/>
    <col min="13571" max="13571" width="57.26953125" style="362" customWidth="1"/>
    <col min="13572" max="13572" width="3.7265625" style="362" customWidth="1"/>
    <col min="13573" max="13573" width="16.453125" style="362" customWidth="1"/>
    <col min="13574" max="13824" width="9.1796875" style="362"/>
    <col min="13825" max="13825" width="4.81640625" style="362" customWidth="1"/>
    <col min="13826" max="13826" width="2.26953125" style="362" customWidth="1"/>
    <col min="13827" max="13827" width="57.26953125" style="362" customWidth="1"/>
    <col min="13828" max="13828" width="3.7265625" style="362" customWidth="1"/>
    <col min="13829" max="13829" width="16.453125" style="362" customWidth="1"/>
    <col min="13830" max="14080" width="9.1796875" style="362"/>
    <col min="14081" max="14081" width="4.81640625" style="362" customWidth="1"/>
    <col min="14082" max="14082" width="2.26953125" style="362" customWidth="1"/>
    <col min="14083" max="14083" width="57.26953125" style="362" customWidth="1"/>
    <col min="14084" max="14084" width="3.7265625" style="362" customWidth="1"/>
    <col min="14085" max="14085" width="16.453125" style="362" customWidth="1"/>
    <col min="14086" max="14336" width="9.1796875" style="362"/>
    <col min="14337" max="14337" width="4.81640625" style="362" customWidth="1"/>
    <col min="14338" max="14338" width="2.26953125" style="362" customWidth="1"/>
    <col min="14339" max="14339" width="57.26953125" style="362" customWidth="1"/>
    <col min="14340" max="14340" width="3.7265625" style="362" customWidth="1"/>
    <col min="14341" max="14341" width="16.453125" style="362" customWidth="1"/>
    <col min="14342" max="14592" width="9.1796875" style="362"/>
    <col min="14593" max="14593" width="4.81640625" style="362" customWidth="1"/>
    <col min="14594" max="14594" width="2.26953125" style="362" customWidth="1"/>
    <col min="14595" max="14595" width="57.26953125" style="362" customWidth="1"/>
    <col min="14596" max="14596" width="3.7265625" style="362" customWidth="1"/>
    <col min="14597" max="14597" width="16.453125" style="362" customWidth="1"/>
    <col min="14598" max="14848" width="9.1796875" style="362"/>
    <col min="14849" max="14849" width="4.81640625" style="362" customWidth="1"/>
    <col min="14850" max="14850" width="2.26953125" style="362" customWidth="1"/>
    <col min="14851" max="14851" width="57.26953125" style="362" customWidth="1"/>
    <col min="14852" max="14852" width="3.7265625" style="362" customWidth="1"/>
    <col min="14853" max="14853" width="16.453125" style="362" customWidth="1"/>
    <col min="14854" max="15104" width="9.1796875" style="362"/>
    <col min="15105" max="15105" width="4.81640625" style="362" customWidth="1"/>
    <col min="15106" max="15106" width="2.26953125" style="362" customWidth="1"/>
    <col min="15107" max="15107" width="57.26953125" style="362" customWidth="1"/>
    <col min="15108" max="15108" width="3.7265625" style="362" customWidth="1"/>
    <col min="15109" max="15109" width="16.453125" style="362" customWidth="1"/>
    <col min="15110" max="15360" width="9.1796875" style="362"/>
    <col min="15361" max="15361" width="4.81640625" style="362" customWidth="1"/>
    <col min="15362" max="15362" width="2.26953125" style="362" customWidth="1"/>
    <col min="15363" max="15363" width="57.26953125" style="362" customWidth="1"/>
    <col min="15364" max="15364" width="3.7265625" style="362" customWidth="1"/>
    <col min="15365" max="15365" width="16.453125" style="362" customWidth="1"/>
    <col min="15366" max="15616" width="9.1796875" style="362"/>
    <col min="15617" max="15617" width="4.81640625" style="362" customWidth="1"/>
    <col min="15618" max="15618" width="2.26953125" style="362" customWidth="1"/>
    <col min="15619" max="15619" width="57.26953125" style="362" customWidth="1"/>
    <col min="15620" max="15620" width="3.7265625" style="362" customWidth="1"/>
    <col min="15621" max="15621" width="16.453125" style="362" customWidth="1"/>
    <col min="15622" max="15872" width="9.1796875" style="362"/>
    <col min="15873" max="15873" width="4.81640625" style="362" customWidth="1"/>
    <col min="15874" max="15874" width="2.26953125" style="362" customWidth="1"/>
    <col min="15875" max="15875" width="57.26953125" style="362" customWidth="1"/>
    <col min="15876" max="15876" width="3.7265625" style="362" customWidth="1"/>
    <col min="15877" max="15877" width="16.453125" style="362" customWidth="1"/>
    <col min="15878" max="16128" width="9.1796875" style="362"/>
    <col min="16129" max="16129" width="4.81640625" style="362" customWidth="1"/>
    <col min="16130" max="16130" width="2.26953125" style="362" customWidth="1"/>
    <col min="16131" max="16131" width="57.26953125" style="362" customWidth="1"/>
    <col min="16132" max="16132" width="3.7265625" style="362" customWidth="1"/>
    <col min="16133" max="16133" width="16.453125" style="362" customWidth="1"/>
    <col min="16134" max="16384" width="9.1796875" style="362"/>
  </cols>
  <sheetData>
    <row r="1" spans="1:6">
      <c r="A1" s="859" t="s">
        <v>0</v>
      </c>
      <c r="B1" s="859"/>
      <c r="C1" s="859"/>
      <c r="D1" s="859"/>
      <c r="E1" s="859"/>
      <c r="F1" s="338"/>
    </row>
    <row r="2" spans="1:6">
      <c r="A2" s="859" t="s">
        <v>757</v>
      </c>
      <c r="B2" s="859"/>
      <c r="C2" s="859"/>
      <c r="D2" s="859"/>
      <c r="E2" s="859"/>
      <c r="F2" s="338"/>
    </row>
    <row r="3" spans="1:6">
      <c r="A3" s="859" t="s">
        <v>599</v>
      </c>
      <c r="B3" s="859"/>
      <c r="C3" s="859"/>
      <c r="D3" s="859"/>
      <c r="E3" s="859"/>
      <c r="F3" s="338"/>
    </row>
    <row r="4" spans="1:6">
      <c r="A4" s="860" t="s">
        <v>85</v>
      </c>
      <c r="B4" s="860"/>
      <c r="C4" s="860"/>
      <c r="D4" s="860"/>
      <c r="E4" s="860"/>
    </row>
    <row r="5" spans="1:6">
      <c r="A5" s="339"/>
      <c r="B5" s="339"/>
      <c r="C5" s="340"/>
      <c r="D5" s="341"/>
      <c r="E5" s="354"/>
      <c r="F5" s="338"/>
    </row>
    <row r="6" spans="1:6" ht="39">
      <c r="A6" s="342" t="s">
        <v>10</v>
      </c>
      <c r="B6" s="342"/>
      <c r="C6" s="342" t="s">
        <v>117</v>
      </c>
      <c r="D6" s="342"/>
      <c r="E6" s="342" t="s">
        <v>759</v>
      </c>
      <c r="F6" s="343"/>
    </row>
    <row r="7" spans="1:6">
      <c r="A7" s="344">
        <v>-1</v>
      </c>
      <c r="B7" s="344"/>
      <c r="C7" s="344">
        <v>-2</v>
      </c>
      <c r="D7" s="344"/>
      <c r="E7" s="344">
        <v>-3</v>
      </c>
      <c r="F7" s="344"/>
    </row>
    <row r="9" spans="1:6" ht="39">
      <c r="A9" s="345">
        <v>1</v>
      </c>
      <c r="B9" s="346"/>
      <c r="C9" s="347" t="s">
        <v>951</v>
      </c>
      <c r="D9" s="348"/>
      <c r="E9" s="349">
        <v>23246379.719999999</v>
      </c>
      <c r="F9" s="348"/>
    </row>
    <row r="10" spans="1:6" ht="15" customHeight="1">
      <c r="A10" s="345"/>
      <c r="B10" s="346"/>
      <c r="C10" s="350"/>
      <c r="D10" s="348"/>
      <c r="E10" s="351"/>
      <c r="F10" s="348"/>
    </row>
    <row r="11" spans="1:6" ht="15" customHeight="1">
      <c r="A11" s="345">
        <v>2</v>
      </c>
      <c r="B11" s="346"/>
      <c r="C11" s="348" t="s">
        <v>34</v>
      </c>
      <c r="D11" s="348"/>
      <c r="E11" s="352" t="s">
        <v>952</v>
      </c>
      <c r="F11" s="348"/>
    </row>
    <row r="12" spans="1:6" ht="15" customHeight="1">
      <c r="A12" s="345"/>
      <c r="B12" s="346"/>
      <c r="C12" s="353"/>
      <c r="D12" s="353"/>
      <c r="E12" s="354"/>
      <c r="F12" s="353"/>
    </row>
    <row r="13" spans="1:6" ht="15" customHeight="1" thickBot="1">
      <c r="A13" s="345">
        <v>3</v>
      </c>
      <c r="B13" s="346"/>
      <c r="C13" s="339" t="s">
        <v>971</v>
      </c>
      <c r="D13" s="339"/>
      <c r="E13" s="355">
        <v>0</v>
      </c>
      <c r="F13" s="339"/>
    </row>
    <row r="14" spans="1:6" ht="13.5" thickTop="1">
      <c r="A14" s="345"/>
      <c r="B14" s="346"/>
      <c r="C14" s="356"/>
      <c r="D14" s="353"/>
      <c r="E14" s="354"/>
      <c r="F14" s="353"/>
    </row>
    <row r="15" spans="1:6">
      <c r="A15" s="345"/>
      <c r="B15" s="346"/>
      <c r="C15" s="356"/>
      <c r="D15" s="353"/>
      <c r="E15" s="354"/>
      <c r="F15" s="353"/>
    </row>
    <row r="16" spans="1:6" ht="15" customHeight="1">
      <c r="A16" s="345">
        <v>4</v>
      </c>
      <c r="B16" s="346"/>
      <c r="C16" s="353" t="s">
        <v>972</v>
      </c>
      <c r="D16" s="353"/>
      <c r="E16" s="357">
        <f>E13</f>
        <v>0</v>
      </c>
      <c r="F16" s="353"/>
    </row>
    <row r="17" spans="1:6" ht="15" customHeight="1">
      <c r="A17" s="345"/>
      <c r="B17" s="346"/>
      <c r="C17" s="353"/>
      <c r="D17" s="353"/>
      <c r="E17" s="354"/>
      <c r="F17" s="353"/>
    </row>
    <row r="18" spans="1:6" ht="15" customHeight="1">
      <c r="A18" s="345">
        <v>5</v>
      </c>
      <c r="B18" s="346"/>
      <c r="C18" s="353" t="s">
        <v>760</v>
      </c>
      <c r="D18" s="353"/>
      <c r="E18" s="358">
        <v>0</v>
      </c>
      <c r="F18" s="353"/>
    </row>
    <row r="19" spans="1:6" ht="15" customHeight="1">
      <c r="A19" s="345"/>
      <c r="B19" s="346"/>
      <c r="C19" s="353"/>
      <c r="D19" s="353"/>
      <c r="E19" s="354"/>
      <c r="F19" s="353"/>
    </row>
    <row r="20" spans="1:6" ht="15" customHeight="1">
      <c r="A20" s="345">
        <v>6</v>
      </c>
      <c r="B20" s="346"/>
      <c r="C20" s="353" t="s">
        <v>973</v>
      </c>
      <c r="D20" s="353"/>
      <c r="E20" s="357">
        <f>E16-E18</f>
        <v>0</v>
      </c>
      <c r="F20" s="353"/>
    </row>
    <row r="21" spans="1:6" ht="15" customHeight="1">
      <c r="A21" s="345"/>
      <c r="B21" s="346"/>
      <c r="C21" s="353"/>
      <c r="D21" s="353"/>
      <c r="E21" s="354"/>
      <c r="F21" s="353"/>
    </row>
    <row r="22" spans="1:6" ht="15" customHeight="1">
      <c r="A22" s="345">
        <v>7</v>
      </c>
      <c r="B22" s="346"/>
      <c r="C22" s="353" t="s">
        <v>241</v>
      </c>
      <c r="D22" s="353"/>
      <c r="E22" s="359">
        <v>1</v>
      </c>
      <c r="F22" s="353"/>
    </row>
    <row r="23" spans="1:6" ht="15" customHeight="1">
      <c r="A23" s="345"/>
      <c r="B23" s="346"/>
      <c r="C23" s="348"/>
      <c r="D23" s="348"/>
      <c r="E23" s="354"/>
      <c r="F23" s="348"/>
    </row>
    <row r="24" spans="1:6" ht="15" customHeight="1" thickBot="1">
      <c r="A24" s="345">
        <v>8</v>
      </c>
      <c r="B24" s="346"/>
      <c r="C24" s="353" t="s">
        <v>44</v>
      </c>
      <c r="D24" s="353"/>
      <c r="E24" s="360">
        <f>E20*E22</f>
        <v>0</v>
      </c>
      <c r="F24" s="353"/>
    </row>
    <row r="25" spans="1:6" ht="13.5" thickTop="1">
      <c r="A25" s="345"/>
      <c r="B25" s="346"/>
      <c r="C25" s="339"/>
      <c r="D25" s="339"/>
      <c r="E25" s="354"/>
      <c r="F25" s="339"/>
    </row>
    <row r="26" spans="1:6">
      <c r="A26" s="345"/>
      <c r="B26" s="346"/>
      <c r="C26" s="339" t="s">
        <v>761</v>
      </c>
      <c r="D26" s="339"/>
      <c r="E26" s="354"/>
      <c r="F26" s="339"/>
    </row>
    <row r="27" spans="1:6">
      <c r="A27" s="345"/>
      <c r="B27" s="346"/>
      <c r="C27" s="353"/>
      <c r="D27" s="353"/>
      <c r="E27" s="361"/>
      <c r="F27" s="353"/>
    </row>
    <row r="28" spans="1:6">
      <c r="A28" s="346"/>
      <c r="B28" s="339" t="s">
        <v>953</v>
      </c>
      <c r="C28" s="339"/>
      <c r="D28" s="339"/>
      <c r="F28" s="339"/>
    </row>
    <row r="29" spans="1:6">
      <c r="A29" s="339"/>
      <c r="B29" s="339"/>
      <c r="C29" s="353"/>
      <c r="D29" s="353"/>
      <c r="E29" s="353"/>
      <c r="F29" s="353"/>
    </row>
    <row r="30" spans="1:6">
      <c r="A30" s="346"/>
      <c r="B30" s="346"/>
      <c r="C30" s="353"/>
      <c r="D30" s="353"/>
      <c r="E30" s="353"/>
      <c r="F30" s="353"/>
    </row>
    <row r="31" spans="1:6">
      <c r="A31" s="346"/>
      <c r="B31" s="346"/>
      <c r="C31" s="353"/>
      <c r="D31" s="353"/>
      <c r="E31" s="353"/>
      <c r="F31" s="353"/>
    </row>
    <row r="32" spans="1:6">
      <c r="A32" s="346"/>
      <c r="B32" s="346"/>
      <c r="C32" s="353"/>
      <c r="D32" s="353"/>
      <c r="E32" s="353"/>
      <c r="F32" s="353"/>
    </row>
    <row r="33" spans="1:6">
      <c r="A33" s="339"/>
      <c r="B33" s="339"/>
      <c r="C33" s="353"/>
      <c r="D33" s="353"/>
      <c r="E33" s="353"/>
      <c r="F33" s="353"/>
    </row>
    <row r="34" spans="1:6">
      <c r="A34" s="346"/>
      <c r="B34" s="346"/>
      <c r="C34" s="353"/>
      <c r="D34" s="353"/>
      <c r="E34" s="353"/>
      <c r="F34" s="353"/>
    </row>
    <row r="35" spans="1:6">
      <c r="A35" s="339"/>
      <c r="B35" s="339"/>
      <c r="C35" s="353"/>
      <c r="D35" s="353"/>
      <c r="E35" s="353"/>
      <c r="F35" s="353"/>
    </row>
    <row r="36" spans="1:6">
      <c r="A36" s="346"/>
      <c r="B36" s="346"/>
      <c r="C36" s="353"/>
      <c r="D36" s="353"/>
      <c r="E36" s="353"/>
      <c r="F36" s="353"/>
    </row>
    <row r="37" spans="1:6">
      <c r="A37" s="339"/>
      <c r="B37" s="339"/>
      <c r="C37" s="353"/>
      <c r="D37" s="353"/>
      <c r="E37" s="353"/>
      <c r="F37" s="353"/>
    </row>
    <row r="38" spans="1:6">
      <c r="A38" s="346"/>
      <c r="B38" s="346"/>
      <c r="C38" s="353"/>
      <c r="D38" s="353"/>
      <c r="E38" s="353"/>
      <c r="F38" s="353"/>
    </row>
    <row r="39" spans="1:6">
      <c r="A39" s="339"/>
      <c r="B39" s="339"/>
      <c r="C39" s="353"/>
      <c r="D39" s="353"/>
      <c r="E39" s="353"/>
      <c r="F39" s="353"/>
    </row>
    <row r="40" spans="1:6">
      <c r="A40" s="346"/>
      <c r="B40" s="346"/>
      <c r="C40" s="353"/>
      <c r="D40" s="353"/>
      <c r="E40" s="353"/>
      <c r="F40" s="353"/>
    </row>
    <row r="41" spans="1:6">
      <c r="A41" s="339"/>
      <c r="B41" s="339"/>
      <c r="C41" s="353"/>
      <c r="D41" s="353"/>
      <c r="E41" s="353"/>
      <c r="F41" s="353"/>
    </row>
    <row r="42" spans="1:6">
      <c r="A42" s="346"/>
      <c r="B42" s="346"/>
      <c r="C42" s="353"/>
      <c r="D42" s="353"/>
      <c r="E42" s="353"/>
      <c r="F42" s="353"/>
    </row>
    <row r="43" spans="1:6">
      <c r="A43" s="339"/>
      <c r="B43" s="339"/>
      <c r="C43" s="353"/>
      <c r="D43" s="353"/>
      <c r="E43" s="353"/>
      <c r="F43" s="353"/>
    </row>
    <row r="44" spans="1:6">
      <c r="A44" s="346"/>
      <c r="B44" s="346"/>
      <c r="C44" s="353"/>
      <c r="D44" s="353"/>
      <c r="E44" s="353"/>
      <c r="F44" s="353"/>
    </row>
    <row r="45" spans="1:6">
      <c r="A45" s="339"/>
      <c r="B45" s="339"/>
      <c r="C45" s="353"/>
      <c r="D45" s="353"/>
      <c r="E45" s="353"/>
      <c r="F45" s="353"/>
    </row>
    <row r="46" spans="1:6">
      <c r="A46" s="346"/>
      <c r="B46" s="346"/>
      <c r="C46" s="353"/>
      <c r="D46" s="353"/>
      <c r="E46" s="353"/>
      <c r="F46" s="353"/>
    </row>
    <row r="47" spans="1:6">
      <c r="A47" s="339"/>
      <c r="B47" s="339"/>
      <c r="C47" s="353"/>
      <c r="D47" s="353"/>
      <c r="E47" s="353"/>
      <c r="F47" s="353"/>
    </row>
    <row r="48" spans="1:6">
      <c r="A48" s="339"/>
      <c r="B48" s="339"/>
      <c r="C48" s="353"/>
      <c r="D48" s="353"/>
      <c r="E48" s="353"/>
      <c r="F48" s="353"/>
    </row>
    <row r="49" spans="1:6">
      <c r="A49" s="339"/>
      <c r="B49" s="339"/>
      <c r="C49" s="353"/>
      <c r="D49" s="353"/>
      <c r="E49" s="353"/>
      <c r="F49" s="353"/>
    </row>
    <row r="50" spans="1:6">
      <c r="A50" s="339"/>
      <c r="B50" s="339"/>
      <c r="C50" s="353"/>
      <c r="D50" s="353"/>
      <c r="E50" s="353"/>
      <c r="F50" s="353"/>
    </row>
    <row r="51" spans="1:6">
      <c r="A51" s="339"/>
      <c r="B51" s="339"/>
      <c r="C51" s="353"/>
      <c r="D51" s="353"/>
      <c r="E51" s="353"/>
      <c r="F51" s="353"/>
    </row>
    <row r="52" spans="1:6">
      <c r="A52" s="339"/>
      <c r="B52" s="339"/>
      <c r="C52" s="353"/>
      <c r="D52" s="353"/>
      <c r="E52" s="353"/>
      <c r="F52" s="353"/>
    </row>
    <row r="53" spans="1:6">
      <c r="A53" s="339"/>
      <c r="B53" s="339"/>
      <c r="C53" s="353"/>
      <c r="D53" s="353"/>
      <c r="E53" s="353"/>
      <c r="F53" s="353"/>
    </row>
    <row r="54" spans="1:6">
      <c r="A54" s="339"/>
      <c r="B54" s="339"/>
      <c r="C54" s="353"/>
      <c r="D54" s="353"/>
      <c r="E54" s="353"/>
      <c r="F54" s="353"/>
    </row>
    <row r="55" spans="1:6">
      <c r="A55" s="339"/>
      <c r="B55" s="339"/>
      <c r="C55" s="353"/>
      <c r="D55" s="353"/>
      <c r="E55" s="353"/>
      <c r="F55" s="353"/>
    </row>
    <row r="56" spans="1:6">
      <c r="A56" s="339"/>
      <c r="B56" s="339"/>
      <c r="C56" s="353"/>
      <c r="D56" s="353"/>
      <c r="E56" s="353"/>
      <c r="F56" s="353"/>
    </row>
    <row r="57" spans="1:6">
      <c r="C57" s="353"/>
      <c r="D57" s="353"/>
      <c r="E57" s="353"/>
      <c r="F57" s="353"/>
    </row>
    <row r="58" spans="1:6">
      <c r="C58" s="353"/>
      <c r="D58" s="353"/>
      <c r="E58" s="353"/>
      <c r="F58" s="353"/>
    </row>
    <row r="59" spans="1:6">
      <c r="C59" s="353"/>
      <c r="D59" s="353"/>
      <c r="E59" s="353"/>
      <c r="F59" s="353"/>
    </row>
    <row r="60" spans="1:6">
      <c r="C60" s="353"/>
      <c r="D60" s="353"/>
      <c r="E60" s="353"/>
      <c r="F60" s="353"/>
    </row>
    <row r="61" spans="1:6">
      <c r="C61" s="353"/>
      <c r="D61" s="353"/>
      <c r="E61" s="353"/>
      <c r="F61" s="353"/>
    </row>
    <row r="62" spans="1:6">
      <c r="C62" s="353"/>
      <c r="D62" s="353"/>
      <c r="E62" s="353"/>
      <c r="F62" s="353"/>
    </row>
    <row r="63" spans="1:6">
      <c r="C63" s="353"/>
      <c r="D63" s="353"/>
      <c r="E63" s="353"/>
      <c r="F63" s="353"/>
    </row>
    <row r="64" spans="1:6">
      <c r="C64" s="353"/>
      <c r="D64" s="353"/>
      <c r="E64" s="353"/>
      <c r="F64" s="353"/>
    </row>
    <row r="65" spans="3:6">
      <c r="C65" s="353"/>
      <c r="D65" s="353"/>
      <c r="E65" s="353"/>
      <c r="F65" s="353"/>
    </row>
    <row r="66" spans="3:6">
      <c r="C66" s="353"/>
      <c r="D66" s="353"/>
      <c r="E66" s="353"/>
      <c r="F66" s="353"/>
    </row>
    <row r="67" spans="3:6">
      <c r="C67" s="353"/>
      <c r="D67" s="353"/>
      <c r="E67" s="353"/>
      <c r="F67" s="353"/>
    </row>
    <row r="68" spans="3:6">
      <c r="C68" s="353"/>
      <c r="D68" s="353"/>
      <c r="E68" s="353"/>
      <c r="F68" s="353"/>
    </row>
    <row r="69" spans="3:6">
      <c r="C69" s="353"/>
      <c r="D69" s="353"/>
      <c r="E69" s="353"/>
      <c r="F69" s="353"/>
    </row>
    <row r="70" spans="3:6">
      <c r="C70" s="353"/>
      <c r="D70" s="353"/>
      <c r="E70" s="353"/>
      <c r="F70" s="353"/>
    </row>
    <row r="71" spans="3:6">
      <c r="C71" s="353"/>
      <c r="D71" s="353"/>
      <c r="E71" s="353"/>
      <c r="F71" s="353"/>
    </row>
    <row r="72" spans="3:6">
      <c r="C72" s="353"/>
      <c r="D72" s="353"/>
      <c r="E72" s="353"/>
      <c r="F72" s="353"/>
    </row>
    <row r="73" spans="3:6">
      <c r="C73" s="353"/>
      <c r="D73" s="353"/>
      <c r="E73" s="353"/>
      <c r="F73" s="353"/>
    </row>
    <row r="74" spans="3:6">
      <c r="C74" s="353"/>
      <c r="D74" s="353"/>
      <c r="E74" s="353"/>
      <c r="F74" s="353"/>
    </row>
    <row r="75" spans="3:6">
      <c r="C75" s="353"/>
      <c r="D75" s="353"/>
      <c r="E75" s="353"/>
      <c r="F75" s="353"/>
    </row>
    <row r="76" spans="3:6">
      <c r="C76" s="353"/>
      <c r="D76" s="353"/>
      <c r="E76" s="353"/>
      <c r="F76" s="353"/>
    </row>
    <row r="77" spans="3:6">
      <c r="C77" s="353"/>
      <c r="D77" s="353"/>
      <c r="E77" s="353"/>
      <c r="F77" s="353"/>
    </row>
    <row r="78" spans="3:6">
      <c r="C78" s="353"/>
      <c r="D78" s="353"/>
      <c r="E78" s="353"/>
      <c r="F78" s="353"/>
    </row>
    <row r="79" spans="3:6">
      <c r="C79" s="353"/>
      <c r="D79" s="353"/>
      <c r="E79" s="353"/>
      <c r="F79" s="353"/>
    </row>
    <row r="80" spans="3:6">
      <c r="C80" s="353"/>
      <c r="D80" s="353"/>
      <c r="E80" s="353"/>
      <c r="F80" s="353"/>
    </row>
    <row r="81" spans="3:6">
      <c r="C81" s="353"/>
      <c r="D81" s="353"/>
      <c r="E81" s="353"/>
      <c r="F81" s="353"/>
    </row>
    <row r="82" spans="3:6">
      <c r="C82" s="353"/>
      <c r="D82" s="353"/>
      <c r="E82" s="353"/>
      <c r="F82" s="353"/>
    </row>
    <row r="83" spans="3:6">
      <c r="C83" s="353"/>
      <c r="D83" s="353"/>
      <c r="E83" s="353"/>
      <c r="F83" s="353"/>
    </row>
    <row r="84" spans="3:6">
      <c r="C84" s="353"/>
      <c r="D84" s="353"/>
      <c r="E84" s="353"/>
      <c r="F84" s="353"/>
    </row>
    <row r="85" spans="3:6">
      <c r="C85" s="353"/>
      <c r="D85" s="353"/>
      <c r="E85" s="353"/>
      <c r="F85" s="353"/>
    </row>
    <row r="86" spans="3:6">
      <c r="C86" s="353"/>
      <c r="D86" s="353"/>
      <c r="E86" s="353"/>
      <c r="F86" s="353"/>
    </row>
    <row r="87" spans="3:6">
      <c r="C87" s="353"/>
      <c r="D87" s="353"/>
      <c r="E87" s="353"/>
      <c r="F87" s="353"/>
    </row>
    <row r="88" spans="3:6">
      <c r="C88" s="353"/>
      <c r="D88" s="353"/>
      <c r="E88" s="353"/>
      <c r="F88" s="353"/>
    </row>
    <row r="89" spans="3:6">
      <c r="C89" s="353"/>
      <c r="D89" s="353"/>
      <c r="E89" s="353"/>
      <c r="F89" s="353"/>
    </row>
    <row r="90" spans="3:6">
      <c r="C90" s="353"/>
      <c r="D90" s="353"/>
      <c r="E90" s="353"/>
      <c r="F90" s="353"/>
    </row>
    <row r="91" spans="3:6">
      <c r="C91" s="353"/>
      <c r="D91" s="353"/>
      <c r="E91" s="353"/>
      <c r="F91" s="353"/>
    </row>
    <row r="92" spans="3:6">
      <c r="C92" s="353"/>
      <c r="D92" s="353"/>
      <c r="E92" s="353"/>
      <c r="F92" s="353"/>
    </row>
    <row r="93" spans="3:6">
      <c r="C93" s="353"/>
      <c r="D93" s="353"/>
      <c r="E93" s="353"/>
      <c r="F93" s="35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5D73-4C7F-4E13-A041-0C23D21213E7}">
  <sheetPr>
    <pageSetUpPr fitToPage="1"/>
  </sheetPr>
  <dimension ref="A1:G41"/>
  <sheetViews>
    <sheetView zoomScale="110" zoomScaleNormal="110" workbookViewId="0">
      <selection activeCell="D16" sqref="D16"/>
    </sheetView>
  </sheetViews>
  <sheetFormatPr defaultColWidth="9.1796875" defaultRowHeight="13"/>
  <cols>
    <col min="1" max="1" width="7.7265625" style="1" bestFit="1" customWidth="1"/>
    <col min="2" max="2" width="5.26953125" style="1" customWidth="1"/>
    <col min="3" max="3" width="67.453125" style="1" bestFit="1" customWidth="1"/>
    <col min="4" max="4" width="33.26953125" style="1" customWidth="1"/>
    <col min="5" max="5" width="11.7265625" style="1" bestFit="1" customWidth="1"/>
    <col min="6" max="6" width="9.1796875" style="1"/>
    <col min="7" max="10" width="9.1796875" style="1" customWidth="1"/>
    <col min="11" max="16384" width="9.1796875" style="1"/>
  </cols>
  <sheetData>
    <row r="1" spans="1:7">
      <c r="E1" s="861"/>
      <c r="F1" s="861"/>
      <c r="G1" s="80"/>
    </row>
    <row r="2" spans="1:7" ht="15" customHeight="1">
      <c r="A2" s="862" t="s">
        <v>0</v>
      </c>
      <c r="B2" s="862"/>
      <c r="C2" s="862"/>
      <c r="D2" s="862"/>
      <c r="E2" s="862"/>
      <c r="F2" s="81"/>
    </row>
    <row r="3" spans="1:7" ht="15" customHeight="1">
      <c r="A3" s="862" t="s">
        <v>296</v>
      </c>
      <c r="B3" s="862"/>
      <c r="C3" s="862"/>
      <c r="D3" s="862"/>
      <c r="E3" s="862"/>
      <c r="F3" s="52"/>
    </row>
    <row r="4" spans="1:7" ht="15" customHeight="1">
      <c r="A4" s="862" t="s">
        <v>599</v>
      </c>
      <c r="B4" s="862"/>
      <c r="C4" s="862"/>
      <c r="D4" s="862"/>
      <c r="E4" s="862"/>
    </row>
    <row r="5" spans="1:7" ht="15" customHeight="1">
      <c r="A5" s="863" t="s">
        <v>514</v>
      </c>
      <c r="B5" s="863"/>
      <c r="C5" s="863"/>
      <c r="D5" s="863"/>
      <c r="E5" s="863"/>
    </row>
    <row r="6" spans="1:7">
      <c r="A6" s="683"/>
      <c r="B6" s="683"/>
      <c r="C6" s="114"/>
      <c r="D6" s="683"/>
      <c r="E6" s="683"/>
    </row>
    <row r="7" spans="1:7" ht="24.75" customHeight="1">
      <c r="A7" s="82" t="s">
        <v>10</v>
      </c>
      <c r="B7" s="82"/>
      <c r="C7" s="82" t="s">
        <v>117</v>
      </c>
      <c r="D7" s="82" t="s">
        <v>143</v>
      </c>
      <c r="E7" s="82" t="s">
        <v>118</v>
      </c>
    </row>
    <row r="8" spans="1:7">
      <c r="A8" s="83">
        <v>-1</v>
      </c>
      <c r="B8" s="83"/>
      <c r="C8" s="83">
        <v>-2</v>
      </c>
      <c r="D8" s="83">
        <v>-3</v>
      </c>
      <c r="E8" s="83">
        <v>-4</v>
      </c>
    </row>
    <row r="9" spans="1:7">
      <c r="A9" s="83"/>
      <c r="B9" s="83"/>
      <c r="C9" s="83"/>
      <c r="D9" s="83"/>
      <c r="E9" s="83"/>
    </row>
    <row r="10" spans="1:7">
      <c r="A10" s="683"/>
      <c r="B10" s="683" t="s">
        <v>297</v>
      </c>
      <c r="C10" s="683"/>
      <c r="D10" s="683"/>
      <c r="E10" s="84"/>
    </row>
    <row r="11" spans="1:7">
      <c r="A11" s="683"/>
      <c r="B11" s="683"/>
      <c r="C11" s="683"/>
      <c r="D11" s="683"/>
      <c r="E11" s="84"/>
    </row>
    <row r="12" spans="1:7">
      <c r="A12" s="14">
        <v>1</v>
      </c>
      <c r="B12" s="683"/>
      <c r="C12" s="683" t="s">
        <v>298</v>
      </c>
      <c r="D12" s="683"/>
      <c r="E12" s="375">
        <v>425000</v>
      </c>
      <c r="G12" s="85"/>
    </row>
    <row r="13" spans="1:7">
      <c r="A13" s="683"/>
      <c r="B13" s="683"/>
      <c r="C13" s="683"/>
      <c r="D13" s="683"/>
      <c r="E13" s="84"/>
      <c r="G13" s="86"/>
    </row>
    <row r="14" spans="1:7">
      <c r="A14" s="14">
        <v>2</v>
      </c>
      <c r="B14" s="683"/>
      <c r="C14" s="683" t="s">
        <v>299</v>
      </c>
      <c r="D14" s="683"/>
      <c r="E14" s="84">
        <v>302500</v>
      </c>
      <c r="G14" s="85"/>
    </row>
    <row r="15" spans="1:7">
      <c r="A15" s="683"/>
      <c r="B15" s="683"/>
      <c r="C15" s="683"/>
      <c r="D15" s="683"/>
      <c r="E15" s="84"/>
      <c r="G15" s="86"/>
    </row>
    <row r="16" spans="1:7">
      <c r="A16" s="14">
        <v>3</v>
      </c>
      <c r="B16" s="683"/>
      <c r="C16" s="683" t="s">
        <v>300</v>
      </c>
      <c r="D16" s="683"/>
      <c r="E16" s="375">
        <v>661000</v>
      </c>
      <c r="G16" s="85"/>
    </row>
    <row r="17" spans="1:7">
      <c r="A17" s="683"/>
      <c r="B17" s="683"/>
      <c r="C17" s="683"/>
      <c r="D17" s="683"/>
      <c r="E17" s="84"/>
      <c r="G17" s="86"/>
    </row>
    <row r="18" spans="1:7">
      <c r="A18" s="14">
        <v>4</v>
      </c>
      <c r="B18" s="683"/>
      <c r="C18" s="683" t="s">
        <v>301</v>
      </c>
      <c r="D18" s="683"/>
      <c r="E18" s="215">
        <v>5000</v>
      </c>
      <c r="G18" s="86"/>
    </row>
    <row r="19" spans="1:7">
      <c r="A19" s="14" t="s">
        <v>51</v>
      </c>
      <c r="B19" s="683"/>
      <c r="C19" s="683"/>
      <c r="D19" s="683"/>
      <c r="E19" s="84"/>
      <c r="G19" s="86"/>
    </row>
    <row r="20" spans="1:7">
      <c r="A20" s="14">
        <v>5</v>
      </c>
      <c r="B20" s="683"/>
      <c r="C20" s="683" t="s">
        <v>302</v>
      </c>
      <c r="D20" s="683"/>
      <c r="E20" s="829">
        <f>E18+E16+E14+E12</f>
        <v>1393500</v>
      </c>
      <c r="G20" s="86"/>
    </row>
    <row r="21" spans="1:7">
      <c r="A21" s="14" t="s">
        <v>51</v>
      </c>
      <c r="B21" s="683"/>
      <c r="C21" s="683"/>
      <c r="D21" s="683"/>
      <c r="E21" s="84"/>
      <c r="G21" s="86"/>
    </row>
    <row r="22" spans="1:7">
      <c r="A22" s="88">
        <v>6</v>
      </c>
      <c r="B22" s="477"/>
      <c r="C22" s="683" t="s">
        <v>645</v>
      </c>
      <c r="D22" s="477"/>
      <c r="E22" s="830">
        <v>274327.96000000002</v>
      </c>
      <c r="G22" s="86"/>
    </row>
    <row r="23" spans="1:7">
      <c r="A23" s="14"/>
      <c r="B23" s="683"/>
      <c r="C23" s="683"/>
      <c r="D23" s="683"/>
      <c r="E23" s="831"/>
      <c r="G23" s="86"/>
    </row>
    <row r="24" spans="1:7">
      <c r="A24" s="88">
        <v>7</v>
      </c>
      <c r="B24" s="477"/>
      <c r="C24" s="683" t="s">
        <v>646</v>
      </c>
      <c r="D24" s="683"/>
      <c r="E24" s="84">
        <f>+E20+E22</f>
        <v>1667827.96</v>
      </c>
      <c r="G24" s="86"/>
    </row>
    <row r="25" spans="1:7">
      <c r="A25" s="14"/>
      <c r="B25" s="683"/>
      <c r="C25" s="683"/>
      <c r="D25" s="683"/>
      <c r="E25" s="84"/>
      <c r="G25" s="86"/>
    </row>
    <row r="26" spans="1:7">
      <c r="A26" s="14">
        <v>8</v>
      </c>
      <c r="B26" s="683"/>
      <c r="C26" s="683" t="s">
        <v>303</v>
      </c>
      <c r="D26" s="683"/>
      <c r="E26" s="313">
        <v>3</v>
      </c>
      <c r="G26" s="86"/>
    </row>
    <row r="27" spans="1:7">
      <c r="A27" s="14" t="s">
        <v>51</v>
      </c>
      <c r="B27" s="683"/>
      <c r="C27" s="683"/>
      <c r="D27" s="683"/>
      <c r="E27" s="84"/>
      <c r="G27" s="86"/>
    </row>
    <row r="28" spans="1:7">
      <c r="A28" s="14">
        <v>9</v>
      </c>
      <c r="B28" s="683"/>
      <c r="C28" s="683" t="s">
        <v>877</v>
      </c>
      <c r="D28" s="683"/>
      <c r="E28" s="84">
        <f>ROUND(E24/E26,0)</f>
        <v>555943</v>
      </c>
      <c r="G28" s="86"/>
    </row>
    <row r="29" spans="1:7">
      <c r="A29" s="14" t="s">
        <v>51</v>
      </c>
      <c r="B29" s="683"/>
      <c r="C29" s="683"/>
      <c r="D29" s="683"/>
      <c r="E29" s="84"/>
      <c r="G29" s="86"/>
    </row>
    <row r="30" spans="1:7">
      <c r="A30" s="88">
        <v>10</v>
      </c>
      <c r="B30" s="477"/>
      <c r="C30" s="683" t="s">
        <v>647</v>
      </c>
      <c r="D30" s="683"/>
      <c r="E30" s="375">
        <v>314004.03999999998</v>
      </c>
      <c r="G30" s="86"/>
    </row>
    <row r="31" spans="1:7">
      <c r="A31" s="14"/>
      <c r="B31" s="683"/>
      <c r="C31" s="683"/>
      <c r="D31" s="683"/>
      <c r="E31" s="832"/>
      <c r="G31" s="86"/>
    </row>
    <row r="32" spans="1:7">
      <c r="A32" s="14">
        <v>11</v>
      </c>
      <c r="B32" s="683"/>
      <c r="C32" s="683" t="s">
        <v>878</v>
      </c>
      <c r="D32" s="683"/>
      <c r="E32" s="375">
        <f>E28-E30</f>
        <v>241938.96000000002</v>
      </c>
      <c r="G32" s="86"/>
    </row>
    <row r="33" spans="1:7">
      <c r="A33" s="14" t="s">
        <v>51</v>
      </c>
      <c r="B33" s="683"/>
      <c r="C33" s="683"/>
      <c r="D33" s="683"/>
      <c r="E33" s="84"/>
      <c r="G33" s="86"/>
    </row>
    <row r="34" spans="1:7">
      <c r="A34" s="14">
        <v>12</v>
      </c>
      <c r="B34" s="683"/>
      <c r="C34" s="683" t="s">
        <v>35</v>
      </c>
      <c r="D34" s="683"/>
      <c r="E34" s="833">
        <v>1</v>
      </c>
      <c r="G34" s="86"/>
    </row>
    <row r="35" spans="1:7">
      <c r="A35" s="14" t="s">
        <v>51</v>
      </c>
      <c r="B35" s="683"/>
      <c r="C35" s="683"/>
      <c r="D35" s="683"/>
      <c r="E35" s="84"/>
    </row>
    <row r="36" spans="1:7" ht="13.5" thickBot="1">
      <c r="A36" s="14">
        <v>13</v>
      </c>
      <c r="B36" s="683"/>
      <c r="C36" s="683" t="s">
        <v>879</v>
      </c>
      <c r="D36" s="14">
        <v>928</v>
      </c>
      <c r="E36" s="834">
        <f>E32*E34</f>
        <v>241938.96000000002</v>
      </c>
      <c r="G36" s="81"/>
    </row>
    <row r="37" spans="1:7" ht="13.5" thickTop="1">
      <c r="A37" s="683"/>
      <c r="B37" s="683"/>
      <c r="C37" s="683"/>
      <c r="D37" s="683"/>
      <c r="E37" s="84"/>
      <c r="G37" s="81"/>
    </row>
    <row r="38" spans="1:7">
      <c r="A38" s="683"/>
      <c r="B38" s="683"/>
      <c r="C38" s="683"/>
      <c r="D38" s="683"/>
      <c r="E38" s="84"/>
    </row>
    <row r="39" spans="1:7">
      <c r="A39" s="683"/>
      <c r="B39" s="683"/>
      <c r="C39" s="683"/>
      <c r="D39" s="683"/>
      <c r="E39" s="683"/>
    </row>
    <row r="40" spans="1:7">
      <c r="A40" s="683"/>
      <c r="B40" s="683"/>
      <c r="C40" s="683" t="s">
        <v>648</v>
      </c>
      <c r="D40" s="683"/>
      <c r="E40" s="683"/>
    </row>
    <row r="41" spans="1:7">
      <c r="A41" s="683"/>
      <c r="B41" s="683"/>
      <c r="C41" s="683"/>
      <c r="D41" s="683"/>
      <c r="E41" s="683"/>
    </row>
  </sheetData>
  <mergeCells count="5">
    <mergeCell ref="E1:F1"/>
    <mergeCell ref="A2:E2"/>
    <mergeCell ref="A3:E3"/>
    <mergeCell ref="A4:E4"/>
    <mergeCell ref="A5:E5"/>
  </mergeCells>
  <pageMargins left="0.7" right="0.7" top="0.75" bottom="0.75" header="0.3" footer="0.3"/>
  <pageSetup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0F0-BDAA-49D8-B4BF-179C284D5CF2}">
  <sheetPr>
    <pageSetUpPr fitToPage="1"/>
  </sheetPr>
  <dimension ref="A1:J46"/>
  <sheetViews>
    <sheetView zoomScale="110" zoomScaleNormal="110" workbookViewId="0">
      <selection activeCell="D32" sqref="D32"/>
    </sheetView>
  </sheetViews>
  <sheetFormatPr defaultColWidth="8.7265625" defaultRowHeight="13"/>
  <cols>
    <col min="1" max="1" width="8.81640625" style="89" bestFit="1" customWidth="1"/>
    <col min="2" max="2" width="1" style="89" customWidth="1"/>
    <col min="3" max="3" width="52.26953125" style="89" customWidth="1"/>
    <col min="4" max="4" width="1" style="89" customWidth="1"/>
    <col min="5" max="7" width="12.81640625" style="89" bestFit="1" customWidth="1"/>
    <col min="8" max="16384" width="8.7265625" style="89"/>
  </cols>
  <sheetData>
    <row r="1" spans="1:10">
      <c r="A1" s="864" t="s">
        <v>0</v>
      </c>
      <c r="B1" s="864"/>
      <c r="C1" s="864"/>
      <c r="D1" s="864"/>
      <c r="E1" s="864"/>
      <c r="F1" s="864"/>
      <c r="G1" s="864"/>
      <c r="J1" s="363" t="s">
        <v>51</v>
      </c>
    </row>
    <row r="2" spans="1:10">
      <c r="A2" s="864" t="s">
        <v>462</v>
      </c>
      <c r="B2" s="864"/>
      <c r="C2" s="864"/>
      <c r="D2" s="864"/>
      <c r="E2" s="864"/>
      <c r="F2" s="864"/>
      <c r="G2" s="864"/>
      <c r="J2" s="364" t="s">
        <v>51</v>
      </c>
    </row>
    <row r="3" spans="1:10">
      <c r="A3" s="864" t="s">
        <v>599</v>
      </c>
      <c r="B3" s="864"/>
      <c r="C3" s="864"/>
      <c r="D3" s="864"/>
      <c r="E3" s="864"/>
      <c r="F3" s="864"/>
      <c r="G3" s="864"/>
      <c r="J3" s="364" t="s">
        <v>51</v>
      </c>
    </row>
    <row r="4" spans="1:10">
      <c r="A4" s="865" t="s">
        <v>496</v>
      </c>
      <c r="B4" s="865"/>
      <c r="C4" s="865"/>
      <c r="D4" s="865"/>
      <c r="E4" s="865"/>
      <c r="F4" s="865"/>
      <c r="G4" s="865"/>
    </row>
    <row r="6" spans="1:10">
      <c r="A6" s="365" t="s">
        <v>10</v>
      </c>
      <c r="B6" s="365"/>
      <c r="C6" s="365" t="s">
        <v>117</v>
      </c>
      <c r="D6" s="366"/>
      <c r="E6" s="365" t="s">
        <v>463</v>
      </c>
      <c r="F6" s="365" t="s">
        <v>464</v>
      </c>
      <c r="G6" s="367" t="s">
        <v>465</v>
      </c>
      <c r="H6" s="368"/>
      <c r="I6" s="368"/>
      <c r="J6" s="368"/>
    </row>
    <row r="7" spans="1:10">
      <c r="A7" s="369">
        <v>-1</v>
      </c>
      <c r="B7" s="369"/>
      <c r="C7" s="369">
        <v>-2</v>
      </c>
      <c r="D7" s="370"/>
      <c r="E7" s="369">
        <v>-3</v>
      </c>
      <c r="F7" s="371" t="s">
        <v>240</v>
      </c>
      <c r="G7" s="371" t="s">
        <v>459</v>
      </c>
      <c r="H7" s="369"/>
      <c r="I7" s="369"/>
      <c r="J7" s="369"/>
    </row>
    <row r="8" spans="1:10">
      <c r="A8" s="346"/>
      <c r="B8" s="346"/>
      <c r="C8" s="339"/>
      <c r="D8" s="339"/>
      <c r="E8" s="339"/>
      <c r="F8" s="339"/>
    </row>
    <row r="9" spans="1:10">
      <c r="A9" s="346">
        <v>1</v>
      </c>
      <c r="B9" s="346"/>
      <c r="C9" s="348" t="s">
        <v>466</v>
      </c>
      <c r="D9" s="339"/>
      <c r="E9" s="372"/>
      <c r="F9" s="373"/>
      <c r="H9" s="88"/>
      <c r="I9" s="374"/>
      <c r="J9" s="165"/>
    </row>
    <row r="10" spans="1:10">
      <c r="A10" s="346">
        <f>+A9+1</f>
        <v>2</v>
      </c>
      <c r="B10" s="346"/>
      <c r="C10" s="348" t="s">
        <v>467</v>
      </c>
      <c r="D10" s="339"/>
      <c r="E10" s="373"/>
      <c r="F10" s="373"/>
      <c r="H10" s="88"/>
    </row>
    <row r="11" spans="1:10">
      <c r="A11" s="346">
        <f t="shared" ref="A11:A22" si="0">+A10+1</f>
        <v>3</v>
      </c>
      <c r="C11" s="89">
        <v>9301000</v>
      </c>
      <c r="E11" s="375">
        <f>SUM(F11:G11)</f>
        <v>36775</v>
      </c>
      <c r="F11" s="382">
        <v>2575</v>
      </c>
      <c r="G11" s="383">
        <v>34200</v>
      </c>
      <c r="H11" s="88"/>
      <c r="I11" s="374"/>
      <c r="J11" s="165"/>
    </row>
    <row r="12" spans="1:10">
      <c r="A12" s="346">
        <f t="shared" si="0"/>
        <v>4</v>
      </c>
      <c r="C12" s="89">
        <v>9301001</v>
      </c>
      <c r="E12" s="375">
        <f t="shared" ref="E12:E21" si="1">SUM(F12:G12)</f>
        <v>25915.200000000001</v>
      </c>
      <c r="F12" s="382">
        <v>0</v>
      </c>
      <c r="G12" s="383">
        <v>25915.200000000001</v>
      </c>
      <c r="H12" s="88"/>
      <c r="J12" s="165"/>
    </row>
    <row r="13" spans="1:10">
      <c r="A13" s="346">
        <f t="shared" si="0"/>
        <v>5</v>
      </c>
      <c r="C13" s="89">
        <v>9301003</v>
      </c>
      <c r="E13" s="375">
        <f t="shared" si="1"/>
        <v>22638.76</v>
      </c>
      <c r="F13" s="382">
        <v>0</v>
      </c>
      <c r="G13" s="383">
        <v>22638.76</v>
      </c>
      <c r="H13" s="88"/>
      <c r="J13" s="165"/>
    </row>
    <row r="14" spans="1:10">
      <c r="A14" s="346">
        <f t="shared" si="0"/>
        <v>6</v>
      </c>
      <c r="C14" s="89">
        <v>9301006</v>
      </c>
      <c r="E14" s="375">
        <f t="shared" si="1"/>
        <v>17099.419999999998</v>
      </c>
      <c r="F14" s="382"/>
      <c r="G14" s="383">
        <v>17099.419999999998</v>
      </c>
      <c r="H14" s="88"/>
      <c r="J14" s="165"/>
    </row>
    <row r="15" spans="1:10">
      <c r="A15" s="346">
        <f t="shared" si="0"/>
        <v>7</v>
      </c>
      <c r="C15" s="89">
        <v>9301007</v>
      </c>
      <c r="E15" s="375">
        <f t="shared" si="1"/>
        <v>750</v>
      </c>
      <c r="F15" s="382"/>
      <c r="G15" s="383">
        <v>750</v>
      </c>
      <c r="H15" s="88"/>
      <c r="J15" s="165"/>
    </row>
    <row r="16" spans="1:10">
      <c r="A16" s="346">
        <f t="shared" si="0"/>
        <v>8</v>
      </c>
      <c r="C16" s="89">
        <v>9301012</v>
      </c>
      <c r="E16" s="375">
        <f t="shared" si="1"/>
        <v>12841.71</v>
      </c>
      <c r="F16" s="382">
        <v>12841.71</v>
      </c>
      <c r="G16" s="383">
        <v>0</v>
      </c>
      <c r="H16" s="88"/>
    </row>
    <row r="17" spans="1:10">
      <c r="A17" s="346">
        <f t="shared" si="0"/>
        <v>9</v>
      </c>
      <c r="C17" s="89">
        <v>9301015</v>
      </c>
      <c r="E17" s="375">
        <f t="shared" si="1"/>
        <v>4758.05</v>
      </c>
      <c r="F17" s="382">
        <v>4758.05</v>
      </c>
      <c r="G17" s="384">
        <v>0</v>
      </c>
      <c r="H17" s="88"/>
      <c r="J17" s="165"/>
    </row>
    <row r="18" spans="1:10">
      <c r="A18" s="346">
        <f t="shared" si="0"/>
        <v>10</v>
      </c>
      <c r="C18" s="89">
        <v>9302000</v>
      </c>
      <c r="E18" s="375">
        <f t="shared" si="1"/>
        <v>123956.45999999999</v>
      </c>
      <c r="F18" s="382">
        <v>115700.56</v>
      </c>
      <c r="G18" s="383">
        <v>8255.9</v>
      </c>
    </row>
    <row r="19" spans="1:10">
      <c r="A19" s="346">
        <f t="shared" si="0"/>
        <v>11</v>
      </c>
      <c r="C19" s="89">
        <v>9302003</v>
      </c>
      <c r="E19" s="375">
        <f t="shared" si="1"/>
        <v>16220</v>
      </c>
      <c r="F19" s="385">
        <v>16220</v>
      </c>
      <c r="G19" s="383">
        <v>0</v>
      </c>
    </row>
    <row r="20" spans="1:10">
      <c r="A20" s="346">
        <f t="shared" si="0"/>
        <v>12</v>
      </c>
      <c r="C20" s="89">
        <v>9302006</v>
      </c>
      <c r="E20" s="375">
        <f t="shared" si="1"/>
        <v>-158</v>
      </c>
      <c r="F20" s="382">
        <v>-158</v>
      </c>
      <c r="G20" s="383">
        <v>0</v>
      </c>
    </row>
    <row r="21" spans="1:10">
      <c r="A21" s="346">
        <f t="shared" si="0"/>
        <v>13</v>
      </c>
      <c r="C21" s="89">
        <v>9302007</v>
      </c>
      <c r="E21" s="375">
        <f t="shared" si="1"/>
        <v>77220.58</v>
      </c>
      <c r="F21" s="382">
        <v>77220.58</v>
      </c>
      <c r="G21" s="383">
        <v>0</v>
      </c>
    </row>
    <row r="22" spans="1:10">
      <c r="A22" s="346">
        <f t="shared" si="0"/>
        <v>14</v>
      </c>
      <c r="C22" s="89" t="s">
        <v>468</v>
      </c>
      <c r="E22" s="386">
        <f>SUM(E11:E21)</f>
        <v>338017.18</v>
      </c>
      <c r="F22" s="386">
        <f>SUM(F11:F21)</f>
        <v>229157.90000000002</v>
      </c>
      <c r="G22" s="386">
        <f>SUM(G11:G21)</f>
        <v>108859.27999999998</v>
      </c>
    </row>
    <row r="23" spans="1:10">
      <c r="A23" s="88"/>
      <c r="F23" s="354"/>
    </row>
    <row r="24" spans="1:10">
      <c r="A24" s="376">
        <f>+A22+1</f>
        <v>15</v>
      </c>
      <c r="C24" s="348" t="s">
        <v>469</v>
      </c>
    </row>
    <row r="25" spans="1:10">
      <c r="A25" s="88"/>
      <c r="C25" s="89">
        <v>9090000</v>
      </c>
      <c r="E25" s="383">
        <v>0</v>
      </c>
      <c r="F25" s="383">
        <v>0</v>
      </c>
      <c r="G25" s="383">
        <v>0</v>
      </c>
    </row>
    <row r="26" spans="1:10">
      <c r="A26" s="88">
        <f>+A24+1</f>
        <v>16</v>
      </c>
      <c r="C26" s="89" t="s">
        <v>470</v>
      </c>
      <c r="E26" s="387">
        <f>E25</f>
        <v>0</v>
      </c>
      <c r="F26" s="387">
        <f>F25</f>
        <v>0</v>
      </c>
      <c r="G26" s="387">
        <f>G25</f>
        <v>0</v>
      </c>
    </row>
    <row r="27" spans="1:10">
      <c r="A27" s="88"/>
    </row>
    <row r="28" spans="1:10">
      <c r="A28" s="88">
        <f>+A26+1</f>
        <v>17</v>
      </c>
      <c r="C28" s="348" t="s">
        <v>471</v>
      </c>
    </row>
    <row r="29" spans="1:10">
      <c r="A29" s="88"/>
      <c r="C29" s="89">
        <v>9130000</v>
      </c>
      <c r="E29" s="383">
        <v>0</v>
      </c>
      <c r="F29" s="383">
        <v>0</v>
      </c>
      <c r="G29" s="383">
        <v>0</v>
      </c>
    </row>
    <row r="30" spans="1:10">
      <c r="A30" s="88">
        <f>+A28+1</f>
        <v>18</v>
      </c>
      <c r="C30" s="89" t="s">
        <v>472</v>
      </c>
      <c r="E30" s="387">
        <f>E29</f>
        <v>0</v>
      </c>
      <c r="F30" s="387">
        <f>F29</f>
        <v>0</v>
      </c>
      <c r="G30" s="387">
        <f>G29</f>
        <v>0</v>
      </c>
    </row>
    <row r="31" spans="1:10">
      <c r="A31" s="88"/>
    </row>
    <row r="32" spans="1:10">
      <c r="A32" s="346">
        <f>+A30+1</f>
        <v>19</v>
      </c>
      <c r="B32" s="346"/>
      <c r="C32" s="348" t="s">
        <v>473</v>
      </c>
      <c r="D32" s="339"/>
      <c r="G32" s="377">
        <f>G22+G26+G30</f>
        <v>108859.27999999998</v>
      </c>
    </row>
    <row r="33" spans="1:7">
      <c r="A33" s="346"/>
      <c r="B33" s="346"/>
      <c r="C33" s="348"/>
      <c r="D33" s="339"/>
      <c r="E33" s="372"/>
    </row>
    <row r="34" spans="1:7">
      <c r="A34" s="346">
        <f>+A32+1</f>
        <v>20</v>
      </c>
      <c r="B34" s="346"/>
      <c r="C34" s="348" t="s">
        <v>649</v>
      </c>
      <c r="D34" s="339"/>
      <c r="E34" s="372"/>
      <c r="G34" s="378">
        <v>54055.51</v>
      </c>
    </row>
    <row r="35" spans="1:7">
      <c r="A35" s="346"/>
      <c r="B35" s="346"/>
      <c r="C35" s="348"/>
      <c r="D35" s="339"/>
      <c r="E35" s="372"/>
    </row>
    <row r="36" spans="1:7">
      <c r="A36" s="346">
        <f>+A34+1</f>
        <v>21</v>
      </c>
      <c r="B36" s="346"/>
      <c r="C36" s="353" t="s">
        <v>650</v>
      </c>
      <c r="D36" s="339"/>
      <c r="E36" s="372"/>
      <c r="G36" s="388">
        <f>+G32-G34</f>
        <v>54803.769999999982</v>
      </c>
    </row>
    <row r="37" spans="1:7">
      <c r="A37" s="346"/>
      <c r="B37" s="346"/>
      <c r="C37" s="348"/>
      <c r="D37" s="339"/>
      <c r="E37" s="372"/>
    </row>
    <row r="38" spans="1:7">
      <c r="A38" s="346">
        <f>+A36+1</f>
        <v>22</v>
      </c>
      <c r="B38" s="346"/>
      <c r="C38" s="348" t="s">
        <v>328</v>
      </c>
      <c r="D38" s="339"/>
      <c r="G38" s="379">
        <v>1</v>
      </c>
    </row>
    <row r="39" spans="1:7">
      <c r="A39" s="346"/>
      <c r="B39" s="346"/>
      <c r="C39" s="348"/>
      <c r="D39" s="339"/>
      <c r="G39" s="373"/>
    </row>
    <row r="40" spans="1:7" ht="13.5" thickBot="1">
      <c r="A40" s="346">
        <f>+A38+1</f>
        <v>23</v>
      </c>
      <c r="B40" s="346"/>
      <c r="C40" s="89" t="s">
        <v>48</v>
      </c>
      <c r="D40" s="339"/>
      <c r="G40" s="380">
        <f>G36*G38</f>
        <v>54803.769999999982</v>
      </c>
    </row>
    <row r="41" spans="1:7" ht="13.5" thickTop="1">
      <c r="A41" s="346"/>
      <c r="B41" s="346"/>
      <c r="C41" s="348"/>
      <c r="D41" s="339"/>
      <c r="E41" s="373"/>
    </row>
    <row r="42" spans="1:7">
      <c r="A42" s="339"/>
      <c r="B42" s="339"/>
      <c r="C42" s="353" t="s">
        <v>648</v>
      </c>
      <c r="D42" s="339"/>
      <c r="E42" s="339"/>
    </row>
    <row r="43" spans="1:7">
      <c r="A43" s="346"/>
      <c r="B43" s="346"/>
      <c r="C43" s="353"/>
      <c r="D43" s="339"/>
      <c r="E43" s="373"/>
    </row>
    <row r="44" spans="1:7">
      <c r="A44" s="346"/>
      <c r="B44" s="346"/>
      <c r="C44" s="353"/>
      <c r="D44" s="339"/>
      <c r="E44" s="373"/>
    </row>
    <row r="45" spans="1:7">
      <c r="A45" s="346"/>
      <c r="B45" s="346"/>
      <c r="D45" s="339"/>
      <c r="E45" s="381"/>
    </row>
    <row r="46" spans="1:7">
      <c r="A46" s="339"/>
      <c r="B46" s="339"/>
      <c r="C46" s="353"/>
      <c r="D46" s="339"/>
      <c r="E46" s="354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FFB1-9F10-4312-AEF7-44462CF9D47D}">
  <sheetPr>
    <pageSetUpPr fitToPage="1"/>
  </sheetPr>
  <dimension ref="A1:K49"/>
  <sheetViews>
    <sheetView showRuler="0" zoomScaleNormal="100" workbookViewId="0">
      <selection activeCell="M23" sqref="M23"/>
    </sheetView>
  </sheetViews>
  <sheetFormatPr defaultColWidth="13.1796875" defaultRowHeight="13"/>
  <cols>
    <col min="1" max="1" width="8.453125" style="389" customWidth="1"/>
    <col min="2" max="3" width="14.81640625" style="389" customWidth="1"/>
    <col min="4" max="4" width="13.1796875" style="389" customWidth="1"/>
    <col min="5" max="5" width="4.7265625" style="389" customWidth="1"/>
    <col min="6" max="6" width="17.26953125" style="389" customWidth="1"/>
    <col min="7" max="7" width="20.54296875" style="389" customWidth="1"/>
    <col min="8" max="8" width="13.54296875" style="389" customWidth="1"/>
    <col min="9" max="9" width="15.453125" style="389" customWidth="1"/>
    <col min="10" max="10" width="18.26953125" style="390" customWidth="1"/>
    <col min="11" max="11" width="10.7265625" style="389" customWidth="1"/>
    <col min="12" max="16384" width="13.1796875" style="389"/>
  </cols>
  <sheetData>
    <row r="1" spans="1:11" ht="16.75" customHeight="1">
      <c r="B1" s="866" t="s">
        <v>0</v>
      </c>
      <c r="C1" s="867"/>
      <c r="D1" s="867"/>
      <c r="E1" s="867"/>
      <c r="F1" s="867"/>
      <c r="G1" s="867"/>
      <c r="H1" s="867"/>
      <c r="I1" s="867"/>
      <c r="J1" s="867"/>
    </row>
    <row r="2" spans="1:11" ht="16.75" customHeight="1">
      <c r="B2" s="866" t="s">
        <v>368</v>
      </c>
      <c r="C2" s="867"/>
      <c r="D2" s="867"/>
      <c r="E2" s="867"/>
      <c r="F2" s="867"/>
      <c r="G2" s="867"/>
      <c r="H2" s="867"/>
      <c r="I2" s="867"/>
      <c r="J2" s="867"/>
    </row>
    <row r="3" spans="1:11" ht="16.75" customHeight="1">
      <c r="B3" s="866" t="s">
        <v>591</v>
      </c>
      <c r="C3" s="867"/>
      <c r="D3" s="867"/>
      <c r="E3" s="867"/>
      <c r="F3" s="867"/>
      <c r="G3" s="867"/>
      <c r="H3" s="867"/>
      <c r="I3" s="867"/>
      <c r="J3" s="867"/>
    </row>
    <row r="4" spans="1:11" ht="16.75" customHeight="1">
      <c r="B4" s="866" t="s">
        <v>722</v>
      </c>
      <c r="C4" s="867"/>
      <c r="D4" s="867"/>
      <c r="E4" s="867"/>
      <c r="F4" s="867"/>
      <c r="G4" s="867"/>
      <c r="H4" s="867"/>
      <c r="I4" s="867"/>
      <c r="J4" s="867"/>
    </row>
    <row r="5" spans="1:11" ht="16.75" customHeight="1"/>
    <row r="6" spans="1:11" ht="27.65" customHeight="1">
      <c r="A6" s="391" t="s">
        <v>10</v>
      </c>
      <c r="B6" s="392" t="s">
        <v>54</v>
      </c>
      <c r="C6" s="392" t="s">
        <v>55</v>
      </c>
      <c r="D6" s="393" t="s">
        <v>659</v>
      </c>
      <c r="E6" s="394"/>
      <c r="F6" s="394" t="s">
        <v>56</v>
      </c>
      <c r="G6" s="395" t="s">
        <v>57</v>
      </c>
      <c r="H6" s="395" t="s">
        <v>58</v>
      </c>
      <c r="I6" s="395" t="s">
        <v>59</v>
      </c>
      <c r="J6" s="396" t="s">
        <v>60</v>
      </c>
      <c r="K6" s="397"/>
    </row>
    <row r="7" spans="1:11" ht="16.75" customHeight="1">
      <c r="A7" s="398">
        <v>1</v>
      </c>
      <c r="B7" s="399">
        <v>500</v>
      </c>
      <c r="C7" s="400">
        <v>1983.79</v>
      </c>
      <c r="D7" s="400">
        <v>408.9</v>
      </c>
      <c r="E7" s="401"/>
      <c r="F7" s="402">
        <f t="shared" ref="F7:F42" si="0">D7*12</f>
        <v>4906.7999999999993</v>
      </c>
      <c r="G7" s="403">
        <f t="shared" ref="G7:G42" si="1">F7-C7</f>
        <v>2923.0099999999993</v>
      </c>
      <c r="H7" s="404" t="s">
        <v>445</v>
      </c>
      <c r="I7" s="405">
        <v>1</v>
      </c>
      <c r="J7" s="406">
        <f t="shared" ref="J7:J42" si="2">G7*I7</f>
        <v>2923.0099999999993</v>
      </c>
      <c r="K7" s="397"/>
    </row>
    <row r="8" spans="1:11" ht="16.75" customHeight="1">
      <c r="A8" s="398">
        <f t="shared" ref="A8:A42" si="3">A7+1</f>
        <v>2</v>
      </c>
      <c r="B8" s="399">
        <v>501</v>
      </c>
      <c r="C8" s="400">
        <v>0</v>
      </c>
      <c r="D8" s="400">
        <v>0</v>
      </c>
      <c r="E8" s="401"/>
      <c r="F8" s="407">
        <f t="shared" si="0"/>
        <v>0</v>
      </c>
      <c r="G8" s="403">
        <f t="shared" si="1"/>
        <v>0</v>
      </c>
      <c r="H8" s="404" t="s">
        <v>22</v>
      </c>
      <c r="I8" s="405">
        <v>1</v>
      </c>
      <c r="J8" s="406">
        <f t="shared" si="2"/>
        <v>0</v>
      </c>
      <c r="K8" s="397"/>
    </row>
    <row r="9" spans="1:11" ht="16.75" customHeight="1">
      <c r="A9" s="398">
        <f t="shared" si="3"/>
        <v>3</v>
      </c>
      <c r="B9" s="399">
        <v>502</v>
      </c>
      <c r="C9" s="400">
        <v>0.19</v>
      </c>
      <c r="D9" s="400">
        <v>0</v>
      </c>
      <c r="E9" s="401"/>
      <c r="F9" s="407">
        <f t="shared" si="0"/>
        <v>0</v>
      </c>
      <c r="G9" s="403">
        <f t="shared" si="1"/>
        <v>-0.19</v>
      </c>
      <c r="H9" s="404" t="s">
        <v>24</v>
      </c>
      <c r="I9" s="405">
        <v>1</v>
      </c>
      <c r="J9" s="406">
        <f t="shared" si="2"/>
        <v>-0.19</v>
      </c>
      <c r="K9" s="397"/>
    </row>
    <row r="10" spans="1:11" ht="16.75" customHeight="1">
      <c r="A10" s="398">
        <f t="shared" si="3"/>
        <v>4</v>
      </c>
      <c r="B10" s="399">
        <v>505</v>
      </c>
      <c r="C10" s="400">
        <v>0</v>
      </c>
      <c r="D10" s="404"/>
      <c r="E10" s="401"/>
      <c r="F10" s="407">
        <f t="shared" si="0"/>
        <v>0</v>
      </c>
      <c r="G10" s="403">
        <f t="shared" si="1"/>
        <v>0</v>
      </c>
      <c r="H10" s="404" t="s">
        <v>445</v>
      </c>
      <c r="I10" s="405">
        <v>1</v>
      </c>
      <c r="J10" s="406">
        <f t="shared" si="2"/>
        <v>0</v>
      </c>
      <c r="K10" s="397"/>
    </row>
    <row r="11" spans="1:11" ht="16.75" customHeight="1">
      <c r="A11" s="398">
        <f t="shared" si="3"/>
        <v>5</v>
      </c>
      <c r="B11" s="399">
        <v>506</v>
      </c>
      <c r="C11" s="400">
        <v>2007.21</v>
      </c>
      <c r="D11" s="400">
        <v>531.51</v>
      </c>
      <c r="E11" s="401"/>
      <c r="F11" s="407">
        <f t="shared" si="0"/>
        <v>6378.12</v>
      </c>
      <c r="G11" s="403">
        <f t="shared" si="1"/>
        <v>4370.91</v>
      </c>
      <c r="H11" s="404" t="s">
        <v>24</v>
      </c>
      <c r="I11" s="405">
        <v>1</v>
      </c>
      <c r="J11" s="406">
        <f t="shared" si="2"/>
        <v>4370.91</v>
      </c>
      <c r="K11" s="397"/>
    </row>
    <row r="12" spans="1:11" ht="16.75" customHeight="1">
      <c r="A12" s="398">
        <f t="shared" si="3"/>
        <v>6</v>
      </c>
      <c r="B12" s="399">
        <v>510</v>
      </c>
      <c r="C12" s="400">
        <v>535.16</v>
      </c>
      <c r="D12" s="400">
        <v>158.21</v>
      </c>
      <c r="E12" s="401"/>
      <c r="F12" s="407">
        <f t="shared" si="0"/>
        <v>1898.52</v>
      </c>
      <c r="G12" s="403">
        <f t="shared" si="1"/>
        <v>1363.3600000000001</v>
      </c>
      <c r="H12" s="404" t="s">
        <v>24</v>
      </c>
      <c r="I12" s="405">
        <v>1</v>
      </c>
      <c r="J12" s="406">
        <f t="shared" si="2"/>
        <v>1363.3600000000001</v>
      </c>
      <c r="K12" s="397"/>
    </row>
    <row r="13" spans="1:11" ht="16.75" customHeight="1">
      <c r="A13" s="398">
        <f t="shared" si="3"/>
        <v>7</v>
      </c>
      <c r="B13" s="399">
        <v>511</v>
      </c>
      <c r="C13" s="400">
        <v>96.22</v>
      </c>
      <c r="D13" s="400">
        <v>11.67</v>
      </c>
      <c r="E13" s="401"/>
      <c r="F13" s="407">
        <f t="shared" si="0"/>
        <v>140.04</v>
      </c>
      <c r="G13" s="403">
        <f t="shared" si="1"/>
        <v>43.819999999999993</v>
      </c>
      <c r="H13" s="404" t="s">
        <v>24</v>
      </c>
      <c r="I13" s="405">
        <v>1</v>
      </c>
      <c r="J13" s="406">
        <f t="shared" si="2"/>
        <v>43.819999999999993</v>
      </c>
      <c r="K13" s="397"/>
    </row>
    <row r="14" spans="1:11" ht="16.75" customHeight="1">
      <c r="A14" s="398">
        <f t="shared" si="3"/>
        <v>8</v>
      </c>
      <c r="B14" s="399">
        <v>512</v>
      </c>
      <c r="C14" s="400">
        <v>151.15</v>
      </c>
      <c r="D14" s="400">
        <v>8.4700000000000006</v>
      </c>
      <c r="E14" s="401"/>
      <c r="F14" s="407">
        <f t="shared" si="0"/>
        <v>101.64000000000001</v>
      </c>
      <c r="G14" s="403">
        <f t="shared" si="1"/>
        <v>-49.509999999999991</v>
      </c>
      <c r="H14" s="404" t="s">
        <v>445</v>
      </c>
      <c r="I14" s="405">
        <v>1</v>
      </c>
      <c r="J14" s="406">
        <f t="shared" si="2"/>
        <v>-49.509999999999991</v>
      </c>
      <c r="K14" s="397"/>
    </row>
    <row r="15" spans="1:11" ht="16.75" customHeight="1">
      <c r="A15" s="398">
        <f t="shared" si="3"/>
        <v>9</v>
      </c>
      <c r="B15" s="399">
        <v>513</v>
      </c>
      <c r="C15" s="400">
        <v>99.84</v>
      </c>
      <c r="D15" s="400">
        <v>7.95</v>
      </c>
      <c r="E15" s="401"/>
      <c r="F15" s="407">
        <f t="shared" si="0"/>
        <v>95.4</v>
      </c>
      <c r="G15" s="403">
        <f t="shared" si="1"/>
        <v>-4.4399999999999977</v>
      </c>
      <c r="H15" s="404" t="s">
        <v>24</v>
      </c>
      <c r="I15" s="405">
        <v>1</v>
      </c>
      <c r="J15" s="406">
        <f t="shared" si="2"/>
        <v>-4.4399999999999977</v>
      </c>
      <c r="K15" s="397"/>
    </row>
    <row r="16" spans="1:11" ht="16.75" customHeight="1">
      <c r="A16" s="398">
        <f t="shared" si="3"/>
        <v>10</v>
      </c>
      <c r="B16" s="399">
        <v>514</v>
      </c>
      <c r="C16" s="400">
        <v>11.28</v>
      </c>
      <c r="D16" s="400">
        <v>5.43</v>
      </c>
      <c r="E16" s="401"/>
      <c r="F16" s="407">
        <f t="shared" si="0"/>
        <v>65.16</v>
      </c>
      <c r="G16" s="403">
        <f t="shared" si="1"/>
        <v>53.879999999999995</v>
      </c>
      <c r="H16" s="404" t="s">
        <v>24</v>
      </c>
      <c r="I16" s="405">
        <v>1</v>
      </c>
      <c r="J16" s="406">
        <f t="shared" si="2"/>
        <v>53.879999999999995</v>
      </c>
      <c r="K16" s="397"/>
    </row>
    <row r="17" spans="1:11" ht="16.75" customHeight="1">
      <c r="A17" s="398">
        <f t="shared" si="3"/>
        <v>11</v>
      </c>
      <c r="B17" s="399">
        <v>539</v>
      </c>
      <c r="C17" s="400">
        <v>0.23</v>
      </c>
      <c r="D17" s="400">
        <v>0</v>
      </c>
      <c r="E17" s="401"/>
      <c r="F17" s="407">
        <f t="shared" si="0"/>
        <v>0</v>
      </c>
      <c r="G17" s="403">
        <f t="shared" si="1"/>
        <v>-0.23</v>
      </c>
      <c r="H17" s="404" t="s">
        <v>24</v>
      </c>
      <c r="I17" s="405">
        <v>1</v>
      </c>
      <c r="J17" s="406">
        <f t="shared" si="2"/>
        <v>-0.23</v>
      </c>
      <c r="K17" s="397"/>
    </row>
    <row r="18" spans="1:11" ht="16.75" customHeight="1">
      <c r="A18" s="398">
        <f t="shared" si="3"/>
        <v>12</v>
      </c>
      <c r="B18" s="399">
        <v>571</v>
      </c>
      <c r="C18" s="400">
        <v>87.77</v>
      </c>
      <c r="D18" s="400">
        <v>0</v>
      </c>
      <c r="E18" s="401"/>
      <c r="F18" s="407">
        <f t="shared" si="0"/>
        <v>0</v>
      </c>
      <c r="G18" s="403">
        <f t="shared" si="1"/>
        <v>-87.77</v>
      </c>
      <c r="H18" s="404" t="s">
        <v>61</v>
      </c>
      <c r="I18" s="405">
        <v>1</v>
      </c>
      <c r="J18" s="406">
        <f t="shared" si="2"/>
        <v>-87.77</v>
      </c>
      <c r="K18" s="397"/>
    </row>
    <row r="19" spans="1:11" ht="16.75" customHeight="1">
      <c r="A19" s="398">
        <f t="shared" si="3"/>
        <v>13</v>
      </c>
      <c r="B19" s="399">
        <v>580</v>
      </c>
      <c r="C19" s="400">
        <v>556.51</v>
      </c>
      <c r="D19" s="400">
        <v>59.16</v>
      </c>
      <c r="E19" s="401"/>
      <c r="F19" s="407">
        <f t="shared" si="0"/>
        <v>709.92</v>
      </c>
      <c r="G19" s="403">
        <f t="shared" si="1"/>
        <v>153.40999999999997</v>
      </c>
      <c r="H19" s="404" t="s">
        <v>62</v>
      </c>
      <c r="I19" s="405">
        <v>1</v>
      </c>
      <c r="J19" s="406">
        <f t="shared" si="2"/>
        <v>153.40999999999997</v>
      </c>
      <c r="K19" s="397"/>
    </row>
    <row r="20" spans="1:11" ht="16.75" customHeight="1">
      <c r="A20" s="398">
        <f t="shared" si="3"/>
        <v>14</v>
      </c>
      <c r="B20" s="399">
        <v>583</v>
      </c>
      <c r="C20" s="400">
        <v>5579.38</v>
      </c>
      <c r="D20" s="400">
        <v>850.5</v>
      </c>
      <c r="E20" s="401"/>
      <c r="F20" s="407">
        <f t="shared" si="0"/>
        <v>10206</v>
      </c>
      <c r="G20" s="403">
        <f t="shared" si="1"/>
        <v>4626.62</v>
      </c>
      <c r="H20" s="404" t="s">
        <v>62</v>
      </c>
      <c r="I20" s="405">
        <v>1</v>
      </c>
      <c r="J20" s="406">
        <f t="shared" si="2"/>
        <v>4626.62</v>
      </c>
      <c r="K20" s="397"/>
    </row>
    <row r="21" spans="1:11" ht="16.75" customHeight="1">
      <c r="A21" s="398">
        <f t="shared" si="3"/>
        <v>15</v>
      </c>
      <c r="B21" s="399">
        <v>584</v>
      </c>
      <c r="C21" s="400">
        <v>3.35</v>
      </c>
      <c r="D21" s="400">
        <v>0</v>
      </c>
      <c r="E21" s="401"/>
      <c r="F21" s="407">
        <f t="shared" si="0"/>
        <v>0</v>
      </c>
      <c r="G21" s="403">
        <f t="shared" si="1"/>
        <v>-3.35</v>
      </c>
      <c r="H21" s="404" t="s">
        <v>62</v>
      </c>
      <c r="I21" s="405">
        <v>1</v>
      </c>
      <c r="J21" s="406">
        <f t="shared" si="2"/>
        <v>-3.35</v>
      </c>
      <c r="K21" s="397"/>
    </row>
    <row r="22" spans="1:11" ht="16.75" customHeight="1">
      <c r="A22" s="398">
        <f t="shared" si="3"/>
        <v>16</v>
      </c>
      <c r="B22" s="399">
        <v>585</v>
      </c>
      <c r="C22" s="400">
        <v>33.54</v>
      </c>
      <c r="D22" s="400">
        <v>7.5</v>
      </c>
      <c r="E22" s="401"/>
      <c r="F22" s="407">
        <f t="shared" si="0"/>
        <v>90</v>
      </c>
      <c r="G22" s="403">
        <f t="shared" si="1"/>
        <v>56.46</v>
      </c>
      <c r="H22" s="404" t="s">
        <v>62</v>
      </c>
      <c r="I22" s="405">
        <v>1</v>
      </c>
      <c r="J22" s="406">
        <f t="shared" si="2"/>
        <v>56.46</v>
      </c>
      <c r="K22" s="397"/>
    </row>
    <row r="23" spans="1:11" ht="16.75" customHeight="1">
      <c r="A23" s="398">
        <f t="shared" si="3"/>
        <v>17</v>
      </c>
      <c r="B23" s="399">
        <v>586</v>
      </c>
      <c r="C23" s="400">
        <v>11980.49</v>
      </c>
      <c r="D23" s="400">
        <v>1610.84</v>
      </c>
      <c r="E23" s="401"/>
      <c r="F23" s="407">
        <f t="shared" si="0"/>
        <v>19330.079999999998</v>
      </c>
      <c r="G23" s="403">
        <f t="shared" si="1"/>
        <v>7349.5899999999983</v>
      </c>
      <c r="H23" s="404" t="s">
        <v>62</v>
      </c>
      <c r="I23" s="405">
        <v>1</v>
      </c>
      <c r="J23" s="406">
        <f t="shared" si="2"/>
        <v>7349.5899999999983</v>
      </c>
      <c r="K23" s="397"/>
    </row>
    <row r="24" spans="1:11" ht="16.75" customHeight="1">
      <c r="A24" s="398">
        <f t="shared" si="3"/>
        <v>18</v>
      </c>
      <c r="B24" s="399">
        <v>587</v>
      </c>
      <c r="C24" s="400">
        <v>706.12</v>
      </c>
      <c r="D24" s="400">
        <v>67.33</v>
      </c>
      <c r="E24" s="401"/>
      <c r="F24" s="407">
        <f t="shared" si="0"/>
        <v>807.96</v>
      </c>
      <c r="G24" s="403">
        <f t="shared" si="1"/>
        <v>101.84000000000003</v>
      </c>
      <c r="H24" s="404" t="s">
        <v>62</v>
      </c>
      <c r="I24" s="405">
        <v>1</v>
      </c>
      <c r="J24" s="406">
        <f t="shared" si="2"/>
        <v>101.84000000000003</v>
      </c>
      <c r="K24" s="397"/>
    </row>
    <row r="25" spans="1:11" ht="16.75" customHeight="1">
      <c r="A25" s="398">
        <f t="shared" si="3"/>
        <v>19</v>
      </c>
      <c r="B25" s="399">
        <v>588</v>
      </c>
      <c r="C25" s="400">
        <v>9764.9500000000007</v>
      </c>
      <c r="D25" s="400">
        <v>1862.31</v>
      </c>
      <c r="E25" s="401"/>
      <c r="F25" s="407">
        <f t="shared" si="0"/>
        <v>22347.72</v>
      </c>
      <c r="G25" s="403">
        <f t="shared" si="1"/>
        <v>12582.77</v>
      </c>
      <c r="H25" s="404" t="s">
        <v>62</v>
      </c>
      <c r="I25" s="405">
        <v>1</v>
      </c>
      <c r="J25" s="406">
        <f t="shared" si="2"/>
        <v>12582.77</v>
      </c>
      <c r="K25" s="397"/>
    </row>
    <row r="26" spans="1:11" ht="16.75" customHeight="1">
      <c r="A26" s="398">
        <f t="shared" si="3"/>
        <v>20</v>
      </c>
      <c r="B26" s="399">
        <v>590</v>
      </c>
      <c r="C26" s="400">
        <v>82</v>
      </c>
      <c r="D26" s="400">
        <v>10.91</v>
      </c>
      <c r="E26" s="401"/>
      <c r="F26" s="407">
        <f t="shared" si="0"/>
        <v>130.92000000000002</v>
      </c>
      <c r="G26" s="403">
        <f t="shared" si="1"/>
        <v>48.920000000000016</v>
      </c>
      <c r="H26" s="404" t="s">
        <v>62</v>
      </c>
      <c r="I26" s="405">
        <v>1</v>
      </c>
      <c r="J26" s="406">
        <f t="shared" si="2"/>
        <v>48.920000000000016</v>
      </c>
      <c r="K26" s="397"/>
    </row>
    <row r="27" spans="1:11" ht="16.75" customHeight="1">
      <c r="A27" s="398">
        <f t="shared" si="3"/>
        <v>21</v>
      </c>
      <c r="B27" s="399">
        <v>593</v>
      </c>
      <c r="C27" s="400">
        <v>100432.6</v>
      </c>
      <c r="D27" s="400">
        <v>14266.96</v>
      </c>
      <c r="E27" s="401"/>
      <c r="F27" s="407">
        <f t="shared" si="0"/>
        <v>171203.52</v>
      </c>
      <c r="G27" s="403">
        <f t="shared" si="1"/>
        <v>70770.919999999984</v>
      </c>
      <c r="H27" s="404" t="s">
        <v>62</v>
      </c>
      <c r="I27" s="405">
        <v>1</v>
      </c>
      <c r="J27" s="406">
        <f t="shared" si="2"/>
        <v>70770.919999999984</v>
      </c>
      <c r="K27" s="397"/>
    </row>
    <row r="28" spans="1:11" ht="16.75" customHeight="1">
      <c r="A28" s="398">
        <f t="shared" si="3"/>
        <v>22</v>
      </c>
      <c r="B28" s="399">
        <v>594</v>
      </c>
      <c r="C28" s="400">
        <v>109.36</v>
      </c>
      <c r="D28" s="400">
        <v>2.34</v>
      </c>
      <c r="E28" s="401"/>
      <c r="F28" s="407">
        <f t="shared" si="0"/>
        <v>28.08</v>
      </c>
      <c r="G28" s="403">
        <f t="shared" si="1"/>
        <v>-81.28</v>
      </c>
      <c r="H28" s="404" t="s">
        <v>62</v>
      </c>
      <c r="I28" s="405">
        <v>1</v>
      </c>
      <c r="J28" s="406">
        <f t="shared" si="2"/>
        <v>-81.28</v>
      </c>
      <c r="K28" s="397"/>
    </row>
    <row r="29" spans="1:11" ht="16.75" customHeight="1">
      <c r="A29" s="398">
        <f t="shared" si="3"/>
        <v>23</v>
      </c>
      <c r="B29" s="399">
        <v>595</v>
      </c>
      <c r="C29" s="400">
        <v>25.47</v>
      </c>
      <c r="D29" s="400">
        <v>0</v>
      </c>
      <c r="E29" s="401"/>
      <c r="F29" s="407">
        <f t="shared" si="0"/>
        <v>0</v>
      </c>
      <c r="G29" s="403">
        <f t="shared" si="1"/>
        <v>-25.47</v>
      </c>
      <c r="H29" s="404" t="s">
        <v>62</v>
      </c>
      <c r="I29" s="405">
        <v>1</v>
      </c>
      <c r="J29" s="406">
        <f t="shared" si="2"/>
        <v>-25.47</v>
      </c>
      <c r="K29" s="397"/>
    </row>
    <row r="30" spans="1:11" ht="16.75" customHeight="1">
      <c r="A30" s="398">
        <f t="shared" si="3"/>
        <v>24</v>
      </c>
      <c r="B30" s="399">
        <v>596</v>
      </c>
      <c r="C30" s="400">
        <v>13.55</v>
      </c>
      <c r="D30" s="400">
        <v>0</v>
      </c>
      <c r="E30" s="401"/>
      <c r="F30" s="407">
        <f t="shared" si="0"/>
        <v>0</v>
      </c>
      <c r="G30" s="403">
        <f t="shared" si="1"/>
        <v>-13.55</v>
      </c>
      <c r="H30" s="404" t="s">
        <v>62</v>
      </c>
      <c r="I30" s="405">
        <v>1</v>
      </c>
      <c r="J30" s="406">
        <f t="shared" si="2"/>
        <v>-13.55</v>
      </c>
      <c r="K30" s="397"/>
    </row>
    <row r="31" spans="1:11" ht="16.75" customHeight="1">
      <c r="A31" s="398">
        <f t="shared" si="3"/>
        <v>25</v>
      </c>
      <c r="B31" s="399">
        <v>597</v>
      </c>
      <c r="C31" s="400">
        <v>380.49</v>
      </c>
      <c r="D31" s="400">
        <v>62.93</v>
      </c>
      <c r="E31" s="401"/>
      <c r="F31" s="407">
        <f t="shared" si="0"/>
        <v>755.16</v>
      </c>
      <c r="G31" s="403">
        <f t="shared" si="1"/>
        <v>374.66999999999996</v>
      </c>
      <c r="H31" s="404" t="s">
        <v>62</v>
      </c>
      <c r="I31" s="405">
        <v>1</v>
      </c>
      <c r="J31" s="406">
        <f t="shared" si="2"/>
        <v>374.66999999999996</v>
      </c>
      <c r="K31" s="397"/>
    </row>
    <row r="32" spans="1:11" ht="16.75" customHeight="1">
      <c r="A32" s="398">
        <f t="shared" si="3"/>
        <v>26</v>
      </c>
      <c r="B32" s="399">
        <v>598</v>
      </c>
      <c r="C32" s="400">
        <v>2.4900000000000002</v>
      </c>
      <c r="D32" s="400">
        <v>0</v>
      </c>
      <c r="E32" s="401"/>
      <c r="F32" s="407">
        <f t="shared" si="0"/>
        <v>0</v>
      </c>
      <c r="G32" s="403">
        <f t="shared" si="1"/>
        <v>-2.4900000000000002</v>
      </c>
      <c r="H32" s="404" t="s">
        <v>62</v>
      </c>
      <c r="I32" s="405">
        <v>1</v>
      </c>
      <c r="J32" s="406">
        <f t="shared" si="2"/>
        <v>-2.4900000000000002</v>
      </c>
      <c r="K32" s="397"/>
    </row>
    <row r="33" spans="1:11" ht="16.75" customHeight="1">
      <c r="A33" s="398">
        <f t="shared" si="3"/>
        <v>27</v>
      </c>
      <c r="B33" s="399">
        <v>902</v>
      </c>
      <c r="C33" s="400">
        <v>2016.49</v>
      </c>
      <c r="D33" s="400">
        <v>611.54</v>
      </c>
      <c r="E33" s="401"/>
      <c r="F33" s="407">
        <f t="shared" si="0"/>
        <v>7338.48</v>
      </c>
      <c r="G33" s="403">
        <f t="shared" si="1"/>
        <v>5321.99</v>
      </c>
      <c r="H33" s="404" t="s">
        <v>63</v>
      </c>
      <c r="I33" s="405">
        <v>1</v>
      </c>
      <c r="J33" s="406">
        <f t="shared" si="2"/>
        <v>5321.99</v>
      </c>
      <c r="K33" s="397"/>
    </row>
    <row r="34" spans="1:11" ht="16.75" customHeight="1">
      <c r="A34" s="398">
        <f t="shared" si="3"/>
        <v>28</v>
      </c>
      <c r="B34" s="399">
        <v>903</v>
      </c>
      <c r="C34" s="400">
        <v>3927.66</v>
      </c>
      <c r="D34" s="400">
        <v>566.30999999999995</v>
      </c>
      <c r="E34" s="401"/>
      <c r="F34" s="407">
        <f t="shared" si="0"/>
        <v>6795.7199999999993</v>
      </c>
      <c r="G34" s="403">
        <f t="shared" si="1"/>
        <v>2868.0599999999995</v>
      </c>
      <c r="H34" s="404" t="s">
        <v>63</v>
      </c>
      <c r="I34" s="405">
        <v>1</v>
      </c>
      <c r="J34" s="406">
        <f t="shared" si="2"/>
        <v>2868.0599999999995</v>
      </c>
      <c r="K34" s="397"/>
    </row>
    <row r="35" spans="1:11" ht="16.75" customHeight="1">
      <c r="A35" s="398">
        <f t="shared" si="3"/>
        <v>29</v>
      </c>
      <c r="B35" s="399">
        <v>907</v>
      </c>
      <c r="C35" s="400">
        <v>21.43</v>
      </c>
      <c r="D35" s="400">
        <v>0</v>
      </c>
      <c r="E35" s="401"/>
      <c r="F35" s="407">
        <f t="shared" si="0"/>
        <v>0</v>
      </c>
      <c r="G35" s="403">
        <f t="shared" si="1"/>
        <v>-21.43</v>
      </c>
      <c r="H35" s="404" t="s">
        <v>63</v>
      </c>
      <c r="I35" s="405">
        <v>1</v>
      </c>
      <c r="J35" s="406">
        <f t="shared" si="2"/>
        <v>-21.43</v>
      </c>
      <c r="K35" s="397"/>
    </row>
    <row r="36" spans="1:11" ht="16.75" customHeight="1">
      <c r="A36" s="398">
        <f t="shared" si="3"/>
        <v>30</v>
      </c>
      <c r="B36" s="399">
        <v>908</v>
      </c>
      <c r="C36" s="400">
        <v>409.6</v>
      </c>
      <c r="D36" s="400">
        <v>40.61</v>
      </c>
      <c r="E36" s="401"/>
      <c r="F36" s="407">
        <f t="shared" si="0"/>
        <v>487.32</v>
      </c>
      <c r="G36" s="403">
        <f t="shared" si="1"/>
        <v>77.71999999999997</v>
      </c>
      <c r="H36" s="404" t="s">
        <v>63</v>
      </c>
      <c r="I36" s="405">
        <v>1</v>
      </c>
      <c r="J36" s="406">
        <f t="shared" si="2"/>
        <v>77.71999999999997</v>
      </c>
      <c r="K36" s="397"/>
    </row>
    <row r="37" spans="1:11" ht="16.75" customHeight="1">
      <c r="A37" s="398">
        <f t="shared" si="3"/>
        <v>31</v>
      </c>
      <c r="B37" s="399">
        <v>920</v>
      </c>
      <c r="C37" s="400">
        <v>156.5</v>
      </c>
      <c r="D37" s="400">
        <v>75.39</v>
      </c>
      <c r="E37" s="401"/>
      <c r="F37" s="407">
        <f t="shared" si="0"/>
        <v>904.68000000000006</v>
      </c>
      <c r="G37" s="403">
        <f t="shared" si="1"/>
        <v>748.18000000000006</v>
      </c>
      <c r="H37" s="404" t="s">
        <v>26</v>
      </c>
      <c r="I37" s="408">
        <v>1</v>
      </c>
      <c r="J37" s="406">
        <f t="shared" si="2"/>
        <v>748.18000000000006</v>
      </c>
      <c r="K37" s="397"/>
    </row>
    <row r="38" spans="1:11" ht="16.75" customHeight="1">
      <c r="A38" s="398">
        <f t="shared" si="3"/>
        <v>32</v>
      </c>
      <c r="B38" s="399">
        <v>921</v>
      </c>
      <c r="C38" s="400">
        <v>1805.9</v>
      </c>
      <c r="D38" s="400">
        <v>321.17</v>
      </c>
      <c r="E38" s="401"/>
      <c r="F38" s="407">
        <f t="shared" si="0"/>
        <v>3854.04</v>
      </c>
      <c r="G38" s="403">
        <f t="shared" si="1"/>
        <v>2048.14</v>
      </c>
      <c r="H38" s="404" t="s">
        <v>26</v>
      </c>
      <c r="I38" s="408">
        <v>1</v>
      </c>
      <c r="J38" s="406">
        <f t="shared" si="2"/>
        <v>2048.14</v>
      </c>
      <c r="K38" s="397"/>
    </row>
    <row r="39" spans="1:11" ht="16.75" customHeight="1">
      <c r="A39" s="398">
        <f t="shared" si="3"/>
        <v>33</v>
      </c>
      <c r="B39" s="399">
        <v>928</v>
      </c>
      <c r="C39" s="400">
        <v>43.94</v>
      </c>
      <c r="D39" s="400">
        <v>8.81</v>
      </c>
      <c r="E39" s="401"/>
      <c r="F39" s="407">
        <f t="shared" si="0"/>
        <v>105.72</v>
      </c>
      <c r="G39" s="403">
        <f t="shared" si="1"/>
        <v>61.78</v>
      </c>
      <c r="H39" s="404" t="s">
        <v>26</v>
      </c>
      <c r="I39" s="408">
        <v>1</v>
      </c>
      <c r="J39" s="406">
        <f t="shared" si="2"/>
        <v>61.78</v>
      </c>
      <c r="K39" s="397"/>
    </row>
    <row r="40" spans="1:11" ht="16.75" customHeight="1">
      <c r="A40" s="398">
        <f t="shared" si="3"/>
        <v>34</v>
      </c>
      <c r="B40" s="399">
        <v>930</v>
      </c>
      <c r="C40" s="400">
        <v>210.96</v>
      </c>
      <c r="D40" s="400">
        <v>69.849999999999994</v>
      </c>
      <c r="E40" s="401"/>
      <c r="F40" s="407">
        <f t="shared" si="0"/>
        <v>838.19999999999993</v>
      </c>
      <c r="G40" s="403">
        <f t="shared" si="1"/>
        <v>627.2399999999999</v>
      </c>
      <c r="H40" s="404" t="s">
        <v>26</v>
      </c>
      <c r="I40" s="405">
        <v>1</v>
      </c>
      <c r="J40" s="406">
        <f t="shared" si="2"/>
        <v>627.2399999999999</v>
      </c>
      <c r="K40" s="397"/>
    </row>
    <row r="41" spans="1:11" ht="16.75" customHeight="1">
      <c r="A41" s="398">
        <f t="shared" si="3"/>
        <v>35</v>
      </c>
      <c r="B41" s="399">
        <v>931</v>
      </c>
      <c r="C41" s="400">
        <v>1531.59</v>
      </c>
      <c r="D41" s="400">
        <v>31.9</v>
      </c>
      <c r="E41" s="401"/>
      <c r="F41" s="407">
        <f t="shared" si="0"/>
        <v>382.79999999999995</v>
      </c>
      <c r="G41" s="403">
        <f t="shared" si="1"/>
        <v>-1148.79</v>
      </c>
      <c r="H41" s="404" t="s">
        <v>26</v>
      </c>
      <c r="I41" s="405">
        <v>1</v>
      </c>
      <c r="J41" s="406">
        <f t="shared" si="2"/>
        <v>-1148.79</v>
      </c>
      <c r="K41" s="397"/>
    </row>
    <row r="42" spans="1:11" ht="16.75" customHeight="1">
      <c r="A42" s="398">
        <f t="shared" si="3"/>
        <v>36</v>
      </c>
      <c r="B42" s="399">
        <v>935</v>
      </c>
      <c r="C42" s="400">
        <v>42443.55</v>
      </c>
      <c r="D42" s="400">
        <v>3687.65</v>
      </c>
      <c r="E42" s="401"/>
      <c r="F42" s="407">
        <f t="shared" si="0"/>
        <v>44251.8</v>
      </c>
      <c r="G42" s="403">
        <f t="shared" si="1"/>
        <v>1808.25</v>
      </c>
      <c r="H42" s="404" t="s">
        <v>26</v>
      </c>
      <c r="I42" s="405">
        <v>1</v>
      </c>
      <c r="J42" s="406">
        <f t="shared" si="2"/>
        <v>1808.25</v>
      </c>
      <c r="K42" s="397"/>
    </row>
    <row r="43" spans="1:11" ht="15" customHeight="1">
      <c r="A43" s="409"/>
      <c r="B43" s="410"/>
      <c r="C43" s="411"/>
      <c r="D43" s="410"/>
      <c r="E43" s="412"/>
      <c r="F43" s="413"/>
      <c r="G43" s="411"/>
      <c r="H43" s="410"/>
      <c r="I43" s="410"/>
      <c r="J43" s="414"/>
    </row>
    <row r="44" spans="1:11" ht="16.75" customHeight="1" thickBot="1">
      <c r="A44" s="409">
        <v>37</v>
      </c>
      <c r="C44" s="415">
        <f>SUM(C7:C43)</f>
        <v>187210.75999999995</v>
      </c>
      <c r="F44" s="415">
        <f>SUM(F7:F42)</f>
        <v>304153.8</v>
      </c>
      <c r="G44" s="415">
        <f>SUM(G7:G43)</f>
        <v>116943.03999999998</v>
      </c>
      <c r="H44" s="868" t="s">
        <v>764</v>
      </c>
      <c r="I44" s="869"/>
      <c r="J44" s="416">
        <f>SUM(J7:J42)</f>
        <v>116943.03999999998</v>
      </c>
    </row>
    <row r="45" spans="1:11" ht="15" customHeight="1" thickTop="1">
      <c r="A45" s="417"/>
      <c r="C45" s="418"/>
      <c r="F45" s="418"/>
      <c r="G45" s="418"/>
      <c r="I45" s="419"/>
      <c r="J45" s="420"/>
    </row>
    <row r="46" spans="1:11" ht="16.75" customHeight="1">
      <c r="A46" s="417"/>
      <c r="B46" s="422"/>
      <c r="C46" s="270"/>
      <c r="I46" s="270"/>
    </row>
    <row r="47" spans="1:11" ht="15" customHeight="1"/>
    <row r="48" spans="1:11" ht="16.75" customHeight="1">
      <c r="B48" s="421" t="s">
        <v>33</v>
      </c>
      <c r="C48" s="194" t="s">
        <v>590</v>
      </c>
    </row>
    <row r="49" ht="16.75" customHeight="1"/>
  </sheetData>
  <mergeCells count="5">
    <mergeCell ref="B1:J1"/>
    <mergeCell ref="B2:J2"/>
    <mergeCell ref="B3:J3"/>
    <mergeCell ref="B4:J4"/>
    <mergeCell ref="H44:I44"/>
  </mergeCells>
  <pageMargins left="0.75" right="0.75" top="1" bottom="1" header="0.5" footer="0.5"/>
  <pageSetup scale="5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F3E1-B534-4D36-B726-3539518799DE}">
  <dimension ref="A1:D40"/>
  <sheetViews>
    <sheetView showRuler="0" zoomScale="120" zoomScaleNormal="120" workbookViewId="0">
      <selection activeCell="D21" sqref="D21"/>
    </sheetView>
  </sheetViews>
  <sheetFormatPr defaultColWidth="13.7265625" defaultRowHeight="13"/>
  <cols>
    <col min="1" max="1" width="8.453125" style="172" customWidth="1"/>
    <col min="2" max="2" width="61.1796875" style="172" customWidth="1"/>
    <col min="3" max="3" width="18" style="172" customWidth="1"/>
    <col min="4" max="16384" width="13.7265625" style="172"/>
  </cols>
  <sheetData>
    <row r="1" spans="1:4">
      <c r="A1" s="844" t="s">
        <v>0</v>
      </c>
      <c r="B1" s="845"/>
      <c r="C1" s="845"/>
    </row>
    <row r="2" spans="1:4">
      <c r="A2" s="844" t="s">
        <v>64</v>
      </c>
      <c r="B2" s="845"/>
      <c r="C2" s="845"/>
    </row>
    <row r="3" spans="1:4">
      <c r="A3" s="844" t="s">
        <v>591</v>
      </c>
      <c r="B3" s="845"/>
      <c r="C3" s="845"/>
    </row>
    <row r="4" spans="1:4">
      <c r="A4" s="844" t="s">
        <v>91</v>
      </c>
      <c r="B4" s="845"/>
      <c r="C4" s="845"/>
    </row>
    <row r="7" spans="1:4" ht="26">
      <c r="A7" s="423" t="s">
        <v>10</v>
      </c>
      <c r="B7" s="423" t="s">
        <v>11</v>
      </c>
      <c r="C7" s="423" t="s">
        <v>446</v>
      </c>
      <c r="D7" s="424"/>
    </row>
    <row r="8" spans="1:4">
      <c r="A8" s="425"/>
      <c r="B8" s="426"/>
      <c r="C8" s="426"/>
    </row>
    <row r="9" spans="1:4" ht="13.5">
      <c r="A9" s="427"/>
      <c r="B9" s="428" t="s">
        <v>447</v>
      </c>
    </row>
    <row r="10" spans="1:4">
      <c r="A10" s="427">
        <f>1+A9</f>
        <v>1</v>
      </c>
      <c r="B10" s="429" t="s">
        <v>65</v>
      </c>
      <c r="C10" s="269">
        <v>2155928</v>
      </c>
    </row>
    <row r="11" spans="1:4">
      <c r="A11" s="427">
        <f>1+A10</f>
        <v>2</v>
      </c>
      <c r="B11" s="429" t="s">
        <v>66</v>
      </c>
      <c r="C11" s="430">
        <v>-5385595.5</v>
      </c>
    </row>
    <row r="12" spans="1:4">
      <c r="A12" s="427">
        <f>1+A11</f>
        <v>3</v>
      </c>
      <c r="B12" s="431" t="s">
        <v>67</v>
      </c>
      <c r="C12" s="432">
        <f>SUM(C10:C11)</f>
        <v>-3229667.5</v>
      </c>
    </row>
    <row r="13" spans="1:4">
      <c r="A13" s="427">
        <f>1+A12</f>
        <v>4</v>
      </c>
      <c r="B13" s="431" t="s">
        <v>68</v>
      </c>
      <c r="C13" s="433">
        <v>0.60862499999999997</v>
      </c>
    </row>
    <row r="14" spans="1:4">
      <c r="A14" s="427">
        <f>1+A13</f>
        <v>5</v>
      </c>
      <c r="B14" s="431" t="s">
        <v>448</v>
      </c>
      <c r="C14" s="434">
        <f>ROUND(C13*C10,0)+C11</f>
        <v>-4073443.5</v>
      </c>
    </row>
    <row r="15" spans="1:4">
      <c r="A15" s="89"/>
      <c r="B15" s="89"/>
      <c r="C15" s="426"/>
    </row>
    <row r="16" spans="1:4" ht="13.5">
      <c r="A16" s="427"/>
      <c r="B16" s="435" t="s">
        <v>69</v>
      </c>
    </row>
    <row r="17" spans="1:4">
      <c r="A17" s="427">
        <f>+A14+1</f>
        <v>6</v>
      </c>
      <c r="B17" s="436" t="s">
        <v>70</v>
      </c>
      <c r="C17" s="314">
        <v>2076412</v>
      </c>
    </row>
    <row r="18" spans="1:4">
      <c r="A18" s="427">
        <f t="shared" ref="A18:A26" si="0">1+A17</f>
        <v>7</v>
      </c>
      <c r="B18" s="436" t="s">
        <v>651</v>
      </c>
      <c r="C18" s="314">
        <v>85388</v>
      </c>
    </row>
    <row r="19" spans="1:4">
      <c r="A19" s="427">
        <f t="shared" si="0"/>
        <v>8</v>
      </c>
      <c r="B19" s="436" t="s">
        <v>71</v>
      </c>
      <c r="C19" s="314">
        <v>17213</v>
      </c>
      <c r="D19" s="270"/>
    </row>
    <row r="20" spans="1:4">
      <c r="A20" s="427">
        <f t="shared" si="0"/>
        <v>9</v>
      </c>
      <c r="B20" s="436" t="s">
        <v>72</v>
      </c>
      <c r="C20" s="314">
        <v>4782.51</v>
      </c>
      <c r="D20" s="270"/>
    </row>
    <row r="21" spans="1:4">
      <c r="A21" s="427">
        <f t="shared" si="0"/>
        <v>10</v>
      </c>
      <c r="B21" s="436" t="s">
        <v>73</v>
      </c>
      <c r="C21" s="314">
        <v>-2793616</v>
      </c>
      <c r="D21" s="270"/>
    </row>
    <row r="22" spans="1:4">
      <c r="A22" s="427">
        <f t="shared" si="0"/>
        <v>11</v>
      </c>
      <c r="B22" s="436" t="s">
        <v>74</v>
      </c>
      <c r="C22" s="314">
        <v>-3310451</v>
      </c>
      <c r="D22" s="270"/>
    </row>
    <row r="23" spans="1:4">
      <c r="A23" s="427">
        <f t="shared" si="0"/>
        <v>12</v>
      </c>
      <c r="B23" s="315" t="s">
        <v>75</v>
      </c>
      <c r="C23" s="89"/>
      <c r="D23" s="270"/>
    </row>
    <row r="24" spans="1:4">
      <c r="A24" s="427">
        <f t="shared" si="0"/>
        <v>13</v>
      </c>
      <c r="B24" s="436" t="s">
        <v>76</v>
      </c>
      <c r="C24" s="314">
        <v>-974845</v>
      </c>
      <c r="D24" s="270"/>
    </row>
    <row r="25" spans="1:4">
      <c r="A25" s="427">
        <f t="shared" si="0"/>
        <v>14</v>
      </c>
      <c r="B25" s="436" t="s">
        <v>77</v>
      </c>
      <c r="C25" s="430">
        <v>-88343</v>
      </c>
      <c r="D25" s="270"/>
    </row>
    <row r="26" spans="1:4">
      <c r="A26" s="427">
        <f t="shared" si="0"/>
        <v>15</v>
      </c>
      <c r="B26" s="315" t="s">
        <v>78</v>
      </c>
      <c r="C26" s="434">
        <f>SUM(C17:C25)</f>
        <v>-4983459.49</v>
      </c>
      <c r="D26" s="270"/>
    </row>
    <row r="27" spans="1:4">
      <c r="A27" s="89"/>
      <c r="B27" s="89"/>
      <c r="C27" s="426"/>
      <c r="D27" s="270"/>
    </row>
    <row r="28" spans="1:4">
      <c r="A28" s="427">
        <f>1+A26</f>
        <v>16</v>
      </c>
      <c r="B28" s="315" t="s">
        <v>449</v>
      </c>
      <c r="C28" s="434">
        <f>C14-C26</f>
        <v>910015.99000000022</v>
      </c>
      <c r="D28" s="270"/>
    </row>
    <row r="29" spans="1:4">
      <c r="A29" s="89"/>
      <c r="B29" s="89"/>
      <c r="C29" s="437"/>
      <c r="D29" s="270"/>
    </row>
    <row r="30" spans="1:4">
      <c r="A30" s="427">
        <f>1+A28</f>
        <v>17</v>
      </c>
      <c r="B30" s="315" t="s">
        <v>816</v>
      </c>
      <c r="C30" s="438">
        <v>4074990.8712336002</v>
      </c>
      <c r="D30" s="270"/>
    </row>
    <row r="31" spans="1:4">
      <c r="A31" s="89"/>
      <c r="B31" s="89"/>
      <c r="C31" s="437"/>
    </row>
    <row r="32" spans="1:4">
      <c r="A32" s="427">
        <f>1+A30</f>
        <v>18</v>
      </c>
      <c r="B32" s="315" t="s">
        <v>817</v>
      </c>
      <c r="C32" s="314">
        <f>+C28+C30</f>
        <v>4985006.8612336004</v>
      </c>
      <c r="D32" s="270"/>
    </row>
    <row r="33" spans="1:4">
      <c r="A33" s="89"/>
      <c r="B33" s="89"/>
      <c r="C33" s="89"/>
      <c r="D33" s="270"/>
    </row>
    <row r="34" spans="1:4">
      <c r="A34" s="427">
        <f>1+A30</f>
        <v>18</v>
      </c>
      <c r="B34" s="315" t="s">
        <v>79</v>
      </c>
      <c r="C34" s="439">
        <v>1</v>
      </c>
    </row>
    <row r="35" spans="1:4">
      <c r="A35" s="89"/>
      <c r="B35" s="89"/>
      <c r="C35" s="89"/>
    </row>
    <row r="36" spans="1:4" ht="26.5" thickBot="1">
      <c r="A36" s="427">
        <f>1+A34</f>
        <v>19</v>
      </c>
      <c r="B36" s="315" t="s">
        <v>818</v>
      </c>
      <c r="C36" s="440">
        <f>C32*C34</f>
        <v>4985006.8612336004</v>
      </c>
    </row>
    <row r="37" spans="1:4" ht="13.5" thickTop="1">
      <c r="A37" s="427"/>
      <c r="B37" s="315"/>
      <c r="C37" s="441"/>
    </row>
    <row r="38" spans="1:4">
      <c r="A38" s="427">
        <f>A36+1</f>
        <v>20</v>
      </c>
      <c r="B38" s="315" t="s">
        <v>54</v>
      </c>
      <c r="C38" s="442">
        <v>926</v>
      </c>
    </row>
    <row r="39" spans="1:4">
      <c r="A39" s="89"/>
      <c r="B39" s="89"/>
      <c r="C39" s="89"/>
    </row>
    <row r="40" spans="1:4">
      <c r="A40" s="443" t="s">
        <v>33</v>
      </c>
      <c r="B40" s="315" t="s">
        <v>590</v>
      </c>
      <c r="C40" s="89"/>
    </row>
  </sheetData>
  <mergeCells count="4">
    <mergeCell ref="A1:C1"/>
    <mergeCell ref="A2:C2"/>
    <mergeCell ref="A3:C3"/>
    <mergeCell ref="A4:C4"/>
  </mergeCells>
  <pageMargins left="0.75" right="0.75" top="1" bottom="1" header="0.5" footer="0.5"/>
  <pageSetup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A3DD-6EC2-4988-A9EC-22ABAC551E94}">
  <dimension ref="A1:F22"/>
  <sheetViews>
    <sheetView showRuler="0" zoomScale="120" zoomScaleNormal="120" workbookViewId="0">
      <selection activeCell="B15" sqref="B15"/>
    </sheetView>
  </sheetViews>
  <sheetFormatPr defaultColWidth="13.7265625" defaultRowHeight="13"/>
  <cols>
    <col min="1" max="1" width="8.453125" style="172" customWidth="1"/>
    <col min="2" max="2" width="49.453125" style="172" customWidth="1"/>
    <col min="3" max="3" width="2.453125" style="172" customWidth="1"/>
    <col min="4" max="4" width="9.453125" style="172" customWidth="1"/>
    <col min="5" max="5" width="2.453125" style="172" customWidth="1"/>
    <col min="6" max="6" width="12.453125" style="172" customWidth="1"/>
    <col min="7" max="16384" width="13.7265625" style="172"/>
  </cols>
  <sheetData>
    <row r="1" spans="1:6">
      <c r="B1" s="844" t="s">
        <v>0</v>
      </c>
      <c r="C1" s="845"/>
      <c r="D1" s="845"/>
      <c r="E1" s="845"/>
      <c r="F1" s="845"/>
    </row>
    <row r="2" spans="1:6">
      <c r="B2" s="844" t="s">
        <v>369</v>
      </c>
      <c r="C2" s="845"/>
      <c r="D2" s="845"/>
      <c r="E2" s="845"/>
      <c r="F2" s="845"/>
    </row>
    <row r="3" spans="1:6">
      <c r="B3" s="844" t="s">
        <v>591</v>
      </c>
      <c r="C3" s="870"/>
      <c r="D3" s="870"/>
      <c r="E3" s="870"/>
      <c r="F3" s="870"/>
    </row>
    <row r="4" spans="1:6">
      <c r="B4" s="844" t="s">
        <v>92</v>
      </c>
      <c r="C4" s="845"/>
      <c r="D4" s="845"/>
      <c r="E4" s="845"/>
      <c r="F4" s="845"/>
    </row>
    <row r="6" spans="1:6" ht="39">
      <c r="A6" s="173" t="s">
        <v>914</v>
      </c>
      <c r="B6" s="173" t="s">
        <v>915</v>
      </c>
      <c r="D6" s="173" t="s">
        <v>916</v>
      </c>
      <c r="F6" s="173" t="s">
        <v>917</v>
      </c>
    </row>
    <row r="8" spans="1:6">
      <c r="A8" s="188">
        <v>1</v>
      </c>
      <c r="B8" s="194" t="s">
        <v>660</v>
      </c>
      <c r="D8" s="188">
        <v>926</v>
      </c>
      <c r="F8" s="269">
        <v>4630462</v>
      </c>
    </row>
    <row r="9" spans="1:6">
      <c r="B9" s="89"/>
      <c r="D9" s="178"/>
      <c r="F9" s="89"/>
    </row>
    <row r="10" spans="1:6">
      <c r="A10" s="188">
        <f>1+A8</f>
        <v>2</v>
      </c>
      <c r="B10" s="194" t="s">
        <v>661</v>
      </c>
      <c r="D10" s="188">
        <v>926</v>
      </c>
      <c r="F10" s="444">
        <v>1390919</v>
      </c>
    </row>
    <row r="11" spans="1:6">
      <c r="A11" s="188">
        <f>1+A10</f>
        <v>3</v>
      </c>
      <c r="B11" s="194" t="s">
        <v>662</v>
      </c>
      <c r="D11" s="188">
        <v>926</v>
      </c>
      <c r="F11" s="445">
        <f>+F8+F10</f>
        <v>6021381</v>
      </c>
    </row>
    <row r="12" spans="1:6">
      <c r="B12" s="89"/>
    </row>
    <row r="13" spans="1:6">
      <c r="A13" s="188">
        <f>1+A11</f>
        <v>4</v>
      </c>
      <c r="B13" s="194" t="s">
        <v>81</v>
      </c>
      <c r="F13" s="444">
        <v>6122900</v>
      </c>
    </row>
    <row r="14" spans="1:6">
      <c r="A14" s="188">
        <f>1+A13</f>
        <v>5</v>
      </c>
      <c r="B14" s="194" t="s">
        <v>663</v>
      </c>
      <c r="F14" s="445">
        <f>+F11-F13</f>
        <v>-101519</v>
      </c>
    </row>
    <row r="15" spans="1:6">
      <c r="B15" s="89"/>
    </row>
    <row r="16" spans="1:6">
      <c r="A16" s="188">
        <f>1+A14</f>
        <v>6</v>
      </c>
      <c r="B16" s="194" t="s">
        <v>82</v>
      </c>
      <c r="F16" s="446">
        <v>0.60862499999999997</v>
      </c>
    </row>
    <row r="17" spans="1:6">
      <c r="A17" s="188">
        <f>1+A16</f>
        <v>7</v>
      </c>
      <c r="B17" s="194" t="s">
        <v>664</v>
      </c>
      <c r="F17" s="445">
        <f>ROUND(F14*F16,0)</f>
        <v>-61787</v>
      </c>
    </row>
    <row r="18" spans="1:6">
      <c r="B18" s="89"/>
    </row>
    <row r="19" spans="1:6">
      <c r="A19" s="188">
        <f>1+A17</f>
        <v>8</v>
      </c>
      <c r="B19" s="194" t="s">
        <v>83</v>
      </c>
      <c r="F19" s="447">
        <v>1</v>
      </c>
    </row>
    <row r="20" spans="1:6" ht="13.5" thickBot="1">
      <c r="A20" s="188">
        <f>1+A19</f>
        <v>9</v>
      </c>
      <c r="B20" s="194" t="s">
        <v>665</v>
      </c>
      <c r="F20" s="448">
        <f>ROUND(F17*F19,0)</f>
        <v>-61787</v>
      </c>
    </row>
    <row r="21" spans="1:6" ht="13.5" thickTop="1"/>
    <row r="22" spans="1:6">
      <c r="A22" s="173" t="s">
        <v>33</v>
      </c>
      <c r="B22" s="194" t="s">
        <v>590</v>
      </c>
    </row>
  </sheetData>
  <mergeCells count="4">
    <mergeCell ref="B1:F1"/>
    <mergeCell ref="B2:F2"/>
    <mergeCell ref="B3:F3"/>
    <mergeCell ref="B4:F4"/>
  </mergeCells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2FF1-08D6-4EA8-9958-47A31A3603B1}">
  <dimension ref="A1:G21"/>
  <sheetViews>
    <sheetView showRuler="0" zoomScale="120" zoomScaleNormal="120" workbookViewId="0">
      <selection activeCell="B6" sqref="B6"/>
    </sheetView>
  </sheetViews>
  <sheetFormatPr defaultColWidth="13.7265625" defaultRowHeight="13"/>
  <cols>
    <col min="1" max="1" width="8.453125" style="172" customWidth="1"/>
    <col min="2" max="2" width="71.453125" style="172" customWidth="1"/>
    <col min="3" max="3" width="3.7265625" style="172" customWidth="1"/>
    <col min="4" max="4" width="13.81640625" style="172" customWidth="1"/>
    <col min="5" max="5" width="3.7265625" style="172" customWidth="1"/>
    <col min="6" max="6" width="20" style="172" customWidth="1"/>
    <col min="7" max="16384" width="13.7265625" style="172"/>
  </cols>
  <sheetData>
    <row r="1" spans="1:7">
      <c r="A1" s="844" t="s">
        <v>0</v>
      </c>
      <c r="B1" s="845"/>
      <c r="C1" s="845"/>
      <c r="D1" s="845"/>
      <c r="E1" s="845"/>
      <c r="F1" s="845"/>
      <c r="G1" s="191" t="s">
        <v>51</v>
      </c>
    </row>
    <row r="2" spans="1:7">
      <c r="A2" s="844" t="s">
        <v>86</v>
      </c>
      <c r="B2" s="845"/>
      <c r="C2" s="845"/>
      <c r="D2" s="845"/>
      <c r="E2" s="845"/>
      <c r="F2" s="845"/>
      <c r="G2" s="193" t="s">
        <v>51</v>
      </c>
    </row>
    <row r="3" spans="1:7">
      <c r="A3" s="844" t="s">
        <v>591</v>
      </c>
      <c r="B3" s="845"/>
      <c r="C3" s="845"/>
      <c r="D3" s="845"/>
      <c r="E3" s="845"/>
      <c r="F3" s="845"/>
      <c r="G3" s="193" t="s">
        <v>51</v>
      </c>
    </row>
    <row r="4" spans="1:7">
      <c r="A4" s="844" t="s">
        <v>115</v>
      </c>
      <c r="B4" s="845"/>
      <c r="C4" s="845"/>
      <c r="D4" s="845"/>
      <c r="E4" s="845"/>
      <c r="F4" s="845"/>
    </row>
    <row r="6" spans="1:7" ht="26">
      <c r="A6" s="173" t="s">
        <v>914</v>
      </c>
      <c r="B6" s="173" t="s">
        <v>915</v>
      </c>
      <c r="D6" s="173" t="s">
        <v>916</v>
      </c>
      <c r="F6" s="173" t="s">
        <v>917</v>
      </c>
    </row>
    <row r="7" spans="1:7" ht="26">
      <c r="A7" s="174">
        <v>1</v>
      </c>
      <c r="B7" s="315" t="s">
        <v>666</v>
      </c>
      <c r="F7" s="385">
        <v>2171917.2200000002</v>
      </c>
    </row>
    <row r="8" spans="1:7">
      <c r="A8" s="449">
        <v>2</v>
      </c>
      <c r="B8" s="194" t="s">
        <v>34</v>
      </c>
      <c r="F8" s="450">
        <v>5</v>
      </c>
    </row>
    <row r="9" spans="1:7">
      <c r="A9" s="449">
        <v>3</v>
      </c>
      <c r="B9" s="194" t="s">
        <v>667</v>
      </c>
      <c r="F9" s="451">
        <f>F7/F8</f>
        <v>434383.44400000002</v>
      </c>
      <c r="G9" s="195"/>
    </row>
    <row r="10" spans="1:7" ht="26">
      <c r="A10" s="449">
        <v>4</v>
      </c>
      <c r="B10" s="194" t="s">
        <v>668</v>
      </c>
      <c r="F10" s="451">
        <v>431505.24</v>
      </c>
    </row>
    <row r="11" spans="1:7">
      <c r="A11" s="449">
        <v>5</v>
      </c>
      <c r="B11" s="315" t="s">
        <v>451</v>
      </c>
      <c r="F11" s="451">
        <f>F9+F10</f>
        <v>865888.68400000001</v>
      </c>
    </row>
    <row r="12" spans="1:7">
      <c r="A12" s="452"/>
      <c r="B12" s="89"/>
      <c r="E12" s="195"/>
      <c r="F12" s="453"/>
    </row>
    <row r="13" spans="1:7" ht="26.5" thickBot="1">
      <c r="A13" s="449">
        <v>6</v>
      </c>
      <c r="B13" s="194" t="s">
        <v>669</v>
      </c>
      <c r="F13" s="454">
        <v>400413.48</v>
      </c>
    </row>
    <row r="14" spans="1:7" ht="13.5" thickTop="1">
      <c r="A14" s="449">
        <v>7</v>
      </c>
      <c r="B14" s="194" t="s">
        <v>670</v>
      </c>
      <c r="D14" s="188" t="s">
        <v>452</v>
      </c>
      <c r="F14" s="455">
        <f>F11-F13</f>
        <v>465475.20400000003</v>
      </c>
    </row>
    <row r="15" spans="1:7">
      <c r="A15" s="452"/>
      <c r="B15" s="89"/>
      <c r="F15" s="456"/>
    </row>
    <row r="16" spans="1:7">
      <c r="A16" s="449">
        <v>8</v>
      </c>
      <c r="B16" s="194" t="s">
        <v>35</v>
      </c>
      <c r="F16" s="457">
        <v>1</v>
      </c>
    </row>
    <row r="17" spans="1:6" ht="26.5" thickBot="1">
      <c r="A17" s="449">
        <v>9</v>
      </c>
      <c r="B17" s="458" t="s">
        <v>453</v>
      </c>
      <c r="D17" s="459" t="s">
        <v>452</v>
      </c>
      <c r="F17" s="460">
        <f>F14*F16</f>
        <v>465475.20400000003</v>
      </c>
    </row>
    <row r="18" spans="1:6" ht="13.5" thickTop="1">
      <c r="F18" s="461"/>
    </row>
    <row r="21" spans="1:6">
      <c r="A21" s="193" t="s">
        <v>33</v>
      </c>
      <c r="B21" s="194" t="s">
        <v>590</v>
      </c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9F1E-9808-4094-BDB2-9B56E4D0C1C5}">
  <sheetPr>
    <pageSetUpPr fitToPage="1"/>
  </sheetPr>
  <dimension ref="A1:J51"/>
  <sheetViews>
    <sheetView zoomScaleNormal="100" workbookViewId="0">
      <selection activeCell="F15" sqref="F15"/>
    </sheetView>
  </sheetViews>
  <sheetFormatPr defaultColWidth="8.7265625" defaultRowHeight="13"/>
  <cols>
    <col min="1" max="2" width="8.7265625" style="1"/>
    <col min="3" max="3" width="30.54296875" style="1" bestFit="1" customWidth="1"/>
    <col min="4" max="4" width="8.7265625" style="1"/>
    <col min="5" max="5" width="13.7265625" style="1" customWidth="1"/>
    <col min="6" max="6" width="8.7265625" style="1"/>
    <col min="7" max="7" width="13.26953125" style="1" customWidth="1"/>
    <col min="8" max="8" width="13" style="1" customWidth="1"/>
    <col min="9" max="9" width="18.7265625" style="1" customWidth="1"/>
    <col min="10" max="10" width="8.7265625" style="1"/>
    <col min="11" max="11" width="14" style="1" customWidth="1"/>
    <col min="12" max="16384" width="8.7265625" style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835" t="s">
        <v>0</v>
      </c>
      <c r="C2" s="835"/>
      <c r="D2" s="835"/>
      <c r="E2" s="835"/>
      <c r="F2" s="835"/>
      <c r="G2" s="835"/>
      <c r="H2" s="835"/>
      <c r="I2" s="115"/>
      <c r="J2" s="115"/>
    </row>
    <row r="3" spans="1:10">
      <c r="A3" s="115"/>
      <c r="B3" s="836" t="s">
        <v>325</v>
      </c>
      <c r="C3" s="836"/>
      <c r="D3" s="836"/>
      <c r="E3" s="836"/>
      <c r="F3" s="836"/>
      <c r="G3" s="836"/>
      <c r="H3" s="836"/>
      <c r="I3" s="115"/>
      <c r="J3" s="115"/>
    </row>
    <row r="4" spans="1:10">
      <c r="A4" s="115"/>
      <c r="B4" s="835" t="s">
        <v>588</v>
      </c>
      <c r="C4" s="835"/>
      <c r="D4" s="835"/>
      <c r="E4" s="835"/>
      <c r="F4" s="835"/>
      <c r="G4" s="835"/>
      <c r="H4" s="126"/>
      <c r="I4" s="115"/>
      <c r="J4" s="115"/>
    </row>
    <row r="5" spans="1:10">
      <c r="B5" s="838" t="s">
        <v>9</v>
      </c>
      <c r="C5" s="838"/>
      <c r="D5" s="838"/>
      <c r="E5" s="838"/>
      <c r="F5" s="838"/>
      <c r="G5" s="838"/>
      <c r="H5" s="838"/>
    </row>
    <row r="7" spans="1:10" ht="52">
      <c r="A7" s="116" t="s">
        <v>1</v>
      </c>
      <c r="B7" s="837" t="s">
        <v>2</v>
      </c>
      <c r="C7" s="837"/>
      <c r="D7" s="837"/>
      <c r="E7" s="116" t="s">
        <v>3</v>
      </c>
      <c r="F7" s="116"/>
      <c r="G7" s="116" t="s">
        <v>4</v>
      </c>
      <c r="H7" s="116" t="s">
        <v>5</v>
      </c>
      <c r="I7" s="116" t="s">
        <v>6</v>
      </c>
      <c r="J7" s="115"/>
    </row>
    <row r="8" spans="1:10">
      <c r="A8" s="117"/>
      <c r="B8" s="117"/>
      <c r="C8" s="117"/>
      <c r="D8" s="115"/>
      <c r="E8" s="118"/>
      <c r="F8" s="119"/>
      <c r="G8" s="119"/>
      <c r="H8" s="119"/>
      <c r="I8" s="120"/>
      <c r="J8" s="115"/>
    </row>
    <row r="9" spans="1:10">
      <c r="A9" s="115"/>
      <c r="B9" s="115"/>
      <c r="C9" s="115"/>
      <c r="D9" s="115"/>
      <c r="E9" s="121"/>
      <c r="F9" s="115"/>
      <c r="G9" s="115"/>
      <c r="H9" s="115"/>
      <c r="I9" s="122"/>
      <c r="J9" s="115"/>
    </row>
    <row r="10" spans="1:10">
      <c r="A10" s="115"/>
      <c r="B10" s="123" t="s">
        <v>249</v>
      </c>
      <c r="C10" s="123"/>
      <c r="D10" s="115"/>
      <c r="G10" s="115"/>
      <c r="H10" s="115"/>
      <c r="I10" s="124"/>
      <c r="J10" s="115"/>
    </row>
    <row r="11" spans="1:10" ht="13.5" thickBot="1">
      <c r="A11" s="117">
        <v>1</v>
      </c>
      <c r="B11" s="117" t="s">
        <v>7</v>
      </c>
      <c r="C11" s="115" t="s">
        <v>326</v>
      </c>
      <c r="D11" s="115"/>
      <c r="E11" s="131">
        <v>-515361.63697997667</v>
      </c>
      <c r="G11" s="115" t="s">
        <v>8</v>
      </c>
      <c r="H11" s="130">
        <v>1</v>
      </c>
      <c r="I11" s="128">
        <f>+E11*H11</f>
        <v>-515361.63697997667</v>
      </c>
      <c r="J11" s="126" t="s">
        <v>251</v>
      </c>
    </row>
    <row r="12" spans="1:10" ht="13.5" thickTop="1">
      <c r="I12" s="132"/>
    </row>
    <row r="15" spans="1:10">
      <c r="A15" s="1" t="s">
        <v>723</v>
      </c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5">
    <mergeCell ref="B2:H2"/>
    <mergeCell ref="B3:H3"/>
    <mergeCell ref="B4:G4"/>
    <mergeCell ref="B7:D7"/>
    <mergeCell ref="B5:H5"/>
  </mergeCells>
  <pageMargins left="0.7" right="0.7" top="0.75" bottom="0.75" header="0.3" footer="0.3"/>
  <pageSetup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C212-0312-4BF2-BA48-8E8B15A71336}">
  <sheetPr>
    <pageSetUpPr fitToPage="1"/>
  </sheetPr>
  <dimension ref="A1:L17"/>
  <sheetViews>
    <sheetView showRuler="0" topLeftCell="A3" zoomScale="110" zoomScaleNormal="110" workbookViewId="0">
      <selection activeCell="B12" sqref="B12"/>
    </sheetView>
  </sheetViews>
  <sheetFormatPr defaultColWidth="13.7265625" defaultRowHeight="13"/>
  <cols>
    <col min="1" max="1" width="7.81640625" style="129" bestFit="1" customWidth="1"/>
    <col min="2" max="2" width="59" style="129" bestFit="1" customWidth="1"/>
    <col min="3" max="3" width="3.1796875" style="129" customWidth="1"/>
    <col min="4" max="4" width="12.7265625" style="129" bestFit="1" customWidth="1"/>
    <col min="5" max="5" width="3.1796875" style="129" customWidth="1"/>
    <col min="6" max="6" width="10.81640625" style="129" bestFit="1" customWidth="1"/>
    <col min="7" max="7" width="3" style="129" customWidth="1"/>
    <col min="8" max="8" width="14.1796875" style="129" bestFit="1" customWidth="1"/>
    <col min="9" max="9" width="2.1796875" style="129" customWidth="1"/>
    <col min="10" max="10" width="5.81640625" style="129" bestFit="1" customWidth="1"/>
    <col min="11" max="11" width="2" style="129" customWidth="1"/>
    <col min="12" max="12" width="23.1796875" style="129" bestFit="1" customWidth="1"/>
    <col min="13" max="16384" width="13.7265625" style="129"/>
  </cols>
  <sheetData>
    <row r="1" spans="1:12">
      <c r="F1" s="259" t="s">
        <v>51</v>
      </c>
    </row>
    <row r="2" spans="1:12">
      <c r="B2" s="848" t="s">
        <v>0</v>
      </c>
      <c r="C2" s="848"/>
      <c r="D2" s="848"/>
      <c r="E2" s="848"/>
      <c r="F2" s="848"/>
      <c r="G2" s="848"/>
      <c r="H2" s="848"/>
      <c r="I2" s="848"/>
      <c r="J2" s="848"/>
      <c r="K2" s="848"/>
      <c r="L2" s="848"/>
    </row>
    <row r="3" spans="1:12">
      <c r="B3" s="848" t="s">
        <v>90</v>
      </c>
      <c r="C3" s="848"/>
      <c r="D3" s="848"/>
      <c r="E3" s="848"/>
      <c r="F3" s="848"/>
      <c r="G3" s="848"/>
      <c r="H3" s="848"/>
      <c r="I3" s="848"/>
      <c r="J3" s="848"/>
      <c r="K3" s="848"/>
      <c r="L3" s="848"/>
    </row>
    <row r="4" spans="1:12">
      <c r="B4" s="848" t="s">
        <v>591</v>
      </c>
      <c r="C4" s="848"/>
      <c r="D4" s="848"/>
      <c r="E4" s="848"/>
      <c r="F4" s="848"/>
      <c r="G4" s="848"/>
      <c r="H4" s="848"/>
      <c r="I4" s="848"/>
      <c r="J4" s="848"/>
      <c r="K4" s="848"/>
      <c r="L4" s="848"/>
    </row>
    <row r="5" spans="1:12">
      <c r="B5" s="848" t="s">
        <v>111</v>
      </c>
      <c r="C5" s="848"/>
      <c r="D5" s="848"/>
      <c r="E5" s="848"/>
      <c r="F5" s="848"/>
      <c r="G5" s="848"/>
      <c r="H5" s="848"/>
      <c r="I5" s="848"/>
      <c r="J5" s="848"/>
      <c r="K5" s="848"/>
      <c r="L5" s="848"/>
    </row>
    <row r="7" spans="1:12" ht="26">
      <c r="A7" s="173" t="s">
        <v>914</v>
      </c>
      <c r="B7" s="173" t="s">
        <v>915</v>
      </c>
      <c r="C7" s="172"/>
      <c r="D7" s="173" t="s">
        <v>916</v>
      </c>
      <c r="E7" s="172"/>
      <c r="F7" s="173" t="s">
        <v>917</v>
      </c>
      <c r="H7" s="249" t="s">
        <v>918</v>
      </c>
      <c r="I7" s="1"/>
      <c r="J7" s="249" t="s">
        <v>919</v>
      </c>
      <c r="L7" s="249" t="s">
        <v>920</v>
      </c>
    </row>
    <row r="8" spans="1:12">
      <c r="H8" s="1"/>
      <c r="I8" s="1"/>
      <c r="J8" s="1"/>
    </row>
    <row r="9" spans="1:12">
      <c r="A9" s="462">
        <v>1</v>
      </c>
      <c r="B9" s="273" t="s">
        <v>593</v>
      </c>
    </row>
    <row r="10" spans="1:12">
      <c r="A10" s="462">
        <v>2</v>
      </c>
      <c r="B10" s="273" t="s">
        <v>594</v>
      </c>
      <c r="D10" s="463" t="s">
        <v>23</v>
      </c>
      <c r="F10" s="180">
        <v>-741761</v>
      </c>
      <c r="H10" s="249" t="s">
        <v>598</v>
      </c>
      <c r="I10" s="1"/>
      <c r="J10" s="464">
        <v>1</v>
      </c>
      <c r="L10" s="221">
        <f>+F10*J10</f>
        <v>-741761</v>
      </c>
    </row>
    <row r="11" spans="1:12">
      <c r="A11" s="462">
        <v>3</v>
      </c>
      <c r="B11" s="273" t="s">
        <v>595</v>
      </c>
      <c r="D11" s="463" t="s">
        <v>597</v>
      </c>
      <c r="F11" s="180">
        <v>-2257483</v>
      </c>
      <c r="H11" s="249" t="s">
        <v>598</v>
      </c>
      <c r="I11" s="1"/>
      <c r="J11" s="464">
        <v>1</v>
      </c>
      <c r="L11" s="221">
        <f t="shared" ref="L11:L12" si="0">+F11*J11</f>
        <v>-2257483</v>
      </c>
    </row>
    <row r="12" spans="1:12">
      <c r="A12" s="462">
        <v>4</v>
      </c>
      <c r="B12" s="273" t="s">
        <v>596</v>
      </c>
      <c r="D12" s="463" t="s">
        <v>25</v>
      </c>
      <c r="F12" s="238">
        <v>-87305</v>
      </c>
      <c r="H12" s="249" t="s">
        <v>598</v>
      </c>
      <c r="I12" s="1"/>
      <c r="J12" s="464">
        <v>1</v>
      </c>
      <c r="L12" s="221">
        <f t="shared" si="0"/>
        <v>-87305</v>
      </c>
    </row>
    <row r="13" spans="1:12" ht="13.5" thickBot="1">
      <c r="A13" s="462">
        <v>5</v>
      </c>
      <c r="B13" s="273" t="s">
        <v>892</v>
      </c>
      <c r="F13" s="243">
        <f>+F10+F11+F12</f>
        <v>-3086549</v>
      </c>
      <c r="I13" s="1"/>
      <c r="L13" s="243">
        <f>+L10+L11+L12</f>
        <v>-3086549</v>
      </c>
    </row>
    <row r="14" spans="1:12" ht="13.5" thickTop="1">
      <c r="B14" s="260"/>
    </row>
    <row r="15" spans="1:12">
      <c r="A15" s="233" t="s">
        <v>33</v>
      </c>
      <c r="B15" s="256" t="s">
        <v>590</v>
      </c>
    </row>
    <row r="17" s="129" customFormat="1"/>
  </sheetData>
  <mergeCells count="4">
    <mergeCell ref="B2:L2"/>
    <mergeCell ref="B3:L3"/>
    <mergeCell ref="B4:L4"/>
    <mergeCell ref="B5:L5"/>
  </mergeCells>
  <pageMargins left="0.75" right="0.75" top="1" bottom="1" header="0.5" footer="0.5"/>
  <pageSetup scale="6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CFAF-63A7-429E-932B-46B7084BD266}">
  <sheetPr>
    <pageSetUpPr fitToPage="1"/>
  </sheetPr>
  <dimension ref="A1:M52"/>
  <sheetViews>
    <sheetView zoomScaleNormal="100" workbookViewId="0">
      <pane xSplit="1" ySplit="8" topLeftCell="B9" activePane="bottomRight" state="frozen"/>
      <selection activeCell="H63" sqref="H63"/>
      <selection pane="topRight" activeCell="H63" sqref="H63"/>
      <selection pane="bottomLeft" activeCell="H63" sqref="H63"/>
      <selection pane="bottomRight" sqref="A1:XFD1048576"/>
    </sheetView>
  </sheetViews>
  <sheetFormatPr defaultColWidth="13.7265625" defaultRowHeight="13"/>
  <cols>
    <col min="1" max="1" width="7.81640625" style="89" bestFit="1" customWidth="1"/>
    <col min="2" max="2" width="12.453125" style="89" bestFit="1" customWidth="1"/>
    <col min="3" max="3" width="11.453125" style="89" bestFit="1" customWidth="1"/>
    <col min="4" max="4" width="15.1796875" style="89" bestFit="1" customWidth="1"/>
    <col min="5" max="5" width="19.26953125" style="89" bestFit="1" customWidth="1"/>
    <col min="6" max="6" width="1.1796875" style="89" customWidth="1"/>
    <col min="7" max="7" width="12.453125" style="89" bestFit="1" customWidth="1"/>
    <col min="8" max="8" width="15.1796875" style="89" bestFit="1" customWidth="1"/>
    <col min="9" max="9" width="20.26953125" style="89" bestFit="1" customWidth="1"/>
    <col min="10" max="10" width="0.54296875" style="89" customWidth="1"/>
    <col min="11" max="11" width="43.26953125" style="89" bestFit="1" customWidth="1"/>
    <col min="12" max="12" width="14.1796875" style="1" bestFit="1" customWidth="1"/>
    <col min="13" max="13" width="1" style="89" bestFit="1" customWidth="1"/>
    <col min="14" max="16384" width="13.7265625" style="89"/>
  </cols>
  <sheetData>
    <row r="1" spans="1:13">
      <c r="K1" s="875" t="s">
        <v>51</v>
      </c>
      <c r="L1" s="872"/>
      <c r="M1" s="872"/>
    </row>
    <row r="2" spans="1:13">
      <c r="B2" s="843" t="s">
        <v>0</v>
      </c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465" t="s">
        <v>51</v>
      </c>
    </row>
    <row r="3" spans="1:13">
      <c r="B3" s="843" t="s">
        <v>370</v>
      </c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465" t="s">
        <v>51</v>
      </c>
    </row>
    <row r="4" spans="1:13">
      <c r="B4" s="843" t="s">
        <v>591</v>
      </c>
      <c r="C4" s="876"/>
      <c r="D4" s="876"/>
      <c r="E4" s="876"/>
      <c r="F4" s="876"/>
      <c r="G4" s="876"/>
      <c r="H4" s="876"/>
      <c r="I4" s="876"/>
      <c r="J4" s="876"/>
      <c r="K4" s="876"/>
      <c r="L4" s="876"/>
    </row>
    <row r="5" spans="1:13">
      <c r="B5" s="843" t="s">
        <v>87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</row>
    <row r="7" spans="1:13" ht="26">
      <c r="A7" s="871" t="s">
        <v>10</v>
      </c>
      <c r="B7" s="873" t="s">
        <v>54</v>
      </c>
      <c r="C7" s="873" t="s">
        <v>93</v>
      </c>
      <c r="D7" s="873" t="s">
        <v>819</v>
      </c>
      <c r="E7" s="873" t="s">
        <v>94</v>
      </c>
      <c r="F7" s="466"/>
      <c r="G7" s="873" t="s">
        <v>95</v>
      </c>
      <c r="H7" s="873" t="s">
        <v>819</v>
      </c>
      <c r="I7" s="873" t="s">
        <v>96</v>
      </c>
      <c r="J7" s="466"/>
      <c r="K7" s="873" t="s">
        <v>97</v>
      </c>
      <c r="L7" s="467" t="s">
        <v>98</v>
      </c>
      <c r="M7" s="468"/>
    </row>
    <row r="8" spans="1:13">
      <c r="A8" s="872"/>
      <c r="B8" s="874"/>
      <c r="C8" s="874"/>
      <c r="D8" s="874"/>
      <c r="E8" s="874"/>
      <c r="F8" s="466"/>
      <c r="G8" s="874"/>
      <c r="H8" s="874"/>
      <c r="I8" s="874"/>
      <c r="J8" s="466"/>
      <c r="K8" s="874"/>
      <c r="L8" s="469">
        <v>1</v>
      </c>
      <c r="M8" s="468"/>
    </row>
    <row r="9" spans="1:13">
      <c r="B9" s="470" t="s">
        <v>99</v>
      </c>
      <c r="C9" s="470" t="s">
        <v>100</v>
      </c>
      <c r="D9" s="470" t="s">
        <v>101</v>
      </c>
      <c r="E9" s="470" t="s">
        <v>102</v>
      </c>
      <c r="G9" s="470" t="s">
        <v>103</v>
      </c>
      <c r="H9" s="470" t="s">
        <v>104</v>
      </c>
      <c r="I9" s="470" t="s">
        <v>105</v>
      </c>
      <c r="K9" s="470" t="s">
        <v>106</v>
      </c>
      <c r="L9" s="471" t="s">
        <v>107</v>
      </c>
    </row>
    <row r="10" spans="1:13">
      <c r="A10" s="427">
        <v>1</v>
      </c>
      <c r="B10" s="472">
        <v>5000</v>
      </c>
      <c r="C10" s="314">
        <v>43179.96</v>
      </c>
      <c r="D10" s="314">
        <v>70495.59</v>
      </c>
      <c r="E10" s="314">
        <f t="shared" ref="E10:E45" si="0">D10-C10</f>
        <v>27315.629999999997</v>
      </c>
      <c r="G10" s="314">
        <v>1402.28</v>
      </c>
      <c r="H10" s="314">
        <v>1913.12</v>
      </c>
      <c r="I10" s="314">
        <f t="shared" ref="I10:I45" si="1">H10-G10</f>
        <v>510.83999999999992</v>
      </c>
      <c r="K10" s="314">
        <f t="shared" ref="K10:K45" si="2">E10+I10</f>
        <v>27826.469999999998</v>
      </c>
      <c r="L10" s="473">
        <f t="shared" ref="L10:L45" si="3">K10*L$8</f>
        <v>27826.469999999998</v>
      </c>
    </row>
    <row r="11" spans="1:13">
      <c r="A11" s="427">
        <f t="shared" ref="A11:A46" si="4">A10+1</f>
        <v>2</v>
      </c>
      <c r="B11" s="472">
        <v>5010</v>
      </c>
      <c r="C11" s="314">
        <v>114956.49</v>
      </c>
      <c r="D11" s="314">
        <v>185191.76</v>
      </c>
      <c r="E11" s="314">
        <f t="shared" si="0"/>
        <v>70235.27</v>
      </c>
      <c r="G11" s="314">
        <v>4954.4799999999996</v>
      </c>
      <c r="H11" s="314">
        <v>6687.16</v>
      </c>
      <c r="I11" s="314">
        <f t="shared" si="1"/>
        <v>1732.6800000000003</v>
      </c>
      <c r="K11" s="314">
        <f t="shared" si="2"/>
        <v>71967.950000000012</v>
      </c>
      <c r="L11" s="473">
        <f t="shared" si="3"/>
        <v>71967.950000000012</v>
      </c>
    </row>
    <row r="12" spans="1:13">
      <c r="A12" s="427">
        <f t="shared" si="4"/>
        <v>3</v>
      </c>
      <c r="B12" s="472">
        <v>5020</v>
      </c>
      <c r="C12" s="314">
        <v>57562.51</v>
      </c>
      <c r="D12" s="314">
        <v>94423.23</v>
      </c>
      <c r="E12" s="314">
        <f t="shared" si="0"/>
        <v>36860.719999999994</v>
      </c>
      <c r="G12" s="314">
        <v>2592.2199999999998</v>
      </c>
      <c r="H12" s="314">
        <v>3504.55</v>
      </c>
      <c r="I12" s="314">
        <f t="shared" si="1"/>
        <v>912.33000000000038</v>
      </c>
      <c r="K12" s="314">
        <f t="shared" si="2"/>
        <v>37773.049999999996</v>
      </c>
      <c r="L12" s="473">
        <f t="shared" si="3"/>
        <v>37773.049999999996</v>
      </c>
    </row>
    <row r="13" spans="1:13">
      <c r="A13" s="427">
        <f t="shared" si="4"/>
        <v>4</v>
      </c>
      <c r="B13" s="472">
        <v>5050</v>
      </c>
      <c r="C13" s="314">
        <v>1465.98</v>
      </c>
      <c r="D13" s="314">
        <v>2613.2399999999998</v>
      </c>
      <c r="E13" s="314">
        <f t="shared" si="0"/>
        <v>1147.2599999999998</v>
      </c>
      <c r="G13" s="314">
        <v>96.1</v>
      </c>
      <c r="H13" s="314">
        <v>129.58000000000001</v>
      </c>
      <c r="I13" s="314">
        <f t="shared" si="1"/>
        <v>33.480000000000018</v>
      </c>
      <c r="K13" s="314">
        <f t="shared" si="2"/>
        <v>1180.7399999999998</v>
      </c>
      <c r="L13" s="473">
        <f t="shared" si="3"/>
        <v>1180.7399999999998</v>
      </c>
    </row>
    <row r="14" spans="1:13">
      <c r="A14" s="427">
        <f t="shared" si="4"/>
        <v>5</v>
      </c>
      <c r="B14" s="472">
        <v>5060</v>
      </c>
      <c r="C14" s="314">
        <v>56339.81</v>
      </c>
      <c r="D14" s="314">
        <v>92505.14</v>
      </c>
      <c r="E14" s="314">
        <f t="shared" si="0"/>
        <v>36165.33</v>
      </c>
      <c r="G14" s="314">
        <v>2141.35</v>
      </c>
      <c r="H14" s="314">
        <v>2917.05</v>
      </c>
      <c r="I14" s="314">
        <f t="shared" si="1"/>
        <v>775.70000000000027</v>
      </c>
      <c r="K14" s="314">
        <f t="shared" si="2"/>
        <v>36941.03</v>
      </c>
      <c r="L14" s="473">
        <f t="shared" si="3"/>
        <v>36941.03</v>
      </c>
    </row>
    <row r="15" spans="1:13">
      <c r="A15" s="427">
        <f t="shared" si="4"/>
        <v>6</v>
      </c>
      <c r="B15" s="472">
        <v>5100</v>
      </c>
      <c r="C15" s="314">
        <v>41651.33</v>
      </c>
      <c r="D15" s="314">
        <v>67393.7</v>
      </c>
      <c r="E15" s="314">
        <f t="shared" si="0"/>
        <v>25742.369999999995</v>
      </c>
      <c r="G15" s="314">
        <v>1723.05</v>
      </c>
      <c r="H15" s="314">
        <v>2325.9299999999998</v>
      </c>
      <c r="I15" s="314">
        <f t="shared" si="1"/>
        <v>602.87999999999988</v>
      </c>
      <c r="K15" s="314">
        <f t="shared" si="2"/>
        <v>26345.249999999996</v>
      </c>
      <c r="L15" s="473">
        <f t="shared" si="3"/>
        <v>26345.249999999996</v>
      </c>
    </row>
    <row r="16" spans="1:13">
      <c r="A16" s="427">
        <f t="shared" si="4"/>
        <v>7</v>
      </c>
      <c r="B16" s="472">
        <v>5110</v>
      </c>
      <c r="C16" s="314">
        <v>4275.96</v>
      </c>
      <c r="D16" s="314">
        <v>7172.77</v>
      </c>
      <c r="E16" s="314">
        <f t="shared" si="0"/>
        <v>2896.8100000000004</v>
      </c>
      <c r="G16" s="314">
        <v>183.91</v>
      </c>
      <c r="H16" s="314">
        <v>245.71</v>
      </c>
      <c r="I16" s="314">
        <f t="shared" si="1"/>
        <v>61.800000000000011</v>
      </c>
      <c r="K16" s="314">
        <f t="shared" si="2"/>
        <v>2958.6100000000006</v>
      </c>
      <c r="L16" s="473">
        <f t="shared" si="3"/>
        <v>2958.6100000000006</v>
      </c>
    </row>
    <row r="17" spans="1:12">
      <c r="A17" s="427">
        <f t="shared" si="4"/>
        <v>8</v>
      </c>
      <c r="B17" s="472">
        <v>5120</v>
      </c>
      <c r="C17" s="314">
        <v>74463.53</v>
      </c>
      <c r="D17" s="314">
        <v>117275.04</v>
      </c>
      <c r="E17" s="314">
        <f t="shared" si="0"/>
        <v>42811.509999999995</v>
      </c>
      <c r="G17" s="314">
        <v>2846.71</v>
      </c>
      <c r="H17" s="314">
        <v>3872.1</v>
      </c>
      <c r="I17" s="314">
        <f t="shared" si="1"/>
        <v>1025.3899999999999</v>
      </c>
      <c r="K17" s="314">
        <f t="shared" si="2"/>
        <v>43836.899999999994</v>
      </c>
      <c r="L17" s="473">
        <f t="shared" si="3"/>
        <v>43836.899999999994</v>
      </c>
    </row>
    <row r="18" spans="1:12">
      <c r="A18" s="427">
        <f t="shared" si="4"/>
        <v>9</v>
      </c>
      <c r="B18" s="472">
        <v>5130</v>
      </c>
      <c r="C18" s="314">
        <v>27202.12</v>
      </c>
      <c r="D18" s="314">
        <v>45066.68</v>
      </c>
      <c r="E18" s="314">
        <f t="shared" si="0"/>
        <v>17864.560000000001</v>
      </c>
      <c r="G18" s="314">
        <v>1198.97</v>
      </c>
      <c r="H18" s="314">
        <v>1626.44</v>
      </c>
      <c r="I18" s="314">
        <f t="shared" si="1"/>
        <v>427.47</v>
      </c>
      <c r="K18" s="314">
        <f t="shared" si="2"/>
        <v>18292.030000000002</v>
      </c>
      <c r="L18" s="473">
        <f t="shared" si="3"/>
        <v>18292.030000000002</v>
      </c>
    </row>
    <row r="19" spans="1:12">
      <c r="A19" s="427">
        <f t="shared" si="4"/>
        <v>10</v>
      </c>
      <c r="B19" s="472">
        <v>5140</v>
      </c>
      <c r="C19" s="314">
        <v>7378.31</v>
      </c>
      <c r="D19" s="314">
        <v>11682.64</v>
      </c>
      <c r="E19" s="314">
        <f t="shared" si="0"/>
        <v>4304.329999999999</v>
      </c>
      <c r="G19" s="314">
        <v>237.7</v>
      </c>
      <c r="H19" s="314">
        <v>326.81</v>
      </c>
      <c r="I19" s="314">
        <f t="shared" si="1"/>
        <v>89.110000000000014</v>
      </c>
      <c r="K19" s="314">
        <f t="shared" si="2"/>
        <v>4393.4399999999987</v>
      </c>
      <c r="L19" s="473">
        <f t="shared" si="3"/>
        <v>4393.4399999999987</v>
      </c>
    </row>
    <row r="20" spans="1:12">
      <c r="A20" s="427">
        <f t="shared" si="4"/>
        <v>11</v>
      </c>
      <c r="B20" s="472">
        <v>5660</v>
      </c>
      <c r="C20" s="314">
        <v>962.95</v>
      </c>
      <c r="D20" s="314">
        <v>82.78</v>
      </c>
      <c r="E20" s="314">
        <f t="shared" si="0"/>
        <v>-880.17000000000007</v>
      </c>
      <c r="G20" s="314">
        <v>0</v>
      </c>
      <c r="H20" s="314">
        <v>0</v>
      </c>
      <c r="I20" s="314">
        <f t="shared" si="1"/>
        <v>0</v>
      </c>
      <c r="K20" s="314">
        <f t="shared" si="2"/>
        <v>-880.17000000000007</v>
      </c>
      <c r="L20" s="473">
        <f t="shared" si="3"/>
        <v>-880.17000000000007</v>
      </c>
    </row>
    <row r="21" spans="1:12">
      <c r="A21" s="427">
        <f t="shared" si="4"/>
        <v>12</v>
      </c>
      <c r="B21" s="472">
        <v>5710</v>
      </c>
      <c r="C21" s="314">
        <v>-305.89</v>
      </c>
      <c r="D21" s="314">
        <v>-0.45</v>
      </c>
      <c r="E21" s="314">
        <f t="shared" si="0"/>
        <v>305.44</v>
      </c>
      <c r="G21" s="314">
        <v>33.82</v>
      </c>
      <c r="H21" s="314">
        <v>45.73</v>
      </c>
      <c r="I21" s="314">
        <f t="shared" si="1"/>
        <v>11.909999999999997</v>
      </c>
      <c r="K21" s="314">
        <f t="shared" si="2"/>
        <v>317.35000000000002</v>
      </c>
      <c r="L21" s="473">
        <f t="shared" si="3"/>
        <v>317.35000000000002</v>
      </c>
    </row>
    <row r="22" spans="1:12">
      <c r="A22" s="427">
        <f t="shared" si="4"/>
        <v>13</v>
      </c>
      <c r="B22" s="472">
        <v>5800</v>
      </c>
      <c r="C22" s="314">
        <v>7105.64</v>
      </c>
      <c r="D22" s="314">
        <v>14556.27</v>
      </c>
      <c r="E22" s="314">
        <f t="shared" si="0"/>
        <v>7450.63</v>
      </c>
      <c r="G22" s="314">
        <v>1677.36</v>
      </c>
      <c r="H22" s="314">
        <v>2279.25</v>
      </c>
      <c r="I22" s="314">
        <f t="shared" si="1"/>
        <v>601.8900000000001</v>
      </c>
      <c r="K22" s="314">
        <f t="shared" si="2"/>
        <v>8052.52</v>
      </c>
      <c r="L22" s="473">
        <f t="shared" si="3"/>
        <v>8052.52</v>
      </c>
    </row>
    <row r="23" spans="1:12">
      <c r="A23" s="427">
        <f t="shared" si="4"/>
        <v>14</v>
      </c>
      <c r="B23" s="472">
        <v>5830</v>
      </c>
      <c r="C23" s="314">
        <v>23515.09</v>
      </c>
      <c r="D23" s="314">
        <v>48235.48</v>
      </c>
      <c r="E23" s="314">
        <f t="shared" si="0"/>
        <v>24720.390000000003</v>
      </c>
      <c r="G23" s="314">
        <v>4864.07</v>
      </c>
      <c r="H23" s="314">
        <v>6693.79</v>
      </c>
      <c r="I23" s="314">
        <f t="shared" si="1"/>
        <v>1829.7200000000003</v>
      </c>
      <c r="K23" s="314">
        <f t="shared" si="2"/>
        <v>26550.110000000004</v>
      </c>
      <c r="L23" s="473">
        <f t="shared" si="3"/>
        <v>26550.110000000004</v>
      </c>
    </row>
    <row r="24" spans="1:12">
      <c r="A24" s="427">
        <f t="shared" si="4"/>
        <v>15</v>
      </c>
      <c r="B24" s="472">
        <v>5840</v>
      </c>
      <c r="C24" s="314">
        <v>6.13</v>
      </c>
      <c r="D24" s="314">
        <v>5.27</v>
      </c>
      <c r="E24" s="314">
        <f t="shared" si="0"/>
        <v>-0.86000000000000032</v>
      </c>
      <c r="G24" s="314">
        <v>3.03</v>
      </c>
      <c r="H24" s="314">
        <v>4.5199999999999996</v>
      </c>
      <c r="I24" s="314">
        <f t="shared" si="1"/>
        <v>1.4899999999999998</v>
      </c>
      <c r="K24" s="314">
        <f t="shared" si="2"/>
        <v>0.62999999999999945</v>
      </c>
      <c r="L24" s="473">
        <f t="shared" si="3"/>
        <v>0.62999999999999945</v>
      </c>
    </row>
    <row r="25" spans="1:12">
      <c r="A25" s="427">
        <f t="shared" si="4"/>
        <v>16</v>
      </c>
      <c r="B25" s="472">
        <v>5850</v>
      </c>
      <c r="C25" s="314">
        <v>64.900000000000006</v>
      </c>
      <c r="D25" s="314">
        <v>132.1</v>
      </c>
      <c r="E25" s="314">
        <f t="shared" si="0"/>
        <v>67.199999999999989</v>
      </c>
      <c r="G25" s="314">
        <v>13.74</v>
      </c>
      <c r="H25" s="314">
        <v>20.46</v>
      </c>
      <c r="I25" s="314">
        <f t="shared" si="1"/>
        <v>6.7200000000000006</v>
      </c>
      <c r="K25" s="314">
        <f t="shared" si="2"/>
        <v>73.919999999999987</v>
      </c>
      <c r="L25" s="473">
        <f t="shared" si="3"/>
        <v>73.919999999999987</v>
      </c>
    </row>
    <row r="26" spans="1:12">
      <c r="A26" s="427">
        <f t="shared" si="4"/>
        <v>17</v>
      </c>
      <c r="B26" s="472">
        <v>5860</v>
      </c>
      <c r="C26" s="314">
        <v>33537.550000000003</v>
      </c>
      <c r="D26" s="314">
        <v>68836.38</v>
      </c>
      <c r="E26" s="314">
        <f t="shared" si="0"/>
        <v>35298.83</v>
      </c>
      <c r="G26" s="314">
        <v>8147.26</v>
      </c>
      <c r="H26" s="314">
        <v>11177.91</v>
      </c>
      <c r="I26" s="314">
        <f t="shared" si="1"/>
        <v>3030.6499999999996</v>
      </c>
      <c r="K26" s="314">
        <f t="shared" si="2"/>
        <v>38329.480000000003</v>
      </c>
      <c r="L26" s="473">
        <f t="shared" si="3"/>
        <v>38329.480000000003</v>
      </c>
    </row>
    <row r="27" spans="1:12">
      <c r="A27" s="427">
        <f t="shared" si="4"/>
        <v>18</v>
      </c>
      <c r="B27" s="472">
        <v>5870</v>
      </c>
      <c r="C27" s="314">
        <v>4203.21</v>
      </c>
      <c r="D27" s="314">
        <v>8556.15</v>
      </c>
      <c r="E27" s="314">
        <f t="shared" si="0"/>
        <v>4352.9399999999996</v>
      </c>
      <c r="G27" s="314">
        <v>1016.51</v>
      </c>
      <c r="H27" s="314">
        <v>1392.09</v>
      </c>
      <c r="I27" s="314">
        <f t="shared" si="1"/>
        <v>375.57999999999993</v>
      </c>
      <c r="K27" s="314">
        <f t="shared" si="2"/>
        <v>4728.5199999999995</v>
      </c>
      <c r="L27" s="473">
        <f t="shared" si="3"/>
        <v>4728.5199999999995</v>
      </c>
    </row>
    <row r="28" spans="1:12">
      <c r="A28" s="427">
        <f t="shared" si="4"/>
        <v>19</v>
      </c>
      <c r="B28" s="472">
        <v>5880</v>
      </c>
      <c r="C28" s="314">
        <v>68874.320000000007</v>
      </c>
      <c r="D28" s="314">
        <v>138108.70000000001</v>
      </c>
      <c r="E28" s="314">
        <f t="shared" si="0"/>
        <v>69234.38</v>
      </c>
      <c r="G28" s="314">
        <v>17510.39</v>
      </c>
      <c r="H28" s="314">
        <v>23508.03</v>
      </c>
      <c r="I28" s="314">
        <f t="shared" si="1"/>
        <v>5997.6399999999994</v>
      </c>
      <c r="K28" s="314">
        <f t="shared" si="2"/>
        <v>75232.02</v>
      </c>
      <c r="L28" s="473">
        <f t="shared" si="3"/>
        <v>75232.02</v>
      </c>
    </row>
    <row r="29" spans="1:12">
      <c r="A29" s="427">
        <f t="shared" si="4"/>
        <v>20</v>
      </c>
      <c r="B29" s="472">
        <v>5900</v>
      </c>
      <c r="C29" s="314">
        <v>973.6</v>
      </c>
      <c r="D29" s="314">
        <v>2045.64</v>
      </c>
      <c r="E29" s="314">
        <f t="shared" si="0"/>
        <v>1072.04</v>
      </c>
      <c r="G29" s="314">
        <v>248.38</v>
      </c>
      <c r="H29" s="314">
        <v>342.14</v>
      </c>
      <c r="I29" s="314">
        <f t="shared" si="1"/>
        <v>93.759999999999991</v>
      </c>
      <c r="K29" s="314">
        <f t="shared" si="2"/>
        <v>1165.8</v>
      </c>
      <c r="L29" s="473">
        <f t="shared" si="3"/>
        <v>1165.8</v>
      </c>
    </row>
    <row r="30" spans="1:12">
      <c r="A30" s="427">
        <f t="shared" si="4"/>
        <v>21</v>
      </c>
      <c r="B30" s="472">
        <v>5920</v>
      </c>
      <c r="C30" s="314">
        <v>75.180000000000007</v>
      </c>
      <c r="D30" s="314">
        <v>23.78</v>
      </c>
      <c r="E30" s="314">
        <f t="shared" si="0"/>
        <v>-51.400000000000006</v>
      </c>
      <c r="G30" s="314">
        <v>2.2999999999999998</v>
      </c>
      <c r="H30" s="314">
        <v>3.42</v>
      </c>
      <c r="I30" s="314">
        <f t="shared" si="1"/>
        <v>1.1200000000000001</v>
      </c>
      <c r="K30" s="314">
        <f t="shared" si="2"/>
        <v>-50.280000000000008</v>
      </c>
      <c r="L30" s="473">
        <f t="shared" si="3"/>
        <v>-50.280000000000008</v>
      </c>
    </row>
    <row r="31" spans="1:12">
      <c r="A31" s="427">
        <f t="shared" si="4"/>
        <v>22</v>
      </c>
      <c r="B31" s="472">
        <v>5930</v>
      </c>
      <c r="C31" s="314">
        <v>256225.43</v>
      </c>
      <c r="D31" s="314">
        <v>516329.76</v>
      </c>
      <c r="E31" s="314">
        <f t="shared" si="0"/>
        <v>260104.33000000002</v>
      </c>
      <c r="G31" s="314">
        <v>68567.740000000005</v>
      </c>
      <c r="H31" s="314">
        <v>92368.28</v>
      </c>
      <c r="I31" s="314">
        <f t="shared" si="1"/>
        <v>23800.539999999994</v>
      </c>
      <c r="K31" s="314">
        <f t="shared" si="2"/>
        <v>283904.87</v>
      </c>
      <c r="L31" s="473">
        <f t="shared" si="3"/>
        <v>283904.87</v>
      </c>
    </row>
    <row r="32" spans="1:12">
      <c r="A32" s="427">
        <f t="shared" si="4"/>
        <v>23</v>
      </c>
      <c r="B32" s="472">
        <v>5940</v>
      </c>
      <c r="C32" s="314">
        <v>121.65</v>
      </c>
      <c r="D32" s="314">
        <v>253.2</v>
      </c>
      <c r="E32" s="314">
        <f t="shared" si="0"/>
        <v>131.54999999999998</v>
      </c>
      <c r="G32" s="314">
        <v>62.22</v>
      </c>
      <c r="H32" s="314">
        <v>83.23</v>
      </c>
      <c r="I32" s="314">
        <f t="shared" si="1"/>
        <v>21.010000000000005</v>
      </c>
      <c r="K32" s="314">
        <f t="shared" si="2"/>
        <v>152.56</v>
      </c>
      <c r="L32" s="473">
        <f t="shared" si="3"/>
        <v>152.56</v>
      </c>
    </row>
    <row r="33" spans="1:12">
      <c r="A33" s="427">
        <f t="shared" si="4"/>
        <v>24</v>
      </c>
      <c r="B33" s="472">
        <v>5950</v>
      </c>
      <c r="C33" s="314">
        <v>88.23</v>
      </c>
      <c r="D33" s="314">
        <v>177.37</v>
      </c>
      <c r="E33" s="314">
        <f t="shared" si="0"/>
        <v>89.14</v>
      </c>
      <c r="G33" s="314">
        <v>18.010000000000002</v>
      </c>
      <c r="H33" s="314">
        <v>26.81</v>
      </c>
      <c r="I33" s="314">
        <f t="shared" si="1"/>
        <v>8.7999999999999972</v>
      </c>
      <c r="K33" s="314">
        <f t="shared" si="2"/>
        <v>97.94</v>
      </c>
      <c r="L33" s="473">
        <f t="shared" si="3"/>
        <v>97.94</v>
      </c>
    </row>
    <row r="34" spans="1:12">
      <c r="A34" s="427">
        <f t="shared" si="4"/>
        <v>25</v>
      </c>
      <c r="B34" s="472">
        <v>5960</v>
      </c>
      <c r="C34" s="314">
        <v>73.37</v>
      </c>
      <c r="D34" s="314">
        <v>151.86000000000001</v>
      </c>
      <c r="E34" s="314">
        <f t="shared" si="0"/>
        <v>78.490000000000009</v>
      </c>
      <c r="G34" s="314">
        <v>16.66</v>
      </c>
      <c r="H34" s="314">
        <v>23.85</v>
      </c>
      <c r="I34" s="314">
        <f t="shared" si="1"/>
        <v>7.1900000000000013</v>
      </c>
      <c r="K34" s="314">
        <f t="shared" si="2"/>
        <v>85.68</v>
      </c>
      <c r="L34" s="473">
        <f t="shared" si="3"/>
        <v>85.68</v>
      </c>
    </row>
    <row r="35" spans="1:12">
      <c r="A35" s="427">
        <f t="shared" si="4"/>
        <v>26</v>
      </c>
      <c r="B35" s="472">
        <v>5970</v>
      </c>
      <c r="C35" s="314">
        <v>1327.96</v>
      </c>
      <c r="D35" s="314">
        <v>2741.89</v>
      </c>
      <c r="E35" s="314">
        <f t="shared" si="0"/>
        <v>1413.9299999999998</v>
      </c>
      <c r="G35" s="314">
        <v>252.17</v>
      </c>
      <c r="H35" s="314">
        <v>361.05</v>
      </c>
      <c r="I35" s="314">
        <f t="shared" si="1"/>
        <v>108.88000000000002</v>
      </c>
      <c r="K35" s="314">
        <f t="shared" si="2"/>
        <v>1522.81</v>
      </c>
      <c r="L35" s="473">
        <f t="shared" si="3"/>
        <v>1522.81</v>
      </c>
    </row>
    <row r="36" spans="1:12">
      <c r="A36" s="427">
        <f t="shared" si="4"/>
        <v>27</v>
      </c>
      <c r="B36" s="472">
        <v>5980</v>
      </c>
      <c r="C36" s="314">
        <v>8.5</v>
      </c>
      <c r="D36" s="314">
        <v>17.98</v>
      </c>
      <c r="E36" s="314">
        <f t="shared" si="0"/>
        <v>9.48</v>
      </c>
      <c r="G36" s="314">
        <v>0.97</v>
      </c>
      <c r="H36" s="314">
        <v>1.45</v>
      </c>
      <c r="I36" s="314">
        <f t="shared" si="1"/>
        <v>0.48</v>
      </c>
      <c r="K36" s="314">
        <f t="shared" si="2"/>
        <v>9.9600000000000009</v>
      </c>
      <c r="L36" s="473">
        <f t="shared" si="3"/>
        <v>9.9600000000000009</v>
      </c>
    </row>
    <row r="37" spans="1:12">
      <c r="A37" s="427">
        <f t="shared" si="4"/>
        <v>28</v>
      </c>
      <c r="B37" s="472">
        <v>9020</v>
      </c>
      <c r="C37" s="314">
        <v>5831.51</v>
      </c>
      <c r="D37" s="314">
        <v>12148.76</v>
      </c>
      <c r="E37" s="314">
        <f t="shared" si="0"/>
        <v>6317.25</v>
      </c>
      <c r="G37" s="314">
        <v>1604.28</v>
      </c>
      <c r="H37" s="314">
        <v>2178.96</v>
      </c>
      <c r="I37" s="314">
        <f t="shared" si="1"/>
        <v>574.68000000000006</v>
      </c>
      <c r="K37" s="314">
        <f t="shared" si="2"/>
        <v>6891.93</v>
      </c>
      <c r="L37" s="473">
        <f t="shared" si="3"/>
        <v>6891.93</v>
      </c>
    </row>
    <row r="38" spans="1:12">
      <c r="A38" s="427">
        <f t="shared" si="4"/>
        <v>29</v>
      </c>
      <c r="B38" s="472">
        <v>9030</v>
      </c>
      <c r="C38" s="314">
        <v>19989.25</v>
      </c>
      <c r="D38" s="314">
        <v>41016.17</v>
      </c>
      <c r="E38" s="314">
        <f t="shared" si="0"/>
        <v>21026.92</v>
      </c>
      <c r="G38" s="314">
        <v>4566.16</v>
      </c>
      <c r="H38" s="314">
        <v>6171.32</v>
      </c>
      <c r="I38" s="314">
        <f t="shared" si="1"/>
        <v>1605.1599999999999</v>
      </c>
      <c r="K38" s="314">
        <f t="shared" si="2"/>
        <v>22632.079999999998</v>
      </c>
      <c r="L38" s="473">
        <f t="shared" si="3"/>
        <v>22632.079999999998</v>
      </c>
    </row>
    <row r="39" spans="1:12">
      <c r="A39" s="427">
        <f t="shared" si="4"/>
        <v>30</v>
      </c>
      <c r="B39" s="472">
        <v>9070</v>
      </c>
      <c r="C39" s="314">
        <v>492.92</v>
      </c>
      <c r="D39" s="314">
        <v>982.46</v>
      </c>
      <c r="E39" s="314">
        <f t="shared" si="0"/>
        <v>489.54</v>
      </c>
      <c r="G39" s="314">
        <v>123.51</v>
      </c>
      <c r="H39" s="314">
        <v>166.07</v>
      </c>
      <c r="I39" s="314">
        <f t="shared" si="1"/>
        <v>42.559999999999988</v>
      </c>
      <c r="K39" s="314">
        <f t="shared" si="2"/>
        <v>532.1</v>
      </c>
      <c r="L39" s="473">
        <f t="shared" si="3"/>
        <v>532.1</v>
      </c>
    </row>
    <row r="40" spans="1:12">
      <c r="A40" s="427">
        <f t="shared" si="4"/>
        <v>31</v>
      </c>
      <c r="B40" s="472">
        <v>9080</v>
      </c>
      <c r="C40" s="314">
        <v>6923.6</v>
      </c>
      <c r="D40" s="314">
        <v>14123.25</v>
      </c>
      <c r="E40" s="314">
        <f t="shared" si="0"/>
        <v>7199.65</v>
      </c>
      <c r="G40" s="314">
        <v>1861.63</v>
      </c>
      <c r="H40" s="314">
        <v>2518.61</v>
      </c>
      <c r="I40" s="314">
        <f t="shared" si="1"/>
        <v>656.98</v>
      </c>
      <c r="K40" s="314">
        <f t="shared" si="2"/>
        <v>7856.6299999999992</v>
      </c>
      <c r="L40" s="473">
        <f t="shared" si="3"/>
        <v>7856.6299999999992</v>
      </c>
    </row>
    <row r="41" spans="1:12">
      <c r="A41" s="427">
        <f t="shared" si="4"/>
        <v>32</v>
      </c>
      <c r="B41" s="472">
        <v>9200</v>
      </c>
      <c r="C41" s="314">
        <v>91415.19</v>
      </c>
      <c r="D41" s="314">
        <v>188411.03</v>
      </c>
      <c r="E41" s="314">
        <f t="shared" si="0"/>
        <v>96995.839999999997</v>
      </c>
      <c r="G41" s="314">
        <v>22969.34</v>
      </c>
      <c r="H41" s="314">
        <v>31034.58</v>
      </c>
      <c r="I41" s="314">
        <f t="shared" si="1"/>
        <v>8065.2400000000016</v>
      </c>
      <c r="K41" s="314">
        <f t="shared" si="2"/>
        <v>105061.08</v>
      </c>
      <c r="L41" s="473">
        <f t="shared" si="3"/>
        <v>105061.08</v>
      </c>
    </row>
    <row r="42" spans="1:12">
      <c r="A42" s="427">
        <f t="shared" si="4"/>
        <v>33</v>
      </c>
      <c r="B42" s="472">
        <v>9220</v>
      </c>
      <c r="C42" s="314">
        <v>-4.6500000000000004</v>
      </c>
      <c r="D42" s="314">
        <v>-9.92</v>
      </c>
      <c r="E42" s="314">
        <f t="shared" si="0"/>
        <v>-5.27</v>
      </c>
      <c r="G42" s="314">
        <v>0</v>
      </c>
      <c r="H42" s="314">
        <v>0</v>
      </c>
      <c r="I42" s="314">
        <f t="shared" si="1"/>
        <v>0</v>
      </c>
      <c r="K42" s="314">
        <f t="shared" si="2"/>
        <v>-5.27</v>
      </c>
      <c r="L42" s="473">
        <f t="shared" si="3"/>
        <v>-5.27</v>
      </c>
    </row>
    <row r="43" spans="1:12">
      <c r="A43" s="427">
        <f t="shared" si="4"/>
        <v>34</v>
      </c>
      <c r="B43" s="472">
        <v>9280</v>
      </c>
      <c r="C43" s="314">
        <v>4869.12</v>
      </c>
      <c r="D43" s="314">
        <v>9832.86</v>
      </c>
      <c r="E43" s="314">
        <f t="shared" si="0"/>
        <v>4963.7400000000007</v>
      </c>
      <c r="G43" s="314">
        <v>1062.33</v>
      </c>
      <c r="H43" s="314">
        <v>1432.46</v>
      </c>
      <c r="I43" s="314">
        <f t="shared" si="1"/>
        <v>370.13000000000011</v>
      </c>
      <c r="K43" s="314">
        <f t="shared" si="2"/>
        <v>5333.8700000000008</v>
      </c>
      <c r="L43" s="473">
        <f t="shared" si="3"/>
        <v>5333.8700000000008</v>
      </c>
    </row>
    <row r="44" spans="1:12">
      <c r="A44" s="427">
        <f t="shared" si="4"/>
        <v>35</v>
      </c>
      <c r="B44" s="472">
        <v>9302</v>
      </c>
      <c r="C44" s="314">
        <v>659.91</v>
      </c>
      <c r="D44" s="314">
        <v>299.56</v>
      </c>
      <c r="E44" s="314">
        <f t="shared" si="0"/>
        <v>-360.34999999999997</v>
      </c>
      <c r="G44" s="314">
        <v>58.74</v>
      </c>
      <c r="H44" s="314">
        <v>84.79</v>
      </c>
      <c r="I44" s="314">
        <f t="shared" si="1"/>
        <v>26.050000000000004</v>
      </c>
      <c r="K44" s="314">
        <f t="shared" si="2"/>
        <v>-334.29999999999995</v>
      </c>
      <c r="L44" s="473">
        <f t="shared" si="3"/>
        <v>-334.29999999999995</v>
      </c>
    </row>
    <row r="45" spans="1:12">
      <c r="A45" s="427">
        <f t="shared" si="4"/>
        <v>36</v>
      </c>
      <c r="B45" s="472">
        <v>9350</v>
      </c>
      <c r="C45" s="314">
        <v>23443.78</v>
      </c>
      <c r="D45" s="314">
        <v>581.09</v>
      </c>
      <c r="E45" s="314">
        <f t="shared" si="0"/>
        <v>-22862.69</v>
      </c>
      <c r="G45" s="314">
        <v>1805.34</v>
      </c>
      <c r="H45" s="314">
        <v>2486.92</v>
      </c>
      <c r="I45" s="314">
        <f t="shared" si="1"/>
        <v>681.58000000000015</v>
      </c>
      <c r="K45" s="314">
        <f t="shared" si="2"/>
        <v>-22181.109999999997</v>
      </c>
      <c r="L45" s="473">
        <f t="shared" si="3"/>
        <v>-22181.109999999997</v>
      </c>
    </row>
    <row r="46" spans="1:12" ht="13.5" thickBot="1">
      <c r="A46" s="427">
        <f t="shared" si="4"/>
        <v>37</v>
      </c>
      <c r="B46" s="474" t="s">
        <v>108</v>
      </c>
      <c r="C46" s="475">
        <f>SUM(C10:C45)</f>
        <v>978954.45000000007</v>
      </c>
      <c r="D46" s="475">
        <f>SUM(D10:D45)</f>
        <v>1761459.2100000007</v>
      </c>
      <c r="E46" s="475">
        <f>SUM(E10:E45)</f>
        <v>782504.76000000024</v>
      </c>
      <c r="G46" s="475">
        <f>SUM(G10:G45)</f>
        <v>153862.72999999998</v>
      </c>
      <c r="H46" s="475">
        <f>SUM(H10:H45)</f>
        <v>207954.17</v>
      </c>
      <c r="I46" s="475">
        <f>SUM(I10:I45)</f>
        <v>54091.439999999995</v>
      </c>
      <c r="K46" s="475">
        <f>SUM(K10:K45)</f>
        <v>836596.2</v>
      </c>
      <c r="L46" s="476">
        <f>SUM(L10:L45)</f>
        <v>836596.2</v>
      </c>
    </row>
    <row r="47" spans="1:12" ht="13.5" thickTop="1">
      <c r="G47" s="315"/>
    </row>
    <row r="48" spans="1:12">
      <c r="A48" s="427">
        <f>1+A46</f>
        <v>38</v>
      </c>
      <c r="B48" s="877" t="s">
        <v>820</v>
      </c>
      <c r="C48" s="872"/>
      <c r="D48" s="872"/>
      <c r="E48" s="872"/>
      <c r="G48" s="315"/>
    </row>
    <row r="49" spans="1:7">
      <c r="G49" s="315"/>
    </row>
    <row r="50" spans="1:7">
      <c r="A50" s="443" t="s">
        <v>33</v>
      </c>
      <c r="B50" s="194" t="s">
        <v>590</v>
      </c>
      <c r="G50" s="315"/>
    </row>
    <row r="51" spans="1:7">
      <c r="G51" s="315"/>
    </row>
    <row r="52" spans="1:7">
      <c r="G52" s="270"/>
    </row>
  </sheetData>
  <mergeCells count="15">
    <mergeCell ref="G7:G8"/>
    <mergeCell ref="H7:H8"/>
    <mergeCell ref="I7:I8"/>
    <mergeCell ref="K7:K8"/>
    <mergeCell ref="B48:E48"/>
    <mergeCell ref="K1:M1"/>
    <mergeCell ref="B2:L2"/>
    <mergeCell ref="B3:L3"/>
    <mergeCell ref="B4:L4"/>
    <mergeCell ref="B5:L5"/>
    <mergeCell ref="A7:A8"/>
    <mergeCell ref="B7:B8"/>
    <mergeCell ref="C7:C8"/>
    <mergeCell ref="D7:D8"/>
    <mergeCell ref="E7:E8"/>
  </mergeCells>
  <pageMargins left="0.75" right="0.75" top="1" bottom="1" header="0.5" footer="0.5"/>
  <pageSetup scale="5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1257-F1E4-434C-B44E-F3E106F51BEE}">
  <sheetPr>
    <pageSetUpPr fitToPage="1"/>
  </sheetPr>
  <dimension ref="A2:K53"/>
  <sheetViews>
    <sheetView zoomScaleNormal="100" workbookViewId="0">
      <pane xSplit="1" ySplit="8" topLeftCell="B9" activePane="bottomRight" state="frozen"/>
      <selection activeCell="H63" sqref="H63"/>
      <selection pane="topRight" activeCell="H63" sqref="H63"/>
      <selection pane="bottomLeft" activeCell="H63" sqref="H63"/>
      <selection pane="bottomRight"/>
    </sheetView>
  </sheetViews>
  <sheetFormatPr defaultColWidth="13.7265625" defaultRowHeight="13"/>
  <cols>
    <col min="1" max="1" width="7.81640625" style="89" bestFit="1" customWidth="1"/>
    <col min="2" max="3" width="12.453125" style="89" bestFit="1" customWidth="1"/>
    <col min="4" max="4" width="18.26953125" style="89" customWidth="1"/>
    <col min="5" max="5" width="31.7265625" style="89" bestFit="1" customWidth="1"/>
    <col min="6" max="6" width="2.1796875" style="89" customWidth="1"/>
    <col min="7" max="7" width="29" style="89" bestFit="1" customWidth="1"/>
    <col min="8" max="8" width="28.26953125" style="89" bestFit="1" customWidth="1"/>
    <col min="9" max="9" width="24.7265625" style="89" bestFit="1" customWidth="1"/>
    <col min="10" max="10" width="14.1796875" style="1" bestFit="1" customWidth="1"/>
    <col min="11" max="11" width="12.54296875" style="89" customWidth="1"/>
    <col min="12" max="16384" width="13.7265625" style="89"/>
  </cols>
  <sheetData>
    <row r="2" spans="1:11">
      <c r="A2" s="843" t="s">
        <v>0</v>
      </c>
      <c r="B2" s="876"/>
      <c r="C2" s="876"/>
      <c r="D2" s="876"/>
      <c r="E2" s="876"/>
      <c r="F2" s="876"/>
      <c r="G2" s="876"/>
      <c r="H2" s="876"/>
      <c r="I2" s="876"/>
      <c r="J2" s="876"/>
    </row>
    <row r="3" spans="1:11">
      <c r="A3" s="843" t="s">
        <v>371</v>
      </c>
      <c r="B3" s="876"/>
      <c r="C3" s="876"/>
      <c r="D3" s="876"/>
      <c r="E3" s="876"/>
      <c r="F3" s="876"/>
      <c r="G3" s="876"/>
      <c r="H3" s="876"/>
      <c r="I3" s="876"/>
      <c r="J3" s="876"/>
    </row>
    <row r="4" spans="1:11">
      <c r="A4" s="843" t="s">
        <v>591</v>
      </c>
      <c r="B4" s="876"/>
      <c r="C4" s="876"/>
      <c r="D4" s="876"/>
      <c r="E4" s="876"/>
      <c r="F4" s="876"/>
      <c r="G4" s="876"/>
      <c r="H4" s="876"/>
      <c r="I4" s="876"/>
      <c r="J4" s="876"/>
    </row>
    <row r="5" spans="1:11">
      <c r="A5" s="843" t="s">
        <v>497</v>
      </c>
      <c r="B5" s="876"/>
      <c r="C5" s="876"/>
      <c r="D5" s="876"/>
      <c r="E5" s="876"/>
      <c r="F5" s="876"/>
      <c r="G5" s="876"/>
      <c r="H5" s="876"/>
      <c r="I5" s="876"/>
      <c r="J5" s="876"/>
    </row>
    <row r="7" spans="1:11" ht="26">
      <c r="A7" s="871" t="s">
        <v>10</v>
      </c>
      <c r="B7" s="873" t="s">
        <v>54</v>
      </c>
      <c r="C7" s="873" t="s">
        <v>112</v>
      </c>
      <c r="D7" s="873" t="s">
        <v>821</v>
      </c>
      <c r="E7" s="873" t="s">
        <v>822</v>
      </c>
      <c r="F7" s="466"/>
      <c r="G7" s="873" t="s">
        <v>823</v>
      </c>
      <c r="H7" s="873" t="s">
        <v>113</v>
      </c>
      <c r="I7" s="873" t="s">
        <v>114</v>
      </c>
      <c r="J7" s="467" t="s">
        <v>98</v>
      </c>
      <c r="K7" s="468"/>
    </row>
    <row r="8" spans="1:11">
      <c r="A8" s="872"/>
      <c r="B8" s="874"/>
      <c r="C8" s="874"/>
      <c r="D8" s="874"/>
      <c r="E8" s="874"/>
      <c r="F8" s="466"/>
      <c r="G8" s="874"/>
      <c r="H8" s="874"/>
      <c r="I8" s="874"/>
      <c r="J8" s="478">
        <v>1</v>
      </c>
      <c r="K8" s="468"/>
    </row>
    <row r="9" spans="1:11">
      <c r="B9" s="470" t="s">
        <v>99</v>
      </c>
      <c r="C9" s="470" t="s">
        <v>100</v>
      </c>
      <c r="D9" s="470" t="s">
        <v>101</v>
      </c>
      <c r="E9" s="470" t="s">
        <v>102</v>
      </c>
      <c r="G9" s="470" t="s">
        <v>103</v>
      </c>
      <c r="H9" s="470" t="s">
        <v>104</v>
      </c>
      <c r="I9" s="470" t="s">
        <v>105</v>
      </c>
      <c r="J9" s="471" t="s">
        <v>106</v>
      </c>
    </row>
    <row r="10" spans="1:11">
      <c r="A10" s="427">
        <v>1</v>
      </c>
      <c r="B10" s="472">
        <v>5000</v>
      </c>
      <c r="C10" s="314">
        <v>1195313.54</v>
      </c>
      <c r="D10" s="314">
        <v>1298646.0900000001</v>
      </c>
      <c r="E10" s="314">
        <f t="shared" ref="E10:E46" si="0">D10-C10</f>
        <v>103332.55000000005</v>
      </c>
      <c r="G10" s="314">
        <v>1331112.25</v>
      </c>
      <c r="H10" s="314">
        <v>32466.15</v>
      </c>
      <c r="I10" s="314">
        <v>135798.71</v>
      </c>
      <c r="J10" s="473">
        <f t="shared" ref="J10:J46" si="1">I10*J$8</f>
        <v>135798.71</v>
      </c>
    </row>
    <row r="11" spans="1:11">
      <c r="A11" s="427">
        <f t="shared" ref="A11:A19" si="2">A10+1</f>
        <v>2</v>
      </c>
      <c r="B11" s="472">
        <v>5010</v>
      </c>
      <c r="C11" s="314">
        <v>2177193.36</v>
      </c>
      <c r="D11" s="314">
        <v>2365407.54</v>
      </c>
      <c r="E11" s="314">
        <f t="shared" si="0"/>
        <v>188214.18000000017</v>
      </c>
      <c r="G11" s="314">
        <v>2424542.73</v>
      </c>
      <c r="H11" s="314">
        <v>59135.19</v>
      </c>
      <c r="I11" s="314">
        <v>247349.37</v>
      </c>
      <c r="J11" s="473">
        <f t="shared" si="1"/>
        <v>247349.37</v>
      </c>
    </row>
    <row r="12" spans="1:11">
      <c r="A12" s="427">
        <f t="shared" si="2"/>
        <v>3</v>
      </c>
      <c r="B12" s="472">
        <v>5020</v>
      </c>
      <c r="C12" s="314">
        <v>1305890.46</v>
      </c>
      <c r="D12" s="314">
        <v>1418782.18</v>
      </c>
      <c r="E12" s="314">
        <f t="shared" si="0"/>
        <v>112891.71999999997</v>
      </c>
      <c r="G12" s="314">
        <v>1454251.74</v>
      </c>
      <c r="H12" s="314">
        <v>35469.550000000003</v>
      </c>
      <c r="I12" s="314">
        <v>148361.26999999999</v>
      </c>
      <c r="J12" s="473">
        <f t="shared" si="1"/>
        <v>148361.26999999999</v>
      </c>
    </row>
    <row r="13" spans="1:11">
      <c r="A13" s="427">
        <f t="shared" si="2"/>
        <v>4</v>
      </c>
      <c r="B13" s="472">
        <v>5050</v>
      </c>
      <c r="C13" s="314">
        <v>46965.22</v>
      </c>
      <c r="D13" s="314">
        <v>51025.27</v>
      </c>
      <c r="E13" s="314">
        <f t="shared" si="0"/>
        <v>4060.0499999999956</v>
      </c>
      <c r="G13" s="314">
        <v>52300.9</v>
      </c>
      <c r="H13" s="314">
        <v>1275.6300000000001</v>
      </c>
      <c r="I13" s="314">
        <v>5335.68</v>
      </c>
      <c r="J13" s="473">
        <f t="shared" si="1"/>
        <v>5335.68</v>
      </c>
    </row>
    <row r="14" spans="1:11">
      <c r="A14" s="427">
        <f t="shared" si="2"/>
        <v>5</v>
      </c>
      <c r="B14" s="472">
        <v>5060</v>
      </c>
      <c r="C14" s="314">
        <v>1307134.1299999999</v>
      </c>
      <c r="D14" s="314">
        <v>1420133.37</v>
      </c>
      <c r="E14" s="314">
        <f t="shared" si="0"/>
        <v>112999.24000000022</v>
      </c>
      <c r="G14" s="314">
        <v>1455636.7</v>
      </c>
      <c r="H14" s="314">
        <v>35503.33</v>
      </c>
      <c r="I14" s="314">
        <v>148502.57</v>
      </c>
      <c r="J14" s="473">
        <f t="shared" si="1"/>
        <v>148502.57</v>
      </c>
    </row>
    <row r="15" spans="1:11">
      <c r="A15" s="427">
        <f t="shared" si="2"/>
        <v>6</v>
      </c>
      <c r="B15" s="472">
        <v>5100</v>
      </c>
      <c r="C15" s="314">
        <v>1025018.59</v>
      </c>
      <c r="D15" s="314">
        <v>1113629.48</v>
      </c>
      <c r="E15" s="314">
        <f t="shared" si="0"/>
        <v>88610.890000000014</v>
      </c>
      <c r="G15" s="314">
        <v>1141470.21</v>
      </c>
      <c r="H15" s="314">
        <v>27840.74</v>
      </c>
      <c r="I15" s="314">
        <v>116451.62</v>
      </c>
      <c r="J15" s="473">
        <f t="shared" si="1"/>
        <v>116451.62</v>
      </c>
    </row>
    <row r="16" spans="1:11">
      <c r="A16" s="427">
        <f t="shared" si="2"/>
        <v>7</v>
      </c>
      <c r="B16" s="472">
        <v>5110</v>
      </c>
      <c r="C16" s="314">
        <v>117693.72</v>
      </c>
      <c r="D16" s="314">
        <v>127868.11</v>
      </c>
      <c r="E16" s="314">
        <f t="shared" si="0"/>
        <v>10174.39</v>
      </c>
      <c r="G16" s="314">
        <v>131064.81</v>
      </c>
      <c r="H16" s="314">
        <v>3196.7</v>
      </c>
      <c r="I16" s="314">
        <v>13371.1</v>
      </c>
      <c r="J16" s="473">
        <f t="shared" si="1"/>
        <v>13371.1</v>
      </c>
    </row>
    <row r="17" spans="1:10">
      <c r="A17" s="427">
        <f t="shared" si="2"/>
        <v>8</v>
      </c>
      <c r="B17" s="472">
        <v>5120</v>
      </c>
      <c r="C17" s="314">
        <v>1411551.52</v>
      </c>
      <c r="D17" s="314">
        <v>1533577.43</v>
      </c>
      <c r="E17" s="314">
        <f t="shared" si="0"/>
        <v>122025.90999999992</v>
      </c>
      <c r="G17" s="314">
        <v>1571916.86</v>
      </c>
      <c r="H17" s="314">
        <v>38339.440000000002</v>
      </c>
      <c r="I17" s="314">
        <v>160365.35</v>
      </c>
      <c r="J17" s="473">
        <f t="shared" si="1"/>
        <v>160365.35</v>
      </c>
    </row>
    <row r="18" spans="1:10">
      <c r="A18" s="427">
        <f t="shared" si="2"/>
        <v>9</v>
      </c>
      <c r="B18" s="472">
        <v>5130</v>
      </c>
      <c r="C18" s="314">
        <v>598235.18000000005</v>
      </c>
      <c r="D18" s="314">
        <v>649951.46</v>
      </c>
      <c r="E18" s="314">
        <f t="shared" si="0"/>
        <v>51716.279999999912</v>
      </c>
      <c r="G18" s="314">
        <v>666200.24</v>
      </c>
      <c r="H18" s="314">
        <v>16248.79</v>
      </c>
      <c r="I18" s="314">
        <v>67965.070000000007</v>
      </c>
      <c r="J18" s="473">
        <f t="shared" si="1"/>
        <v>67965.070000000007</v>
      </c>
    </row>
    <row r="19" spans="1:10">
      <c r="A19" s="427">
        <f t="shared" si="2"/>
        <v>10</v>
      </c>
      <c r="B19" s="472">
        <v>5140</v>
      </c>
      <c r="C19" s="314">
        <v>109934.2</v>
      </c>
      <c r="D19" s="314">
        <v>119437.8</v>
      </c>
      <c r="E19" s="314">
        <f t="shared" si="0"/>
        <v>9503.6000000000058</v>
      </c>
      <c r="G19" s="314">
        <v>122423.74</v>
      </c>
      <c r="H19" s="314">
        <v>2985.94</v>
      </c>
      <c r="I19" s="314">
        <v>12489.55</v>
      </c>
      <c r="J19" s="473">
        <f t="shared" si="1"/>
        <v>12489.55</v>
      </c>
    </row>
    <row r="20" spans="1:10">
      <c r="A20" s="427">
        <v>11</v>
      </c>
      <c r="B20" s="472">
        <v>5600</v>
      </c>
      <c r="C20" s="314">
        <v>-9252.65</v>
      </c>
      <c r="D20" s="314">
        <v>-10052.530000000001</v>
      </c>
      <c r="E20" s="314">
        <f t="shared" si="0"/>
        <v>-799.88000000000102</v>
      </c>
      <c r="G20" s="314">
        <v>-10303.84</v>
      </c>
      <c r="H20" s="314">
        <v>-251.31</v>
      </c>
      <c r="I20" s="314">
        <v>-1051.19</v>
      </c>
      <c r="J20" s="473">
        <f t="shared" si="1"/>
        <v>-1051.19</v>
      </c>
    </row>
    <row r="21" spans="1:10">
      <c r="A21" s="427">
        <v>12</v>
      </c>
      <c r="B21" s="472">
        <v>5660</v>
      </c>
      <c r="C21" s="314">
        <v>37089.54</v>
      </c>
      <c r="D21" s="314">
        <v>40295.86</v>
      </c>
      <c r="E21" s="314">
        <f t="shared" si="0"/>
        <v>3206.3199999999997</v>
      </c>
      <c r="G21" s="314">
        <v>41303.25</v>
      </c>
      <c r="H21" s="314">
        <v>1007.4</v>
      </c>
      <c r="I21" s="314">
        <v>4213.72</v>
      </c>
      <c r="J21" s="473">
        <f t="shared" si="1"/>
        <v>4213.72</v>
      </c>
    </row>
    <row r="22" spans="1:10">
      <c r="A22" s="427">
        <v>13</v>
      </c>
      <c r="B22" s="472">
        <v>5710</v>
      </c>
      <c r="C22" s="314">
        <v>1303.69</v>
      </c>
      <c r="D22" s="314">
        <v>1416.39</v>
      </c>
      <c r="E22" s="314">
        <f t="shared" si="0"/>
        <v>112.70000000000005</v>
      </c>
      <c r="G22" s="314">
        <v>1451.8</v>
      </c>
      <c r="H22" s="314">
        <v>35.409999999999997</v>
      </c>
      <c r="I22" s="314">
        <v>148.11000000000001</v>
      </c>
      <c r="J22" s="473">
        <f t="shared" si="1"/>
        <v>148.11000000000001</v>
      </c>
    </row>
    <row r="23" spans="1:10">
      <c r="A23" s="427">
        <f t="shared" ref="A23:A42" si="3">A22+1</f>
        <v>14</v>
      </c>
      <c r="B23" s="472">
        <v>5800</v>
      </c>
      <c r="C23" s="314">
        <v>176958.22</v>
      </c>
      <c r="D23" s="314">
        <v>192255.91</v>
      </c>
      <c r="E23" s="314">
        <f t="shared" si="0"/>
        <v>15297.690000000002</v>
      </c>
      <c r="G23" s="314">
        <v>197062.31</v>
      </c>
      <c r="H23" s="314">
        <v>4806.3999999999996</v>
      </c>
      <c r="I23" s="314">
        <v>20104.099999999999</v>
      </c>
      <c r="J23" s="473">
        <f t="shared" si="1"/>
        <v>20104.099999999999</v>
      </c>
    </row>
    <row r="24" spans="1:10">
      <c r="A24" s="427">
        <f t="shared" si="3"/>
        <v>15</v>
      </c>
      <c r="B24" s="472">
        <v>5830</v>
      </c>
      <c r="C24" s="314">
        <v>-25004.85</v>
      </c>
      <c r="D24" s="314">
        <v>-27166.47</v>
      </c>
      <c r="E24" s="314">
        <f t="shared" si="0"/>
        <v>-2161.6200000000026</v>
      </c>
      <c r="G24" s="314">
        <v>-27845.63</v>
      </c>
      <c r="H24" s="314">
        <v>-679.16</v>
      </c>
      <c r="I24" s="314">
        <v>-2840.78</v>
      </c>
      <c r="J24" s="473">
        <f t="shared" si="1"/>
        <v>-2840.78</v>
      </c>
    </row>
    <row r="25" spans="1:10">
      <c r="A25" s="427">
        <f t="shared" si="3"/>
        <v>16</v>
      </c>
      <c r="B25" s="472">
        <v>5840</v>
      </c>
      <c r="C25" s="314">
        <v>641.6</v>
      </c>
      <c r="D25" s="314">
        <v>697.07</v>
      </c>
      <c r="E25" s="314">
        <f t="shared" si="0"/>
        <v>55.470000000000027</v>
      </c>
      <c r="G25" s="314">
        <v>714.49</v>
      </c>
      <c r="H25" s="314">
        <v>17.43</v>
      </c>
      <c r="I25" s="314">
        <v>72.89</v>
      </c>
      <c r="J25" s="473">
        <f t="shared" si="1"/>
        <v>72.89</v>
      </c>
    </row>
    <row r="26" spans="1:10">
      <c r="A26" s="427">
        <f t="shared" si="3"/>
        <v>17</v>
      </c>
      <c r="B26" s="472">
        <v>5850</v>
      </c>
      <c r="C26" s="314">
        <v>3438.5</v>
      </c>
      <c r="D26" s="314">
        <v>3735.75</v>
      </c>
      <c r="E26" s="314">
        <f t="shared" si="0"/>
        <v>297.25</v>
      </c>
      <c r="G26" s="314">
        <v>3829.15</v>
      </c>
      <c r="H26" s="314">
        <v>93.39</v>
      </c>
      <c r="I26" s="314">
        <v>390.65</v>
      </c>
      <c r="J26" s="473">
        <f t="shared" si="1"/>
        <v>390.65</v>
      </c>
    </row>
    <row r="27" spans="1:10">
      <c r="A27" s="427">
        <f t="shared" si="3"/>
        <v>18</v>
      </c>
      <c r="B27" s="472">
        <v>5860</v>
      </c>
      <c r="C27" s="314">
        <v>808355.73</v>
      </c>
      <c r="D27" s="314">
        <v>878236.52</v>
      </c>
      <c r="E27" s="314">
        <f t="shared" si="0"/>
        <v>69880.790000000037</v>
      </c>
      <c r="G27" s="314">
        <v>900192.44</v>
      </c>
      <c r="H27" s="314">
        <v>21955.91</v>
      </c>
      <c r="I27" s="314">
        <v>91836.71</v>
      </c>
      <c r="J27" s="473">
        <f t="shared" si="1"/>
        <v>91836.71</v>
      </c>
    </row>
    <row r="28" spans="1:10">
      <c r="A28" s="427">
        <f t="shared" si="3"/>
        <v>19</v>
      </c>
      <c r="B28" s="472">
        <v>5870</v>
      </c>
      <c r="C28" s="314">
        <v>113511.92</v>
      </c>
      <c r="D28" s="314">
        <v>123324.81</v>
      </c>
      <c r="E28" s="314">
        <f t="shared" si="0"/>
        <v>9812.89</v>
      </c>
      <c r="G28" s="314">
        <v>126407.93</v>
      </c>
      <c r="H28" s="314">
        <v>3083.12</v>
      </c>
      <c r="I28" s="314">
        <v>12896.01</v>
      </c>
      <c r="J28" s="473">
        <f t="shared" si="1"/>
        <v>12896.01</v>
      </c>
    </row>
    <row r="29" spans="1:10">
      <c r="A29" s="427">
        <f t="shared" si="3"/>
        <v>20</v>
      </c>
      <c r="B29" s="472">
        <v>5880</v>
      </c>
      <c r="C29" s="314">
        <v>1919171.55</v>
      </c>
      <c r="D29" s="314">
        <v>2085080.24</v>
      </c>
      <c r="E29" s="314">
        <f t="shared" si="0"/>
        <v>165908.68999999994</v>
      </c>
      <c r="G29" s="314">
        <v>2137207.2400000002</v>
      </c>
      <c r="H29" s="314">
        <v>52127.01</v>
      </c>
      <c r="I29" s="314">
        <v>218035.69</v>
      </c>
      <c r="J29" s="473">
        <f t="shared" si="1"/>
        <v>218035.69</v>
      </c>
    </row>
    <row r="30" spans="1:10">
      <c r="A30" s="427">
        <f t="shared" si="3"/>
        <v>21</v>
      </c>
      <c r="B30" s="472">
        <v>5900</v>
      </c>
      <c r="C30" s="314">
        <v>21200.87</v>
      </c>
      <c r="D30" s="314">
        <v>23033.65</v>
      </c>
      <c r="E30" s="314">
        <f t="shared" si="0"/>
        <v>1832.7800000000025</v>
      </c>
      <c r="G30" s="314">
        <v>23609.49</v>
      </c>
      <c r="H30" s="314">
        <v>575.84</v>
      </c>
      <c r="I30" s="314">
        <v>2408.62</v>
      </c>
      <c r="J30" s="473">
        <f t="shared" si="1"/>
        <v>2408.62</v>
      </c>
    </row>
    <row r="31" spans="1:10">
      <c r="A31" s="427">
        <f t="shared" si="3"/>
        <v>22</v>
      </c>
      <c r="B31" s="472">
        <v>5920</v>
      </c>
      <c r="C31" s="314">
        <v>1081.5999999999999</v>
      </c>
      <c r="D31" s="314">
        <v>1175.1099999999999</v>
      </c>
      <c r="E31" s="314">
        <f t="shared" si="0"/>
        <v>93.509999999999991</v>
      </c>
      <c r="G31" s="314">
        <v>1204.48</v>
      </c>
      <c r="H31" s="314">
        <v>29.38</v>
      </c>
      <c r="I31" s="314">
        <v>122.88</v>
      </c>
      <c r="J31" s="473">
        <f t="shared" si="1"/>
        <v>122.88</v>
      </c>
    </row>
    <row r="32" spans="1:10">
      <c r="A32" s="427">
        <f t="shared" si="3"/>
        <v>23</v>
      </c>
      <c r="B32" s="472">
        <v>5930</v>
      </c>
      <c r="C32" s="314">
        <v>2972769.02</v>
      </c>
      <c r="D32" s="314">
        <v>3229759.18</v>
      </c>
      <c r="E32" s="314">
        <f t="shared" si="0"/>
        <v>256990.16000000015</v>
      </c>
      <c r="G32" s="314">
        <v>3310503.16</v>
      </c>
      <c r="H32" s="314">
        <v>80743.98</v>
      </c>
      <c r="I32" s="314">
        <v>337734.14</v>
      </c>
      <c r="J32" s="473">
        <f t="shared" si="1"/>
        <v>337734.14</v>
      </c>
    </row>
    <row r="33" spans="1:10">
      <c r="A33" s="427">
        <f t="shared" si="3"/>
        <v>24</v>
      </c>
      <c r="B33" s="472">
        <v>5940</v>
      </c>
      <c r="C33" s="314">
        <v>5924.67</v>
      </c>
      <c r="D33" s="314">
        <v>6436.85</v>
      </c>
      <c r="E33" s="314">
        <f t="shared" si="0"/>
        <v>512.18000000000029</v>
      </c>
      <c r="G33" s="314">
        <v>6597.77</v>
      </c>
      <c r="H33" s="314">
        <v>160.91999999999999</v>
      </c>
      <c r="I33" s="314">
        <v>673.1</v>
      </c>
      <c r="J33" s="473">
        <f t="shared" si="1"/>
        <v>673.1</v>
      </c>
    </row>
    <row r="34" spans="1:10">
      <c r="A34" s="427">
        <f t="shared" si="3"/>
        <v>25</v>
      </c>
      <c r="B34" s="472">
        <v>5950</v>
      </c>
      <c r="C34" s="314">
        <v>2630.65</v>
      </c>
      <c r="D34" s="314">
        <v>2858.06</v>
      </c>
      <c r="E34" s="314">
        <f t="shared" si="0"/>
        <v>227.40999999999985</v>
      </c>
      <c r="G34" s="314">
        <v>2929.51</v>
      </c>
      <c r="H34" s="314">
        <v>71.45</v>
      </c>
      <c r="I34" s="314">
        <v>298.87</v>
      </c>
      <c r="J34" s="473">
        <f t="shared" si="1"/>
        <v>298.87</v>
      </c>
    </row>
    <row r="35" spans="1:10">
      <c r="A35" s="427">
        <f t="shared" si="3"/>
        <v>26</v>
      </c>
      <c r="B35" s="472">
        <v>5960</v>
      </c>
      <c r="C35" s="314">
        <v>3172.93</v>
      </c>
      <c r="D35" s="314">
        <v>3447.22</v>
      </c>
      <c r="E35" s="314">
        <f t="shared" si="0"/>
        <v>274.28999999999996</v>
      </c>
      <c r="G35" s="314">
        <v>3533.4</v>
      </c>
      <c r="H35" s="314">
        <v>86.18</v>
      </c>
      <c r="I35" s="314">
        <v>360.47</v>
      </c>
      <c r="J35" s="473">
        <f t="shared" si="1"/>
        <v>360.47</v>
      </c>
    </row>
    <row r="36" spans="1:10">
      <c r="A36" s="427">
        <f t="shared" si="3"/>
        <v>27</v>
      </c>
      <c r="B36" s="472">
        <v>5970</v>
      </c>
      <c r="C36" s="314">
        <v>36025.46</v>
      </c>
      <c r="D36" s="314">
        <v>39139.800000000003</v>
      </c>
      <c r="E36" s="314">
        <f t="shared" si="0"/>
        <v>3114.3400000000038</v>
      </c>
      <c r="G36" s="314">
        <v>40118.29</v>
      </c>
      <c r="H36" s="314">
        <v>978.49</v>
      </c>
      <c r="I36" s="314">
        <v>4092.83</v>
      </c>
      <c r="J36" s="473">
        <f t="shared" si="1"/>
        <v>4092.83</v>
      </c>
    </row>
    <row r="37" spans="1:10">
      <c r="A37" s="427">
        <f t="shared" si="3"/>
        <v>28</v>
      </c>
      <c r="B37" s="472">
        <v>5980</v>
      </c>
      <c r="C37" s="314">
        <v>110.34</v>
      </c>
      <c r="D37" s="314">
        <v>119.88</v>
      </c>
      <c r="E37" s="314">
        <f t="shared" si="0"/>
        <v>9.539999999999992</v>
      </c>
      <c r="G37" s="314">
        <v>122.87</v>
      </c>
      <c r="H37" s="314">
        <v>3</v>
      </c>
      <c r="I37" s="314">
        <v>12.54</v>
      </c>
      <c r="J37" s="473">
        <f t="shared" si="1"/>
        <v>12.54</v>
      </c>
    </row>
    <row r="38" spans="1:10">
      <c r="A38" s="427">
        <f t="shared" si="3"/>
        <v>29</v>
      </c>
      <c r="B38" s="472">
        <v>9020</v>
      </c>
      <c r="C38" s="314">
        <v>163636.31</v>
      </c>
      <c r="D38" s="314">
        <v>177782.35</v>
      </c>
      <c r="E38" s="314">
        <f t="shared" si="0"/>
        <v>14146.040000000008</v>
      </c>
      <c r="G38" s="314">
        <v>182226.91</v>
      </c>
      <c r="H38" s="314">
        <v>4444.5600000000004</v>
      </c>
      <c r="I38" s="314">
        <v>18590.599999999999</v>
      </c>
      <c r="J38" s="473">
        <f t="shared" si="1"/>
        <v>18590.599999999999</v>
      </c>
    </row>
    <row r="39" spans="1:10">
      <c r="A39" s="427">
        <f t="shared" si="3"/>
        <v>30</v>
      </c>
      <c r="B39" s="472">
        <v>9030</v>
      </c>
      <c r="C39" s="314">
        <v>458953.64</v>
      </c>
      <c r="D39" s="314">
        <v>498629.3</v>
      </c>
      <c r="E39" s="314">
        <f t="shared" si="0"/>
        <v>39675.659999999974</v>
      </c>
      <c r="G39" s="314">
        <v>511095.03</v>
      </c>
      <c r="H39" s="314">
        <v>12465.73</v>
      </c>
      <c r="I39" s="314">
        <v>52141.39</v>
      </c>
      <c r="J39" s="473">
        <f t="shared" si="1"/>
        <v>52141.39</v>
      </c>
    </row>
    <row r="40" spans="1:10">
      <c r="A40" s="427">
        <f t="shared" si="3"/>
        <v>31</v>
      </c>
      <c r="B40" s="472">
        <v>9070</v>
      </c>
      <c r="C40" s="314">
        <v>13053.83</v>
      </c>
      <c r="D40" s="314">
        <v>14182.31</v>
      </c>
      <c r="E40" s="314">
        <f t="shared" si="0"/>
        <v>1128.4799999999996</v>
      </c>
      <c r="G40" s="314">
        <v>14536.87</v>
      </c>
      <c r="H40" s="314">
        <v>354.56</v>
      </c>
      <c r="I40" s="314">
        <v>1483.04</v>
      </c>
      <c r="J40" s="473">
        <f t="shared" si="1"/>
        <v>1483.04</v>
      </c>
    </row>
    <row r="41" spans="1:10">
      <c r="A41" s="427">
        <f t="shared" si="3"/>
        <v>32</v>
      </c>
      <c r="B41" s="472">
        <v>9080</v>
      </c>
      <c r="C41" s="314">
        <v>177152.21</v>
      </c>
      <c r="D41" s="314">
        <v>192466.68</v>
      </c>
      <c r="E41" s="314">
        <f t="shared" si="0"/>
        <v>15314.470000000001</v>
      </c>
      <c r="G41" s="314">
        <v>197278.35</v>
      </c>
      <c r="H41" s="314">
        <v>4811.67</v>
      </c>
      <c r="I41" s="314">
        <v>20126.13</v>
      </c>
      <c r="J41" s="473">
        <f t="shared" si="1"/>
        <v>20126.13</v>
      </c>
    </row>
    <row r="42" spans="1:10">
      <c r="A42" s="427">
        <f t="shared" si="3"/>
        <v>33</v>
      </c>
      <c r="B42" s="472">
        <v>9200</v>
      </c>
      <c r="C42" s="314">
        <v>2285095.31</v>
      </c>
      <c r="D42" s="314">
        <v>2482637.41</v>
      </c>
      <c r="E42" s="314">
        <f t="shared" si="0"/>
        <v>197542.10000000009</v>
      </c>
      <c r="G42" s="314">
        <v>2544703.34</v>
      </c>
      <c r="H42" s="314">
        <v>62065.94</v>
      </c>
      <c r="I42" s="314">
        <v>259608.03</v>
      </c>
      <c r="J42" s="473">
        <f t="shared" si="1"/>
        <v>259608.03</v>
      </c>
    </row>
    <row r="43" spans="1:10">
      <c r="A43" s="427">
        <v>34</v>
      </c>
      <c r="B43" s="472">
        <v>9220</v>
      </c>
      <c r="C43" s="314">
        <v>-434781.24</v>
      </c>
      <c r="D43" s="314">
        <v>-472367.24</v>
      </c>
      <c r="E43" s="314">
        <f t="shared" si="0"/>
        <v>-37586</v>
      </c>
      <c r="G43" s="314">
        <v>-484176.42</v>
      </c>
      <c r="H43" s="314">
        <v>-11809.18</v>
      </c>
      <c r="I43" s="314">
        <v>-49395.18</v>
      </c>
      <c r="J43" s="473">
        <f t="shared" si="1"/>
        <v>-49395.18</v>
      </c>
    </row>
    <row r="44" spans="1:10">
      <c r="A44" s="427">
        <v>35</v>
      </c>
      <c r="B44" s="472">
        <v>9280</v>
      </c>
      <c r="C44" s="314">
        <v>132677</v>
      </c>
      <c r="D44" s="314">
        <v>144146.67000000001</v>
      </c>
      <c r="E44" s="314">
        <f t="shared" si="0"/>
        <v>11469.670000000013</v>
      </c>
      <c r="G44" s="314">
        <v>147750.34</v>
      </c>
      <c r="H44" s="314">
        <v>3603.67</v>
      </c>
      <c r="I44" s="314">
        <v>15073.34</v>
      </c>
      <c r="J44" s="473">
        <f t="shared" si="1"/>
        <v>15073.34</v>
      </c>
    </row>
    <row r="45" spans="1:10">
      <c r="A45" s="427">
        <f>A44+1</f>
        <v>36</v>
      </c>
      <c r="B45" s="472">
        <v>9302</v>
      </c>
      <c r="C45" s="314">
        <v>8639.27</v>
      </c>
      <c r="D45" s="314">
        <v>9386.1200000000008</v>
      </c>
      <c r="E45" s="314">
        <f t="shared" si="0"/>
        <v>746.85000000000036</v>
      </c>
      <c r="G45" s="314">
        <v>9620.77</v>
      </c>
      <c r="H45" s="314">
        <v>234.65</v>
      </c>
      <c r="I45" s="314">
        <v>981.5</v>
      </c>
      <c r="J45" s="473">
        <f t="shared" si="1"/>
        <v>981.5</v>
      </c>
    </row>
    <row r="46" spans="1:10">
      <c r="A46" s="427">
        <f>A45+1</f>
        <v>37</v>
      </c>
      <c r="B46" s="472">
        <v>9350</v>
      </c>
      <c r="C46" s="314">
        <v>493211.4</v>
      </c>
      <c r="D46" s="314">
        <v>535848.56999999995</v>
      </c>
      <c r="E46" s="314">
        <f t="shared" si="0"/>
        <v>42637.169999999925</v>
      </c>
      <c r="G46" s="314">
        <v>549244.79</v>
      </c>
      <c r="H46" s="314">
        <v>13396.21</v>
      </c>
      <c r="I46" s="314">
        <v>56033.39</v>
      </c>
      <c r="J46" s="473">
        <f t="shared" si="1"/>
        <v>56033.39</v>
      </c>
    </row>
    <row r="47" spans="1:10" ht="13.5" thickBot="1">
      <c r="A47" s="427">
        <f>A46+1</f>
        <v>38</v>
      </c>
      <c r="B47" s="474" t="s">
        <v>108</v>
      </c>
      <c r="C47" s="475">
        <f>SUM(C10:C46)</f>
        <v>18661696.439999998</v>
      </c>
      <c r="D47" s="475">
        <f>SUM(D10:D46)</f>
        <v>20274964.200000007</v>
      </c>
      <c r="E47" s="475">
        <f>SUM(E10:E46)</f>
        <v>1613267.7600000002</v>
      </c>
      <c r="G47" s="475">
        <f>SUM(G10:G46)</f>
        <v>20781838.270000003</v>
      </c>
      <c r="H47" s="475">
        <f>SUM(H10:H46)</f>
        <v>506874.11</v>
      </c>
      <c r="I47" s="475">
        <f>SUM(I10:I46)</f>
        <v>2120141.89</v>
      </c>
      <c r="J47" s="476">
        <f>SUM(J10:J46)</f>
        <v>2120141.89</v>
      </c>
    </row>
    <row r="48" spans="1:10" ht="13.5" thickTop="1">
      <c r="A48" s="443"/>
    </row>
    <row r="49" spans="1:10">
      <c r="A49" s="427">
        <f>A47+1</f>
        <v>39</v>
      </c>
      <c r="B49" s="877" t="s">
        <v>824</v>
      </c>
      <c r="C49" s="872"/>
      <c r="D49" s="872"/>
      <c r="E49" s="872"/>
      <c r="F49" s="872"/>
      <c r="G49" s="872"/>
      <c r="H49" s="872"/>
      <c r="I49" s="872"/>
      <c r="J49" s="872"/>
    </row>
    <row r="50" spans="1:10">
      <c r="A50" s="427">
        <f>A49+1</f>
        <v>40</v>
      </c>
      <c r="B50" s="877" t="s">
        <v>825</v>
      </c>
      <c r="C50" s="872"/>
      <c r="D50" s="872"/>
      <c r="E50" s="872"/>
      <c r="F50" s="872"/>
      <c r="G50" s="872"/>
      <c r="H50" s="872"/>
      <c r="I50" s="872"/>
      <c r="J50" s="872"/>
    </row>
    <row r="53" spans="1:10">
      <c r="A53" s="443" t="s">
        <v>33</v>
      </c>
      <c r="B53" s="315" t="s">
        <v>590</v>
      </c>
    </row>
  </sheetData>
  <mergeCells count="14">
    <mergeCell ref="H7:H8"/>
    <mergeCell ref="I7:I8"/>
    <mergeCell ref="B49:J49"/>
    <mergeCell ref="B50:J50"/>
    <mergeCell ref="A2:J2"/>
    <mergeCell ref="A3:J3"/>
    <mergeCell ref="A4:J4"/>
    <mergeCell ref="A5:J5"/>
    <mergeCell ref="A7:A8"/>
    <mergeCell ref="B7:B8"/>
    <mergeCell ref="C7:C8"/>
    <mergeCell ref="D7:D8"/>
    <mergeCell ref="E7:E8"/>
    <mergeCell ref="G7:G8"/>
  </mergeCells>
  <pageMargins left="0.75" right="0.75" top="1" bottom="1" header="0.5" footer="0.5"/>
  <pageSetup scale="4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56A9-0CDF-4590-BBD2-F40942D5A5DE}">
  <sheetPr>
    <pageSetUpPr fitToPage="1"/>
  </sheetPr>
  <dimension ref="A2:G42"/>
  <sheetViews>
    <sheetView showRuler="0" zoomScaleNormal="100" workbookViewId="0">
      <selection activeCell="C7" sqref="C7:C8"/>
    </sheetView>
  </sheetViews>
  <sheetFormatPr defaultColWidth="13.7265625" defaultRowHeight="13"/>
  <cols>
    <col min="1" max="1" width="7.81640625" style="89" bestFit="1" customWidth="1"/>
    <col min="2" max="2" width="12.453125" style="89" bestFit="1" customWidth="1"/>
    <col min="3" max="3" width="17" style="89" bestFit="1" customWidth="1"/>
    <col min="4" max="4" width="16.453125" style="89" bestFit="1" customWidth="1"/>
    <col min="5" max="5" width="36.1796875" style="89" bestFit="1" customWidth="1"/>
    <col min="6" max="6" width="14.1796875" style="1" bestFit="1" customWidth="1"/>
    <col min="7" max="7" width="15.1796875" style="89" customWidth="1"/>
    <col min="8" max="16384" width="13.7265625" style="89"/>
  </cols>
  <sheetData>
    <row r="2" spans="1:7">
      <c r="B2" s="843" t="s">
        <v>0</v>
      </c>
      <c r="C2" s="876"/>
      <c r="D2" s="876"/>
      <c r="E2" s="876"/>
      <c r="F2" s="876"/>
    </row>
    <row r="3" spans="1:7">
      <c r="B3" s="843" t="s">
        <v>372</v>
      </c>
      <c r="C3" s="876"/>
      <c r="D3" s="876"/>
      <c r="E3" s="876"/>
      <c r="F3" s="876"/>
    </row>
    <row r="4" spans="1:7">
      <c r="B4" s="843" t="s">
        <v>591</v>
      </c>
      <c r="C4" s="876"/>
      <c r="D4" s="876"/>
      <c r="E4" s="876"/>
      <c r="F4" s="876"/>
    </row>
    <row r="5" spans="1:7">
      <c r="B5" s="843" t="s">
        <v>123</v>
      </c>
      <c r="C5" s="876"/>
      <c r="D5" s="876"/>
      <c r="E5" s="876"/>
      <c r="F5" s="876"/>
    </row>
    <row r="7" spans="1:7" ht="26">
      <c r="A7" s="871" t="s">
        <v>10</v>
      </c>
      <c r="B7" s="873" t="s">
        <v>54</v>
      </c>
      <c r="C7" s="873" t="s">
        <v>109</v>
      </c>
      <c r="D7" s="873" t="s">
        <v>826</v>
      </c>
      <c r="E7" s="873" t="s">
        <v>110</v>
      </c>
      <c r="F7" s="467" t="s">
        <v>98</v>
      </c>
      <c r="G7" s="468"/>
    </row>
    <row r="8" spans="1:7">
      <c r="A8" s="872"/>
      <c r="B8" s="874"/>
      <c r="C8" s="874"/>
      <c r="D8" s="874"/>
      <c r="E8" s="874"/>
      <c r="F8" s="478">
        <v>1</v>
      </c>
      <c r="G8" s="468"/>
    </row>
    <row r="9" spans="1:7">
      <c r="B9" s="470" t="s">
        <v>99</v>
      </c>
      <c r="C9" s="470" t="s">
        <v>100</v>
      </c>
      <c r="D9" s="470" t="s">
        <v>101</v>
      </c>
      <c r="E9" s="470" t="s">
        <v>102</v>
      </c>
      <c r="F9" s="471" t="s">
        <v>103</v>
      </c>
    </row>
    <row r="10" spans="1:7">
      <c r="A10" s="427">
        <v>1</v>
      </c>
      <c r="B10" s="472">
        <v>5000</v>
      </c>
      <c r="C10" s="314">
        <v>113616.85</v>
      </c>
      <c r="D10" s="314">
        <v>2840.42</v>
      </c>
      <c r="E10" s="314">
        <f t="shared" ref="E10:E36" si="0">C10+D10</f>
        <v>116457.27</v>
      </c>
      <c r="F10" s="473">
        <f t="shared" ref="F10:F36" si="1">D10*F$8</f>
        <v>2840.42</v>
      </c>
    </row>
    <row r="11" spans="1:7">
      <c r="A11" s="427">
        <v>2</v>
      </c>
      <c r="B11" s="472">
        <v>5010</v>
      </c>
      <c r="C11" s="314">
        <v>884518.99</v>
      </c>
      <c r="D11" s="314">
        <v>22112.97</v>
      </c>
      <c r="E11" s="314">
        <f t="shared" si="0"/>
        <v>906631.96</v>
      </c>
      <c r="F11" s="473">
        <f t="shared" si="1"/>
        <v>22112.97</v>
      </c>
    </row>
    <row r="12" spans="1:7">
      <c r="A12" s="427">
        <f t="shared" ref="A12:A18" si="2">A11+1</f>
        <v>3</v>
      </c>
      <c r="B12" s="472">
        <v>5020</v>
      </c>
      <c r="C12" s="314">
        <v>320559.23</v>
      </c>
      <c r="D12" s="314">
        <v>8013.98</v>
      </c>
      <c r="E12" s="314">
        <f t="shared" si="0"/>
        <v>328573.20999999996</v>
      </c>
      <c r="F12" s="473">
        <f t="shared" si="1"/>
        <v>8013.98</v>
      </c>
    </row>
    <row r="13" spans="1:7">
      <c r="A13" s="427">
        <f t="shared" si="2"/>
        <v>4</v>
      </c>
      <c r="B13" s="472">
        <v>5050</v>
      </c>
      <c r="C13" s="314">
        <v>8511.76</v>
      </c>
      <c r="D13" s="314">
        <v>212.79</v>
      </c>
      <c r="E13" s="314">
        <f t="shared" si="0"/>
        <v>8724.5500000000011</v>
      </c>
      <c r="F13" s="473">
        <f t="shared" si="1"/>
        <v>212.79</v>
      </c>
    </row>
    <row r="14" spans="1:7">
      <c r="A14" s="427">
        <f t="shared" si="2"/>
        <v>5</v>
      </c>
      <c r="B14" s="472">
        <v>5060</v>
      </c>
      <c r="C14" s="314">
        <v>317470.32</v>
      </c>
      <c r="D14" s="314">
        <v>7936.76</v>
      </c>
      <c r="E14" s="314">
        <f t="shared" si="0"/>
        <v>325407.08</v>
      </c>
      <c r="F14" s="473">
        <f t="shared" si="1"/>
        <v>7936.76</v>
      </c>
    </row>
    <row r="15" spans="1:7">
      <c r="A15" s="427">
        <f t="shared" si="2"/>
        <v>6</v>
      </c>
      <c r="B15" s="472">
        <v>5100</v>
      </c>
      <c r="C15" s="314">
        <v>119402.28</v>
      </c>
      <c r="D15" s="314">
        <v>2985.06</v>
      </c>
      <c r="E15" s="314">
        <f t="shared" si="0"/>
        <v>122387.34</v>
      </c>
      <c r="F15" s="473">
        <f t="shared" si="1"/>
        <v>2985.06</v>
      </c>
    </row>
    <row r="16" spans="1:7">
      <c r="A16" s="427">
        <f t="shared" si="2"/>
        <v>7</v>
      </c>
      <c r="B16" s="472">
        <v>5110</v>
      </c>
      <c r="C16" s="314">
        <v>14123.98</v>
      </c>
      <c r="D16" s="314">
        <v>353.1</v>
      </c>
      <c r="E16" s="314">
        <f t="shared" si="0"/>
        <v>14477.08</v>
      </c>
      <c r="F16" s="473">
        <f t="shared" si="1"/>
        <v>353.1</v>
      </c>
    </row>
    <row r="17" spans="1:6">
      <c r="A17" s="427">
        <f t="shared" si="2"/>
        <v>8</v>
      </c>
      <c r="B17" s="472">
        <v>5120</v>
      </c>
      <c r="C17" s="314">
        <v>475880.87</v>
      </c>
      <c r="D17" s="314">
        <v>11897.02</v>
      </c>
      <c r="E17" s="314">
        <f t="shared" si="0"/>
        <v>487777.89</v>
      </c>
      <c r="F17" s="473">
        <f t="shared" si="1"/>
        <v>11897.02</v>
      </c>
    </row>
    <row r="18" spans="1:6">
      <c r="A18" s="427">
        <f t="shared" si="2"/>
        <v>9</v>
      </c>
      <c r="B18" s="472">
        <v>5130</v>
      </c>
      <c r="C18" s="314">
        <v>143207.14000000001</v>
      </c>
      <c r="D18" s="314">
        <v>3580.18</v>
      </c>
      <c r="E18" s="314">
        <f t="shared" si="0"/>
        <v>146787.32</v>
      </c>
      <c r="F18" s="473">
        <f t="shared" si="1"/>
        <v>3580.18</v>
      </c>
    </row>
    <row r="19" spans="1:6">
      <c r="A19" s="427">
        <v>10</v>
      </c>
      <c r="B19" s="472">
        <v>5140</v>
      </c>
      <c r="C19" s="314">
        <v>45838.66</v>
      </c>
      <c r="D19" s="314">
        <v>1145.97</v>
      </c>
      <c r="E19" s="314">
        <f t="shared" si="0"/>
        <v>46984.630000000005</v>
      </c>
      <c r="F19" s="473">
        <f t="shared" si="1"/>
        <v>1145.97</v>
      </c>
    </row>
    <row r="20" spans="1:6">
      <c r="A20" s="427">
        <v>11</v>
      </c>
      <c r="B20" s="472">
        <v>5710</v>
      </c>
      <c r="C20" s="314">
        <v>1713.7</v>
      </c>
      <c r="D20" s="314">
        <v>42.84</v>
      </c>
      <c r="E20" s="314">
        <f t="shared" si="0"/>
        <v>1756.54</v>
      </c>
      <c r="F20" s="473">
        <f t="shared" si="1"/>
        <v>42.84</v>
      </c>
    </row>
    <row r="21" spans="1:6">
      <c r="A21" s="427">
        <f t="shared" ref="A21:A36" si="3">A20+1</f>
        <v>12</v>
      </c>
      <c r="B21" s="472">
        <v>5830</v>
      </c>
      <c r="C21" s="314">
        <v>41416.03</v>
      </c>
      <c r="D21" s="314">
        <v>1035.4000000000001</v>
      </c>
      <c r="E21" s="314">
        <f t="shared" si="0"/>
        <v>42451.43</v>
      </c>
      <c r="F21" s="473">
        <f t="shared" si="1"/>
        <v>1035.4000000000001</v>
      </c>
    </row>
    <row r="22" spans="1:6">
      <c r="A22" s="427">
        <f t="shared" si="3"/>
        <v>13</v>
      </c>
      <c r="B22" s="472">
        <v>5850</v>
      </c>
      <c r="C22" s="314">
        <v>286.77</v>
      </c>
      <c r="D22" s="314">
        <v>7.17</v>
      </c>
      <c r="E22" s="314">
        <f t="shared" si="0"/>
        <v>293.94</v>
      </c>
      <c r="F22" s="473">
        <f t="shared" si="1"/>
        <v>7.17</v>
      </c>
    </row>
    <row r="23" spans="1:6">
      <c r="A23" s="427">
        <f t="shared" si="3"/>
        <v>14</v>
      </c>
      <c r="B23" s="472">
        <v>5860</v>
      </c>
      <c r="C23" s="314">
        <v>68587.509999999995</v>
      </c>
      <c r="D23" s="314">
        <v>1714.69</v>
      </c>
      <c r="E23" s="314">
        <f t="shared" si="0"/>
        <v>70302.2</v>
      </c>
      <c r="F23" s="473">
        <f t="shared" si="1"/>
        <v>1714.69</v>
      </c>
    </row>
    <row r="24" spans="1:6">
      <c r="A24" s="427">
        <f t="shared" si="3"/>
        <v>15</v>
      </c>
      <c r="B24" s="472">
        <v>5870</v>
      </c>
      <c r="C24" s="314">
        <v>1698.13</v>
      </c>
      <c r="D24" s="314">
        <v>42.45</v>
      </c>
      <c r="E24" s="314">
        <f t="shared" si="0"/>
        <v>1740.5800000000002</v>
      </c>
      <c r="F24" s="473">
        <f t="shared" si="1"/>
        <v>42.45</v>
      </c>
    </row>
    <row r="25" spans="1:6">
      <c r="A25" s="427">
        <f t="shared" si="3"/>
        <v>16</v>
      </c>
      <c r="B25" s="472">
        <v>5880</v>
      </c>
      <c r="C25" s="314">
        <v>75475.399999999994</v>
      </c>
      <c r="D25" s="314">
        <v>1886.89</v>
      </c>
      <c r="E25" s="314">
        <f t="shared" si="0"/>
        <v>77362.289999999994</v>
      </c>
      <c r="F25" s="473">
        <f t="shared" si="1"/>
        <v>1886.89</v>
      </c>
    </row>
    <row r="26" spans="1:6">
      <c r="A26" s="427">
        <f t="shared" si="3"/>
        <v>17</v>
      </c>
      <c r="B26" s="472">
        <v>5930</v>
      </c>
      <c r="C26" s="314">
        <v>4256054.55</v>
      </c>
      <c r="D26" s="314">
        <v>106401.36</v>
      </c>
      <c r="E26" s="314">
        <f t="shared" si="0"/>
        <v>4362455.91</v>
      </c>
      <c r="F26" s="473">
        <f t="shared" si="1"/>
        <v>106401.36</v>
      </c>
    </row>
    <row r="27" spans="1:6">
      <c r="A27" s="427">
        <f t="shared" si="3"/>
        <v>18</v>
      </c>
      <c r="B27" s="472">
        <v>5940</v>
      </c>
      <c r="C27" s="314">
        <v>-151.27000000000001</v>
      </c>
      <c r="D27" s="314">
        <v>-3.78</v>
      </c>
      <c r="E27" s="314">
        <f t="shared" si="0"/>
        <v>-155.05000000000001</v>
      </c>
      <c r="F27" s="473">
        <f t="shared" si="1"/>
        <v>-3.78</v>
      </c>
    </row>
    <row r="28" spans="1:6">
      <c r="A28" s="427">
        <f t="shared" si="3"/>
        <v>19</v>
      </c>
      <c r="B28" s="472">
        <v>5950</v>
      </c>
      <c r="C28" s="314">
        <v>277.17</v>
      </c>
      <c r="D28" s="314">
        <v>6.93</v>
      </c>
      <c r="E28" s="314">
        <f t="shared" si="0"/>
        <v>284.10000000000002</v>
      </c>
      <c r="F28" s="473">
        <f t="shared" si="1"/>
        <v>6.93</v>
      </c>
    </row>
    <row r="29" spans="1:6">
      <c r="A29" s="427">
        <f t="shared" si="3"/>
        <v>20</v>
      </c>
      <c r="B29" s="472">
        <v>5960</v>
      </c>
      <c r="C29" s="314">
        <v>-52.61</v>
      </c>
      <c r="D29" s="314">
        <v>-1.32</v>
      </c>
      <c r="E29" s="314">
        <f t="shared" si="0"/>
        <v>-53.93</v>
      </c>
      <c r="F29" s="473">
        <f t="shared" si="1"/>
        <v>-1.32</v>
      </c>
    </row>
    <row r="30" spans="1:6">
      <c r="A30" s="427">
        <f t="shared" si="3"/>
        <v>21</v>
      </c>
      <c r="B30" s="472">
        <v>5970</v>
      </c>
      <c r="C30" s="314">
        <v>1754.07</v>
      </c>
      <c r="D30" s="314">
        <v>43.85</v>
      </c>
      <c r="E30" s="314">
        <f t="shared" si="0"/>
        <v>1797.9199999999998</v>
      </c>
      <c r="F30" s="473">
        <f t="shared" si="1"/>
        <v>43.85</v>
      </c>
    </row>
    <row r="31" spans="1:6">
      <c r="A31" s="427">
        <f t="shared" si="3"/>
        <v>22</v>
      </c>
      <c r="B31" s="472">
        <v>5980</v>
      </c>
      <c r="C31" s="314">
        <v>45.57</v>
      </c>
      <c r="D31" s="314">
        <v>1.1399999999999999</v>
      </c>
      <c r="E31" s="314">
        <f t="shared" si="0"/>
        <v>46.71</v>
      </c>
      <c r="F31" s="473">
        <f t="shared" si="1"/>
        <v>1.1399999999999999</v>
      </c>
    </row>
    <row r="32" spans="1:6">
      <c r="A32" s="427">
        <f t="shared" si="3"/>
        <v>23</v>
      </c>
      <c r="B32" s="472">
        <v>9020</v>
      </c>
      <c r="C32" s="314">
        <v>3580.19</v>
      </c>
      <c r="D32" s="314">
        <v>89.5</v>
      </c>
      <c r="E32" s="314">
        <f t="shared" si="0"/>
        <v>3669.69</v>
      </c>
      <c r="F32" s="473">
        <f t="shared" si="1"/>
        <v>89.5</v>
      </c>
    </row>
    <row r="33" spans="1:6">
      <c r="A33" s="427">
        <f t="shared" si="3"/>
        <v>24</v>
      </c>
      <c r="B33" s="472">
        <v>9030</v>
      </c>
      <c r="C33" s="314">
        <v>40671.65</v>
      </c>
      <c r="D33" s="314">
        <v>1016.79</v>
      </c>
      <c r="E33" s="314">
        <f t="shared" si="0"/>
        <v>41688.44</v>
      </c>
      <c r="F33" s="473">
        <f t="shared" si="1"/>
        <v>1016.79</v>
      </c>
    </row>
    <row r="34" spans="1:6">
      <c r="A34" s="427">
        <f t="shared" si="3"/>
        <v>25</v>
      </c>
      <c r="B34" s="472">
        <v>9200</v>
      </c>
      <c r="C34" s="314">
        <v>4187.8999999999996</v>
      </c>
      <c r="D34" s="314">
        <v>104.7</v>
      </c>
      <c r="E34" s="314">
        <f t="shared" si="0"/>
        <v>4292.5999999999995</v>
      </c>
      <c r="F34" s="473">
        <f t="shared" si="1"/>
        <v>104.7</v>
      </c>
    </row>
    <row r="35" spans="1:6">
      <c r="A35" s="427">
        <f t="shared" si="3"/>
        <v>26</v>
      </c>
      <c r="B35" s="472">
        <v>9302</v>
      </c>
      <c r="C35" s="314">
        <v>4728.18</v>
      </c>
      <c r="D35" s="314">
        <v>118.2</v>
      </c>
      <c r="E35" s="314">
        <f t="shared" si="0"/>
        <v>4846.38</v>
      </c>
      <c r="F35" s="473">
        <f t="shared" si="1"/>
        <v>118.2</v>
      </c>
    </row>
    <row r="36" spans="1:6">
      <c r="A36" s="427">
        <f t="shared" si="3"/>
        <v>27</v>
      </c>
      <c r="B36" s="472">
        <v>9350</v>
      </c>
      <c r="C36" s="314">
        <v>23186.15</v>
      </c>
      <c r="D36" s="314">
        <v>579.65</v>
      </c>
      <c r="E36" s="314">
        <f t="shared" si="0"/>
        <v>23765.800000000003</v>
      </c>
      <c r="F36" s="473">
        <f t="shared" si="1"/>
        <v>579.65</v>
      </c>
    </row>
    <row r="37" spans="1:6" ht="13.5" thickBot="1">
      <c r="A37" s="427">
        <v>28</v>
      </c>
      <c r="B37" s="474" t="s">
        <v>108</v>
      </c>
      <c r="C37" s="475">
        <f>SUM(C10:C36)</f>
        <v>6966589.1700000018</v>
      </c>
      <c r="D37" s="475">
        <f>SUM(D10:D36)</f>
        <v>174164.71000000002</v>
      </c>
      <c r="E37" s="475">
        <f>SUM(E10:E36)</f>
        <v>7140753.8800000008</v>
      </c>
      <c r="F37" s="476">
        <f>SUM(F10:F36)</f>
        <v>174164.71000000002</v>
      </c>
    </row>
    <row r="38" spans="1:6" ht="13.5" thickTop="1"/>
    <row r="39" spans="1:6">
      <c r="A39" s="427">
        <f>A37+1</f>
        <v>29</v>
      </c>
      <c r="B39" s="877" t="s">
        <v>827</v>
      </c>
      <c r="C39" s="872"/>
      <c r="D39" s="872"/>
      <c r="E39" s="872"/>
    </row>
    <row r="40" spans="1:6">
      <c r="B40" s="877" t="s">
        <v>820</v>
      </c>
      <c r="C40" s="872"/>
      <c r="D40" s="872"/>
    </row>
    <row r="42" spans="1:6">
      <c r="A42" s="443" t="s">
        <v>33</v>
      </c>
      <c r="B42" s="877" t="s">
        <v>590</v>
      </c>
      <c r="C42" s="872"/>
    </row>
  </sheetData>
  <mergeCells count="12">
    <mergeCell ref="E7:E8"/>
    <mergeCell ref="B39:E39"/>
    <mergeCell ref="B2:F2"/>
    <mergeCell ref="B3:F3"/>
    <mergeCell ref="B4:F4"/>
    <mergeCell ref="B5:F5"/>
    <mergeCell ref="B42:C42"/>
    <mergeCell ref="A7:A8"/>
    <mergeCell ref="B7:B8"/>
    <mergeCell ref="C7:C8"/>
    <mergeCell ref="D7:D8"/>
    <mergeCell ref="B40:D40"/>
  </mergeCells>
  <pageMargins left="0.75" right="0.75" top="1" bottom="1" header="0.5" footer="0.5"/>
  <pageSetup scale="7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0A78-F228-430F-9F56-8EDB88E90AFE}">
  <sheetPr>
    <pageSetUpPr fitToPage="1"/>
  </sheetPr>
  <dimension ref="A2:F23"/>
  <sheetViews>
    <sheetView showRuler="0" zoomScale="110" zoomScaleNormal="110" workbookViewId="0">
      <selection activeCell="B18" sqref="B18"/>
    </sheetView>
  </sheetViews>
  <sheetFormatPr defaultColWidth="13.7265625" defaultRowHeight="13"/>
  <cols>
    <col min="1" max="1" width="7.81640625" style="89" bestFit="1" customWidth="1"/>
    <col min="2" max="2" width="62.1796875" style="89" bestFit="1" customWidth="1"/>
    <col min="3" max="3" width="3.453125" style="89" customWidth="1"/>
    <col min="4" max="4" width="12.7265625" style="89" bestFit="1" customWidth="1"/>
    <col min="5" max="5" width="3.453125" style="89" customWidth="1"/>
    <col min="6" max="6" width="9.453125" style="1" bestFit="1" customWidth="1"/>
    <col min="7" max="7" width="14.453125" style="89" customWidth="1"/>
    <col min="8" max="16384" width="13.7265625" style="89"/>
  </cols>
  <sheetData>
    <row r="2" spans="1:6">
      <c r="B2" s="843" t="s">
        <v>0</v>
      </c>
      <c r="C2" s="876"/>
      <c r="D2" s="876"/>
      <c r="E2" s="876"/>
      <c r="F2" s="876"/>
    </row>
    <row r="3" spans="1:6">
      <c r="B3" s="843" t="s">
        <v>376</v>
      </c>
      <c r="C3" s="876"/>
      <c r="D3" s="876"/>
      <c r="E3" s="876"/>
      <c r="F3" s="876"/>
    </row>
    <row r="4" spans="1:6">
      <c r="B4" s="843" t="s">
        <v>591</v>
      </c>
      <c r="C4" s="876"/>
      <c r="D4" s="876"/>
      <c r="E4" s="876"/>
      <c r="F4" s="876"/>
    </row>
    <row r="5" spans="1:6">
      <c r="B5" s="843" t="s">
        <v>128</v>
      </c>
      <c r="C5" s="876"/>
      <c r="D5" s="876"/>
      <c r="E5" s="876"/>
      <c r="F5" s="876"/>
    </row>
    <row r="7" spans="1:6" ht="26">
      <c r="A7" s="173" t="s">
        <v>914</v>
      </c>
      <c r="B7" s="173" t="s">
        <v>915</v>
      </c>
      <c r="C7" s="172"/>
      <c r="D7" s="173" t="s">
        <v>916</v>
      </c>
      <c r="E7" s="172"/>
      <c r="F7" s="173" t="s">
        <v>917</v>
      </c>
    </row>
    <row r="8" spans="1:6">
      <c r="A8" s="479" t="s">
        <v>120</v>
      </c>
      <c r="B8" s="315" t="s">
        <v>373</v>
      </c>
      <c r="F8" s="473">
        <v>782504.76000000024</v>
      </c>
    </row>
    <row r="9" spans="1:6">
      <c r="A9" s="479">
        <f>A8+1</f>
        <v>2</v>
      </c>
      <c r="B9" s="315" t="s">
        <v>374</v>
      </c>
      <c r="F9" s="473">
        <v>54091.439999999995</v>
      </c>
    </row>
    <row r="10" spans="1:6">
      <c r="A10" s="479">
        <f>A9+1</f>
        <v>3</v>
      </c>
      <c r="B10" s="315" t="s">
        <v>375</v>
      </c>
      <c r="F10" s="473">
        <v>1613267.7600000002</v>
      </c>
    </row>
    <row r="11" spans="1:6">
      <c r="A11" s="479">
        <f>A10+1</f>
        <v>4</v>
      </c>
      <c r="B11" s="315" t="s">
        <v>671</v>
      </c>
      <c r="F11" s="473">
        <v>506874.11</v>
      </c>
    </row>
    <row r="12" spans="1:6">
      <c r="A12" s="479">
        <f>A11+1</f>
        <v>5</v>
      </c>
      <c r="B12" s="315" t="s">
        <v>672</v>
      </c>
      <c r="F12" s="480">
        <v>174164.71000000002</v>
      </c>
    </row>
    <row r="13" spans="1:6">
      <c r="A13" s="479">
        <f>A12+1</f>
        <v>6</v>
      </c>
      <c r="B13" s="315" t="s">
        <v>121</v>
      </c>
      <c r="F13" s="481">
        <f>SUM(F8:F12)</f>
        <v>3130902.7800000003</v>
      </c>
    </row>
    <row r="15" spans="1:6">
      <c r="A15" s="479">
        <f>A13+1</f>
        <v>7</v>
      </c>
      <c r="B15" s="315" t="s">
        <v>122</v>
      </c>
      <c r="F15" s="482">
        <v>1.4500000000000001E-2</v>
      </c>
    </row>
    <row r="16" spans="1:6">
      <c r="A16" s="479">
        <f>A15+1</f>
        <v>8</v>
      </c>
      <c r="B16" s="315" t="s">
        <v>454</v>
      </c>
      <c r="F16" s="473">
        <f>F13*F15</f>
        <v>45398.090310000007</v>
      </c>
    </row>
    <row r="18" spans="1:6">
      <c r="A18" s="479">
        <f>A16+1</f>
        <v>9</v>
      </c>
      <c r="B18" s="315" t="s">
        <v>79</v>
      </c>
      <c r="F18" s="483">
        <v>1</v>
      </c>
    </row>
    <row r="19" spans="1:6" ht="13.5" thickBot="1">
      <c r="A19" s="479">
        <f>A18+1</f>
        <v>10</v>
      </c>
      <c r="B19" s="315" t="s">
        <v>828</v>
      </c>
      <c r="D19" s="427">
        <v>408</v>
      </c>
      <c r="F19" s="484">
        <f>F16*F18</f>
        <v>45398.090310000007</v>
      </c>
    </row>
    <row r="20" spans="1:6" ht="13.5" thickTop="1">
      <c r="F20" s="485"/>
    </row>
    <row r="21" spans="1:6">
      <c r="B21" s="877" t="s">
        <v>820</v>
      </c>
      <c r="C21" s="877"/>
      <c r="D21" s="877"/>
    </row>
    <row r="23" spans="1:6">
      <c r="A23" s="270" t="s">
        <v>33</v>
      </c>
      <c r="B23" s="270" t="s">
        <v>590</v>
      </c>
    </row>
  </sheetData>
  <mergeCells count="5">
    <mergeCell ref="B2:F2"/>
    <mergeCell ref="B3:F3"/>
    <mergeCell ref="B4:F4"/>
    <mergeCell ref="B5:F5"/>
    <mergeCell ref="B21:D21"/>
  </mergeCells>
  <pageMargins left="0.75" right="0.75" top="1" bottom="1" header="0.5" footer="0.5"/>
  <pageSetup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5C24-A257-40B5-8D27-D8D757D34BBF}">
  <sheetPr>
    <pageSetUpPr fitToPage="1"/>
  </sheetPr>
  <dimension ref="A2:F29"/>
  <sheetViews>
    <sheetView showRuler="0" zoomScaleNormal="100" workbookViewId="0">
      <selection activeCell="B15" sqref="B15"/>
    </sheetView>
  </sheetViews>
  <sheetFormatPr defaultColWidth="13.7265625" defaultRowHeight="13"/>
  <cols>
    <col min="1" max="1" width="7.81640625" style="89" bestFit="1" customWidth="1"/>
    <col min="2" max="2" width="65.1796875" style="89" bestFit="1" customWidth="1"/>
    <col min="3" max="3" width="1.81640625" style="89" customWidth="1"/>
    <col min="4" max="4" width="12.453125" style="89" bestFit="1" customWidth="1"/>
    <col min="5" max="5" width="2.54296875" style="89" customWidth="1"/>
    <col min="6" max="6" width="9.1796875" style="1" bestFit="1" customWidth="1"/>
    <col min="7" max="7" width="15.1796875" style="89" customWidth="1"/>
    <col min="8" max="16384" width="13.7265625" style="89"/>
  </cols>
  <sheetData>
    <row r="2" spans="1:6">
      <c r="B2" s="843" t="s">
        <v>0</v>
      </c>
      <c r="C2" s="876"/>
      <c r="D2" s="876"/>
      <c r="E2" s="876"/>
      <c r="F2" s="876"/>
    </row>
    <row r="3" spans="1:6">
      <c r="B3" s="843" t="s">
        <v>377</v>
      </c>
      <c r="C3" s="876"/>
      <c r="D3" s="876"/>
      <c r="E3" s="876"/>
      <c r="F3" s="876"/>
    </row>
    <row r="4" spans="1:6">
      <c r="B4" s="843" t="s">
        <v>591</v>
      </c>
      <c r="C4" s="876"/>
      <c r="D4" s="876"/>
      <c r="E4" s="876"/>
      <c r="F4" s="876"/>
    </row>
    <row r="5" spans="1:6">
      <c r="B5" s="843" t="s">
        <v>905</v>
      </c>
      <c r="C5" s="876"/>
      <c r="D5" s="876"/>
      <c r="E5" s="876"/>
      <c r="F5" s="876"/>
    </row>
    <row r="7" spans="1:6" ht="26">
      <c r="A7" s="443" t="s">
        <v>10</v>
      </c>
      <c r="B7" s="443" t="s">
        <v>11</v>
      </c>
      <c r="D7" s="443" t="s">
        <v>12</v>
      </c>
      <c r="F7" s="249" t="s">
        <v>13</v>
      </c>
    </row>
    <row r="8" spans="1:6">
      <c r="A8" s="427">
        <v>1</v>
      </c>
      <c r="B8" s="315" t="s">
        <v>373</v>
      </c>
      <c r="F8" s="473">
        <v>782504.76000000024</v>
      </c>
    </row>
    <row r="9" spans="1:6">
      <c r="A9" s="427">
        <f>1+A8</f>
        <v>2</v>
      </c>
      <c r="B9" s="315" t="s">
        <v>374</v>
      </c>
      <c r="F9" s="473">
        <v>54091.439999999995</v>
      </c>
    </row>
    <row r="10" spans="1:6">
      <c r="A10" s="427">
        <f>1+A9</f>
        <v>3</v>
      </c>
      <c r="B10" s="315" t="s">
        <v>375</v>
      </c>
      <c r="F10" s="473">
        <v>1613267.7600000002</v>
      </c>
    </row>
    <row r="11" spans="1:6">
      <c r="A11" s="427">
        <f>1+A10</f>
        <v>4</v>
      </c>
      <c r="B11" s="315" t="s">
        <v>671</v>
      </c>
      <c r="F11" s="473">
        <v>506874.11</v>
      </c>
    </row>
    <row r="12" spans="1:6">
      <c r="A12" s="427">
        <f>1+A11</f>
        <v>5</v>
      </c>
      <c r="B12" s="315" t="s">
        <v>672</v>
      </c>
      <c r="F12" s="480">
        <v>174164.71000000002</v>
      </c>
    </row>
    <row r="13" spans="1:6">
      <c r="A13" s="427">
        <f>1+A12</f>
        <v>6</v>
      </c>
      <c r="B13" s="315" t="s">
        <v>121</v>
      </c>
      <c r="F13" s="481">
        <f>SUM(F8:F12)</f>
        <v>3130902.7800000003</v>
      </c>
    </row>
    <row r="14" spans="1:6">
      <c r="A14" s="88"/>
    </row>
    <row r="15" spans="1:6">
      <c r="A15" s="427">
        <f>A13+1</f>
        <v>7</v>
      </c>
      <c r="B15" s="270" t="s">
        <v>673</v>
      </c>
      <c r="F15" s="473">
        <v>2398520.56</v>
      </c>
    </row>
    <row r="16" spans="1:6">
      <c r="A16" s="427">
        <f>A15+1</f>
        <v>8</v>
      </c>
      <c r="B16" s="270" t="s">
        <v>674</v>
      </c>
      <c r="F16" s="473">
        <v>49083008.090000004</v>
      </c>
    </row>
    <row r="17" spans="1:6">
      <c r="A17" s="427">
        <f>A16+1</f>
        <v>9</v>
      </c>
      <c r="B17" s="270" t="s">
        <v>124</v>
      </c>
      <c r="F17" s="486">
        <f>F15/F16</f>
        <v>4.8866617050079823E-2</v>
      </c>
    </row>
    <row r="18" spans="1:6">
      <c r="A18" s="427">
        <f>A17+1</f>
        <v>10</v>
      </c>
      <c r="B18" s="270" t="s">
        <v>125</v>
      </c>
      <c r="F18" s="486">
        <f>1-F17</f>
        <v>0.95113338294992023</v>
      </c>
    </row>
    <row r="19" spans="1:6">
      <c r="A19" s="88"/>
    </row>
    <row r="20" spans="1:6">
      <c r="A20" s="427">
        <f>A18+1</f>
        <v>11</v>
      </c>
      <c r="B20" s="270" t="s">
        <v>126</v>
      </c>
      <c r="F20" s="237">
        <f>F13*F18</f>
        <v>2977906.1528287102</v>
      </c>
    </row>
    <row r="21" spans="1:6">
      <c r="A21" s="427">
        <f>A20+1</f>
        <v>12</v>
      </c>
      <c r="B21" s="270" t="s">
        <v>127</v>
      </c>
      <c r="F21" s="487">
        <v>6.2E-2</v>
      </c>
    </row>
    <row r="22" spans="1:6">
      <c r="A22" s="427">
        <f>A21+1</f>
        <v>13</v>
      </c>
      <c r="B22" s="270" t="s">
        <v>455</v>
      </c>
      <c r="F22" s="481">
        <f>F20*F21</f>
        <v>184630.18147538003</v>
      </c>
    </row>
    <row r="23" spans="1:6">
      <c r="A23" s="88"/>
    </row>
    <row r="24" spans="1:6">
      <c r="A24" s="427">
        <f>A22+1</f>
        <v>14</v>
      </c>
      <c r="B24" s="270" t="s">
        <v>79</v>
      </c>
      <c r="F24" s="488">
        <v>1</v>
      </c>
    </row>
    <row r="25" spans="1:6" ht="13.5" thickBot="1">
      <c r="A25" s="427">
        <f>A24+1</f>
        <v>15</v>
      </c>
      <c r="B25" s="270" t="s">
        <v>829</v>
      </c>
      <c r="D25" s="427">
        <v>408</v>
      </c>
      <c r="F25" s="484">
        <f>F22*F24</f>
        <v>184630.18147538003</v>
      </c>
    </row>
    <row r="26" spans="1:6" ht="13.5" thickTop="1">
      <c r="F26" s="489"/>
    </row>
    <row r="27" spans="1:6">
      <c r="B27" s="877" t="s">
        <v>820</v>
      </c>
      <c r="C27" s="877"/>
      <c r="D27" s="877"/>
    </row>
    <row r="29" spans="1:6">
      <c r="A29" s="270" t="s">
        <v>33</v>
      </c>
      <c r="B29" s="270" t="s">
        <v>590</v>
      </c>
    </row>
  </sheetData>
  <mergeCells count="5">
    <mergeCell ref="B2:F2"/>
    <mergeCell ref="B3:F3"/>
    <mergeCell ref="B4:F4"/>
    <mergeCell ref="B5:F5"/>
    <mergeCell ref="B27:D27"/>
  </mergeCells>
  <pageMargins left="0.75" right="0.75" top="1" bottom="1" header="0.5" footer="0.5"/>
  <pageSetup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BEE6-087A-485C-9449-6A8872278D87}">
  <sheetPr>
    <pageSetUpPr fitToPage="1"/>
  </sheetPr>
  <dimension ref="A1:J28"/>
  <sheetViews>
    <sheetView showRuler="0" zoomScale="90" zoomScaleNormal="90" workbookViewId="0">
      <selection sqref="A1:J32"/>
    </sheetView>
  </sheetViews>
  <sheetFormatPr defaultColWidth="13.7265625" defaultRowHeight="13"/>
  <cols>
    <col min="1" max="1" width="7.81640625" style="172" bestFit="1" customWidth="1"/>
    <col min="2" max="2" width="11.1796875" style="172" bestFit="1" customWidth="1"/>
    <col min="3" max="3" width="28" style="172" customWidth="1"/>
    <col min="4" max="4" width="1" style="172" customWidth="1"/>
    <col min="5" max="5" width="10" style="172" bestFit="1" customWidth="1"/>
    <col min="6" max="6" width="1.7265625" style="172" customWidth="1"/>
    <col min="7" max="7" width="8.26953125" style="172" bestFit="1" customWidth="1"/>
    <col min="8" max="8" width="4.1796875" style="172" customWidth="1"/>
    <col min="9" max="9" width="7.81640625" style="172" bestFit="1" customWidth="1"/>
    <col min="10" max="10" width="1.1796875" style="172" bestFit="1" customWidth="1"/>
    <col min="11" max="16384" width="13.7265625" style="172"/>
  </cols>
  <sheetData>
    <row r="1" spans="1:10">
      <c r="J1" s="193" t="s">
        <v>51</v>
      </c>
    </row>
    <row r="2" spans="1:10">
      <c r="B2" s="844" t="s">
        <v>0</v>
      </c>
      <c r="C2" s="845"/>
      <c r="D2" s="845"/>
      <c r="E2" s="845"/>
      <c r="F2" s="845"/>
      <c r="G2" s="845"/>
      <c r="H2" s="845"/>
      <c r="I2" s="845"/>
      <c r="J2" s="845"/>
    </row>
    <row r="3" spans="1:10">
      <c r="B3" s="844" t="s">
        <v>378</v>
      </c>
      <c r="C3" s="845"/>
      <c r="D3" s="845"/>
      <c r="E3" s="845"/>
      <c r="F3" s="845"/>
      <c r="G3" s="845"/>
      <c r="H3" s="845"/>
      <c r="I3" s="845"/>
      <c r="J3" s="845"/>
    </row>
    <row r="4" spans="1:10">
      <c r="B4" s="844" t="s">
        <v>591</v>
      </c>
      <c r="C4" s="845"/>
      <c r="D4" s="845"/>
      <c r="E4" s="845"/>
      <c r="F4" s="845"/>
      <c r="G4" s="845"/>
      <c r="H4" s="845"/>
      <c r="I4" s="845"/>
      <c r="J4" s="845"/>
    </row>
    <row r="5" spans="1:10">
      <c r="B5" s="844" t="s">
        <v>141</v>
      </c>
      <c r="C5" s="845"/>
      <c r="D5" s="845"/>
      <c r="E5" s="845"/>
      <c r="F5" s="845"/>
      <c r="G5" s="845"/>
      <c r="H5" s="845"/>
      <c r="I5" s="845"/>
      <c r="J5" s="845"/>
    </row>
    <row r="7" spans="1:10" ht="39">
      <c r="A7" s="173" t="s">
        <v>10</v>
      </c>
      <c r="B7" s="844" t="s">
        <v>117</v>
      </c>
      <c r="C7" s="851"/>
      <c r="E7" s="490" t="s">
        <v>129</v>
      </c>
      <c r="G7" s="490" t="s">
        <v>130</v>
      </c>
      <c r="I7" s="490" t="s">
        <v>118</v>
      </c>
    </row>
    <row r="8" spans="1:10">
      <c r="B8" s="844" t="s">
        <v>99</v>
      </c>
      <c r="C8" s="851"/>
      <c r="E8" s="490" t="s">
        <v>100</v>
      </c>
      <c r="G8" s="490" t="s">
        <v>101</v>
      </c>
      <c r="I8" s="490" t="s">
        <v>102</v>
      </c>
    </row>
    <row r="9" spans="1:10">
      <c r="B9" s="490"/>
      <c r="E9" s="490"/>
      <c r="G9" s="490"/>
      <c r="I9" s="490"/>
    </row>
    <row r="10" spans="1:10">
      <c r="A10" s="188">
        <v>1</v>
      </c>
      <c r="B10" s="877" t="s">
        <v>675</v>
      </c>
      <c r="C10" s="872"/>
      <c r="E10" s="427">
        <v>56</v>
      </c>
      <c r="F10" s="88"/>
      <c r="G10" s="427">
        <v>9</v>
      </c>
    </row>
    <row r="11" spans="1:10">
      <c r="A11" s="178"/>
    </row>
    <row r="12" spans="1:10">
      <c r="A12" s="188">
        <f>1+A10</f>
        <v>2</v>
      </c>
      <c r="B12" s="877" t="s">
        <v>676</v>
      </c>
      <c r="C12" s="872"/>
      <c r="E12" s="314">
        <v>176100</v>
      </c>
      <c r="G12" s="181">
        <f>E12</f>
        <v>176100</v>
      </c>
    </row>
    <row r="13" spans="1:10">
      <c r="A13" s="188">
        <f>1+A12</f>
        <v>3</v>
      </c>
      <c r="B13" s="877" t="s">
        <v>677</v>
      </c>
      <c r="C13" s="872"/>
      <c r="E13" s="430">
        <v>168600</v>
      </c>
      <c r="G13" s="184">
        <f>E13</f>
        <v>168600</v>
      </c>
    </row>
    <row r="14" spans="1:10">
      <c r="A14" s="188">
        <f>1+A13</f>
        <v>4</v>
      </c>
      <c r="B14" s="877" t="s">
        <v>131</v>
      </c>
      <c r="C14" s="872"/>
      <c r="E14" s="491">
        <f>+E12-E13</f>
        <v>7500</v>
      </c>
      <c r="G14" s="491">
        <f>+E14</f>
        <v>7500</v>
      </c>
    </row>
    <row r="15" spans="1:10">
      <c r="A15" s="178"/>
    </row>
    <row r="16" spans="1:10">
      <c r="A16" s="188">
        <f>1+A14</f>
        <v>5</v>
      </c>
      <c r="B16" s="878" t="s">
        <v>132</v>
      </c>
      <c r="C16" s="851"/>
      <c r="E16" s="181">
        <f>+E10*E14</f>
        <v>420000</v>
      </c>
      <c r="G16" s="314">
        <f>+G10*G14</f>
        <v>67500</v>
      </c>
    </row>
    <row r="17" spans="1:9">
      <c r="A17" s="188">
        <f>1+A16</f>
        <v>6</v>
      </c>
      <c r="B17" s="878" t="s">
        <v>127</v>
      </c>
      <c r="C17" s="851"/>
      <c r="E17" s="492">
        <v>6.2E-2</v>
      </c>
      <c r="G17" s="492">
        <f>+E17</f>
        <v>6.2E-2</v>
      </c>
    </row>
    <row r="18" spans="1:9">
      <c r="A18" s="188">
        <f>1+A17</f>
        <v>7</v>
      </c>
      <c r="B18" s="878" t="s">
        <v>133</v>
      </c>
      <c r="C18" s="878"/>
      <c r="E18" s="491">
        <f>ROUND(E16*E17,0)</f>
        <v>26040</v>
      </c>
      <c r="G18" s="432">
        <f>ROUND(G16*G17,0)</f>
        <v>4185</v>
      </c>
    </row>
    <row r="19" spans="1:9">
      <c r="A19" s="188">
        <f>1+A18</f>
        <v>8</v>
      </c>
      <c r="B19" s="878" t="s">
        <v>134</v>
      </c>
      <c r="C19" s="851"/>
      <c r="G19" s="430">
        <f>+G18*0.5</f>
        <v>2092.5</v>
      </c>
    </row>
    <row r="20" spans="1:9">
      <c r="A20" s="188">
        <f>1+A19</f>
        <v>9</v>
      </c>
      <c r="B20" s="878" t="s">
        <v>135</v>
      </c>
      <c r="C20" s="851"/>
      <c r="E20" s="445">
        <f>+E18-E19</f>
        <v>26040</v>
      </c>
      <c r="G20" s="493">
        <f>G18-G19</f>
        <v>2092.5</v>
      </c>
      <c r="I20" s="445">
        <f>SUM(E20:H20)</f>
        <v>28132.5</v>
      </c>
    </row>
    <row r="21" spans="1:9">
      <c r="A21" s="178"/>
    </row>
    <row r="22" spans="1:9">
      <c r="A22" s="188">
        <f>1+A20</f>
        <v>10</v>
      </c>
      <c r="B22" s="877" t="s">
        <v>136</v>
      </c>
      <c r="C22" s="872"/>
      <c r="I22" s="446">
        <v>0.60862499999999997</v>
      </c>
    </row>
    <row r="23" spans="1:9">
      <c r="A23" s="188">
        <f>1+A22</f>
        <v>11</v>
      </c>
      <c r="B23" s="877" t="s">
        <v>137</v>
      </c>
      <c r="C23" s="872"/>
      <c r="I23" s="445">
        <f>I20*I22</f>
        <v>17122.142812499998</v>
      </c>
    </row>
    <row r="24" spans="1:9">
      <c r="A24" s="188">
        <f>1+A23</f>
        <v>12</v>
      </c>
      <c r="B24" s="877" t="s">
        <v>79</v>
      </c>
      <c r="C24" s="872"/>
      <c r="I24" s="494">
        <v>1</v>
      </c>
    </row>
    <row r="25" spans="1:9" ht="13.5" thickBot="1">
      <c r="A25" s="188">
        <f>1+A24</f>
        <v>13</v>
      </c>
      <c r="B25" s="877" t="s">
        <v>678</v>
      </c>
      <c r="C25" s="872"/>
      <c r="I25" s="495">
        <f>I23*I24</f>
        <v>17122.142812499998</v>
      </c>
    </row>
    <row r="26" spans="1:9" ht="13.5" thickTop="1">
      <c r="I26" s="461"/>
    </row>
    <row r="28" spans="1:9">
      <c r="A28" s="173" t="s">
        <v>33</v>
      </c>
      <c r="B28" s="315" t="s">
        <v>590</v>
      </c>
    </row>
  </sheetData>
  <mergeCells count="19">
    <mergeCell ref="B25:C25"/>
    <mergeCell ref="B18:C18"/>
    <mergeCell ref="B19:C19"/>
    <mergeCell ref="B20:C20"/>
    <mergeCell ref="B22:C22"/>
    <mergeCell ref="B23:C23"/>
    <mergeCell ref="B24:C24"/>
    <mergeCell ref="B17:C17"/>
    <mergeCell ref="B2:J2"/>
    <mergeCell ref="B3:J3"/>
    <mergeCell ref="B4:J4"/>
    <mergeCell ref="B5:J5"/>
    <mergeCell ref="B7:C7"/>
    <mergeCell ref="B8:C8"/>
    <mergeCell ref="B10:C10"/>
    <mergeCell ref="B12:C12"/>
    <mergeCell ref="B13:C13"/>
    <mergeCell ref="B14:C14"/>
    <mergeCell ref="B16:C16"/>
  </mergeCells>
  <pageMargins left="0.75" right="0.75" top="1" bottom="1" header="0.5" footer="0.5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E821-0105-4119-A4C0-20929546BEE9}">
  <sheetPr>
    <pageSetUpPr fitToPage="1"/>
  </sheetPr>
  <dimension ref="A1:S49"/>
  <sheetViews>
    <sheetView workbookViewId="0">
      <selection activeCell="I27" sqref="I27"/>
    </sheetView>
  </sheetViews>
  <sheetFormatPr defaultColWidth="9" defaultRowHeight="13"/>
  <cols>
    <col min="1" max="1" width="2.7265625" style="88" bestFit="1" customWidth="1"/>
    <col min="2" max="2" width="12.453125" style="88" bestFit="1" customWidth="1"/>
    <col min="3" max="3" width="9" style="89"/>
    <col min="4" max="4" width="11" style="89" bestFit="1" customWidth="1"/>
    <col min="5" max="5" width="12.453125" style="89" bestFit="1" customWidth="1"/>
    <col min="6" max="6" width="11" style="89" bestFit="1" customWidth="1"/>
    <col min="7" max="7" width="12.453125" style="1" bestFit="1" customWidth="1"/>
    <col min="8" max="8" width="9" style="89"/>
    <col min="9" max="9" width="3.54296875" style="89" bestFit="1" customWidth="1"/>
    <col min="10" max="10" width="9" style="89"/>
    <col min="11" max="11" width="9.81640625" style="89" bestFit="1" customWidth="1"/>
    <col min="12" max="12" width="9" style="89"/>
    <col min="13" max="13" width="9.81640625" style="89" bestFit="1" customWidth="1"/>
    <col min="14" max="16384" width="9" style="89"/>
  </cols>
  <sheetData>
    <row r="1" spans="1:19">
      <c r="A1" s="844" t="s">
        <v>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</row>
    <row r="2" spans="1:19">
      <c r="A2" s="844" t="s">
        <v>830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499"/>
      <c r="N2" s="499"/>
      <c r="O2" s="499"/>
      <c r="P2" s="499"/>
      <c r="Q2" s="499"/>
      <c r="R2" s="499"/>
      <c r="S2" s="499"/>
    </row>
    <row r="5" spans="1:19">
      <c r="B5" s="879" t="s">
        <v>54</v>
      </c>
      <c r="C5" s="500"/>
      <c r="D5" s="881" t="s">
        <v>87</v>
      </c>
      <c r="E5" s="881" t="s">
        <v>497</v>
      </c>
      <c r="F5" s="881" t="s">
        <v>123</v>
      </c>
      <c r="G5" s="883" t="s">
        <v>921</v>
      </c>
      <c r="J5" s="881" t="s">
        <v>128</v>
      </c>
      <c r="K5" s="881" t="s">
        <v>905</v>
      </c>
      <c r="L5" s="881" t="s">
        <v>141</v>
      </c>
    </row>
    <row r="6" spans="1:19">
      <c r="B6" s="880"/>
      <c r="C6" s="501"/>
      <c r="D6" s="882"/>
      <c r="E6" s="882"/>
      <c r="F6" s="882"/>
      <c r="G6" s="884"/>
      <c r="J6" s="882"/>
      <c r="K6" s="882"/>
      <c r="L6" s="882"/>
    </row>
    <row r="7" spans="1:19">
      <c r="B7" s="496" t="s">
        <v>99</v>
      </c>
    </row>
    <row r="8" spans="1:19" ht="13.5" thickBot="1">
      <c r="A8" s="497" t="s">
        <v>120</v>
      </c>
      <c r="B8" s="427">
        <v>5000</v>
      </c>
      <c r="D8" s="502">
        <v>27826.469999999998</v>
      </c>
      <c r="E8" s="502">
        <v>135798.71</v>
      </c>
      <c r="F8" s="502">
        <v>2840.42</v>
      </c>
      <c r="G8" s="4">
        <f>+SUM(D8:F8)</f>
        <v>166465.60000000001</v>
      </c>
      <c r="I8" s="88">
        <v>408</v>
      </c>
      <c r="J8" s="383">
        <v>45398.090310000007</v>
      </c>
      <c r="K8" s="383">
        <v>184630.18147538003</v>
      </c>
      <c r="L8" s="383">
        <v>17122.142812499998</v>
      </c>
      <c r="M8" s="503">
        <f>+SUM(J8:L8)</f>
        <v>247150.41459788004</v>
      </c>
    </row>
    <row r="9" spans="1:19" ht="13.5" thickTop="1">
      <c r="A9" s="427">
        <f>+A8+1</f>
        <v>2</v>
      </c>
      <c r="B9" s="427">
        <v>5010</v>
      </c>
      <c r="D9" s="502">
        <v>71967.950000000012</v>
      </c>
      <c r="E9" s="502">
        <v>247349.37</v>
      </c>
      <c r="F9" s="502">
        <v>22112.97</v>
      </c>
      <c r="G9" s="4">
        <f t="shared" ref="G9:G47" si="0">+SUM(D9:F9)</f>
        <v>341430.29000000004</v>
      </c>
    </row>
    <row r="10" spans="1:19">
      <c r="A10" s="427">
        <f t="shared" ref="A10:A45" si="1">+A9+1</f>
        <v>3</v>
      </c>
      <c r="B10" s="427">
        <v>5020</v>
      </c>
      <c r="D10" s="502">
        <v>37773.049999999996</v>
      </c>
      <c r="E10" s="502">
        <v>148361.26999999999</v>
      </c>
      <c r="F10" s="502">
        <v>8013.98</v>
      </c>
      <c r="G10" s="4">
        <f t="shared" si="0"/>
        <v>194148.3</v>
      </c>
    </row>
    <row r="11" spans="1:19">
      <c r="A11" s="427">
        <f t="shared" si="1"/>
        <v>4</v>
      </c>
      <c r="B11" s="427">
        <v>5050</v>
      </c>
      <c r="D11" s="502">
        <v>1180.7399999999998</v>
      </c>
      <c r="E11" s="502">
        <v>5335.68</v>
      </c>
      <c r="F11" s="502">
        <v>212.79</v>
      </c>
      <c r="G11" s="4">
        <f t="shared" si="0"/>
        <v>6729.21</v>
      </c>
    </row>
    <row r="12" spans="1:19">
      <c r="A12" s="427">
        <f t="shared" si="1"/>
        <v>5</v>
      </c>
      <c r="B12" s="427">
        <v>5060</v>
      </c>
      <c r="D12" s="502">
        <v>36941.03</v>
      </c>
      <c r="E12" s="502">
        <v>148502.57</v>
      </c>
      <c r="F12" s="502">
        <v>7936.76</v>
      </c>
      <c r="G12" s="4">
        <f t="shared" si="0"/>
        <v>193380.36000000002</v>
      </c>
    </row>
    <row r="13" spans="1:19">
      <c r="A13" s="427">
        <f t="shared" si="1"/>
        <v>6</v>
      </c>
      <c r="B13" s="427">
        <v>5100</v>
      </c>
      <c r="D13" s="502">
        <v>26345.249999999996</v>
      </c>
      <c r="E13" s="502">
        <v>116451.62</v>
      </c>
      <c r="F13" s="502">
        <v>2985.06</v>
      </c>
      <c r="G13" s="4">
        <f t="shared" si="0"/>
        <v>145781.93</v>
      </c>
    </row>
    <row r="14" spans="1:19">
      <c r="A14" s="427">
        <f t="shared" si="1"/>
        <v>7</v>
      </c>
      <c r="B14" s="427">
        <v>5110</v>
      </c>
      <c r="D14" s="502">
        <v>2958.6100000000006</v>
      </c>
      <c r="E14" s="502">
        <v>13371.1</v>
      </c>
      <c r="F14" s="502">
        <v>353.1</v>
      </c>
      <c r="G14" s="4">
        <f t="shared" si="0"/>
        <v>16682.810000000001</v>
      </c>
    </row>
    <row r="15" spans="1:19">
      <c r="A15" s="427">
        <f t="shared" si="1"/>
        <v>8</v>
      </c>
      <c r="B15" s="427">
        <v>5120</v>
      </c>
      <c r="D15" s="502">
        <v>43836.899999999994</v>
      </c>
      <c r="E15" s="502">
        <v>160365.35</v>
      </c>
      <c r="F15" s="502">
        <v>11897.02</v>
      </c>
      <c r="G15" s="4">
        <f t="shared" si="0"/>
        <v>216099.27</v>
      </c>
    </row>
    <row r="16" spans="1:19">
      <c r="A16" s="427">
        <f t="shared" si="1"/>
        <v>9</v>
      </c>
      <c r="B16" s="427">
        <v>5130</v>
      </c>
      <c r="D16" s="502">
        <v>18292.030000000002</v>
      </c>
      <c r="E16" s="502">
        <v>67965.070000000007</v>
      </c>
      <c r="F16" s="502">
        <v>3580.18</v>
      </c>
      <c r="G16" s="4">
        <f t="shared" si="0"/>
        <v>89837.28</v>
      </c>
    </row>
    <row r="17" spans="1:7">
      <c r="A17" s="427">
        <f t="shared" si="1"/>
        <v>10</v>
      </c>
      <c r="B17" s="427">
        <v>5140</v>
      </c>
      <c r="D17" s="502">
        <v>4393.4399999999987</v>
      </c>
      <c r="E17" s="502">
        <v>12489.55</v>
      </c>
      <c r="F17" s="502">
        <v>1145.97</v>
      </c>
      <c r="G17" s="4">
        <f t="shared" si="0"/>
        <v>18028.96</v>
      </c>
    </row>
    <row r="18" spans="1:7">
      <c r="A18" s="427">
        <f t="shared" si="1"/>
        <v>11</v>
      </c>
      <c r="B18" s="88">
        <v>5390</v>
      </c>
      <c r="D18" s="502">
        <v>0</v>
      </c>
      <c r="E18" s="502">
        <v>0</v>
      </c>
      <c r="F18" s="504"/>
      <c r="G18" s="4">
        <f t="shared" si="0"/>
        <v>0</v>
      </c>
    </row>
    <row r="19" spans="1:7">
      <c r="A19" s="427">
        <f t="shared" si="1"/>
        <v>12</v>
      </c>
      <c r="B19" s="88">
        <v>5600</v>
      </c>
      <c r="D19" s="502">
        <v>0</v>
      </c>
      <c r="E19" s="502">
        <v>-1051.19</v>
      </c>
      <c r="F19" s="504"/>
      <c r="G19" s="4">
        <f t="shared" si="0"/>
        <v>-1051.19</v>
      </c>
    </row>
    <row r="20" spans="1:7">
      <c r="A20" s="427">
        <f t="shared" si="1"/>
        <v>13</v>
      </c>
      <c r="B20" s="427">
        <v>5660</v>
      </c>
      <c r="D20" s="502">
        <v>-880.17000000000007</v>
      </c>
      <c r="E20" s="502">
        <v>4213.72</v>
      </c>
      <c r="F20" s="504"/>
      <c r="G20" s="4">
        <f t="shared" si="0"/>
        <v>3333.55</v>
      </c>
    </row>
    <row r="21" spans="1:7">
      <c r="A21" s="427">
        <f t="shared" si="1"/>
        <v>14</v>
      </c>
      <c r="B21" s="427">
        <v>5710</v>
      </c>
      <c r="D21" s="502">
        <v>317.35000000000002</v>
      </c>
      <c r="E21" s="502">
        <v>148.11000000000001</v>
      </c>
      <c r="F21" s="504">
        <v>42.84</v>
      </c>
      <c r="G21" s="4">
        <f t="shared" si="0"/>
        <v>508.30000000000007</v>
      </c>
    </row>
    <row r="22" spans="1:7">
      <c r="A22" s="427">
        <f t="shared" si="1"/>
        <v>15</v>
      </c>
      <c r="B22" s="427">
        <v>5800</v>
      </c>
      <c r="D22" s="502">
        <v>8052.52</v>
      </c>
      <c r="E22" s="502">
        <v>20104.099999999999</v>
      </c>
      <c r="F22" s="504"/>
      <c r="G22" s="4">
        <f t="shared" si="0"/>
        <v>28156.62</v>
      </c>
    </row>
    <row r="23" spans="1:7">
      <c r="A23" s="427">
        <f t="shared" si="1"/>
        <v>16</v>
      </c>
      <c r="B23" s="427">
        <v>5830</v>
      </c>
      <c r="D23" s="502">
        <v>26550.110000000004</v>
      </c>
      <c r="E23" s="502">
        <v>-2840.78</v>
      </c>
      <c r="F23" s="504">
        <v>1035.4000000000001</v>
      </c>
      <c r="G23" s="4">
        <f t="shared" si="0"/>
        <v>24744.730000000007</v>
      </c>
    </row>
    <row r="24" spans="1:7">
      <c r="A24" s="427">
        <f t="shared" si="1"/>
        <v>17</v>
      </c>
      <c r="B24" s="427">
        <v>5840</v>
      </c>
      <c r="D24" s="502">
        <v>0.62999999999999945</v>
      </c>
      <c r="E24" s="502">
        <v>72.89</v>
      </c>
      <c r="F24" s="504"/>
      <c r="G24" s="4">
        <f t="shared" si="0"/>
        <v>73.52</v>
      </c>
    </row>
    <row r="25" spans="1:7">
      <c r="A25" s="427">
        <f t="shared" si="1"/>
        <v>18</v>
      </c>
      <c r="B25" s="427">
        <v>5850</v>
      </c>
      <c r="D25" s="502">
        <v>73.919999999999987</v>
      </c>
      <c r="E25" s="502">
        <v>390.65</v>
      </c>
      <c r="F25" s="504">
        <v>7.17</v>
      </c>
      <c r="G25" s="4">
        <f t="shared" si="0"/>
        <v>471.73999999999995</v>
      </c>
    </row>
    <row r="26" spans="1:7">
      <c r="A26" s="427">
        <f t="shared" si="1"/>
        <v>19</v>
      </c>
      <c r="B26" s="427">
        <v>5860</v>
      </c>
      <c r="D26" s="502">
        <v>38329.480000000003</v>
      </c>
      <c r="E26" s="502">
        <v>91836.71</v>
      </c>
      <c r="F26" s="504">
        <v>1714.69</v>
      </c>
      <c r="G26" s="4">
        <f t="shared" si="0"/>
        <v>131880.88</v>
      </c>
    </row>
    <row r="27" spans="1:7">
      <c r="A27" s="427">
        <f t="shared" si="1"/>
        <v>20</v>
      </c>
      <c r="B27" s="427">
        <v>5870</v>
      </c>
      <c r="D27" s="502">
        <v>4728.5199999999995</v>
      </c>
      <c r="E27" s="502">
        <v>12896.01</v>
      </c>
      <c r="F27" s="504">
        <v>42.45</v>
      </c>
      <c r="G27" s="4">
        <f t="shared" si="0"/>
        <v>17666.98</v>
      </c>
    </row>
    <row r="28" spans="1:7">
      <c r="A28" s="427">
        <f t="shared" si="1"/>
        <v>21</v>
      </c>
      <c r="B28" s="427">
        <v>5880</v>
      </c>
      <c r="D28" s="502">
        <v>75232.02</v>
      </c>
      <c r="E28" s="502">
        <v>218035.69</v>
      </c>
      <c r="F28" s="504">
        <v>1886.89</v>
      </c>
      <c r="G28" s="4">
        <f t="shared" si="0"/>
        <v>295154.60000000003</v>
      </c>
    </row>
    <row r="29" spans="1:7">
      <c r="A29" s="427">
        <f t="shared" si="1"/>
        <v>22</v>
      </c>
      <c r="B29" s="427">
        <v>5900</v>
      </c>
      <c r="D29" s="502">
        <v>1165.8</v>
      </c>
      <c r="E29" s="502">
        <v>2408.62</v>
      </c>
      <c r="F29" s="504"/>
      <c r="G29" s="4">
        <f t="shared" si="0"/>
        <v>3574.42</v>
      </c>
    </row>
    <row r="30" spans="1:7">
      <c r="A30" s="427">
        <f t="shared" si="1"/>
        <v>23</v>
      </c>
      <c r="B30" s="427">
        <v>5920</v>
      </c>
      <c r="D30" s="502">
        <v>-50.280000000000008</v>
      </c>
      <c r="E30" s="502">
        <v>122.88</v>
      </c>
      <c r="F30" s="504"/>
      <c r="G30" s="4">
        <f t="shared" si="0"/>
        <v>72.599999999999994</v>
      </c>
    </row>
    <row r="31" spans="1:7">
      <c r="A31" s="427">
        <f t="shared" si="1"/>
        <v>24</v>
      </c>
      <c r="B31" s="427">
        <v>5930</v>
      </c>
      <c r="D31" s="502">
        <v>283904.87</v>
      </c>
      <c r="E31" s="502">
        <v>337734.14</v>
      </c>
      <c r="F31" s="502">
        <v>106401.36</v>
      </c>
      <c r="G31" s="4">
        <f t="shared" si="0"/>
        <v>728040.37</v>
      </c>
    </row>
    <row r="32" spans="1:7">
      <c r="A32" s="427">
        <f t="shared" si="1"/>
        <v>25</v>
      </c>
      <c r="B32" s="427">
        <v>5940</v>
      </c>
      <c r="D32" s="502">
        <v>152.56</v>
      </c>
      <c r="E32" s="502">
        <v>673.1</v>
      </c>
      <c r="F32" s="502">
        <v>-3.78</v>
      </c>
      <c r="G32" s="4">
        <f t="shared" si="0"/>
        <v>821.88000000000011</v>
      </c>
    </row>
    <row r="33" spans="1:11">
      <c r="A33" s="427">
        <f t="shared" si="1"/>
        <v>26</v>
      </c>
      <c r="B33" s="427">
        <v>5950</v>
      </c>
      <c r="D33" s="502">
        <v>97.94</v>
      </c>
      <c r="E33" s="502">
        <v>298.87</v>
      </c>
      <c r="F33" s="502">
        <v>6.93</v>
      </c>
      <c r="G33" s="4">
        <f t="shared" si="0"/>
        <v>403.74</v>
      </c>
    </row>
    <row r="34" spans="1:11">
      <c r="A34" s="427">
        <f t="shared" si="1"/>
        <v>27</v>
      </c>
      <c r="B34" s="427">
        <v>5960</v>
      </c>
      <c r="D34" s="502">
        <v>85.68</v>
      </c>
      <c r="E34" s="502">
        <v>360.47</v>
      </c>
      <c r="F34" s="502">
        <v>-1.32</v>
      </c>
      <c r="G34" s="4">
        <f t="shared" si="0"/>
        <v>444.83000000000004</v>
      </c>
    </row>
    <row r="35" spans="1:11">
      <c r="A35" s="427">
        <f t="shared" si="1"/>
        <v>28</v>
      </c>
      <c r="B35" s="427">
        <v>5970</v>
      </c>
      <c r="D35" s="502">
        <v>1522.81</v>
      </c>
      <c r="E35" s="502">
        <v>4092.83</v>
      </c>
      <c r="F35" s="502">
        <v>43.85</v>
      </c>
      <c r="G35" s="4">
        <f t="shared" si="0"/>
        <v>5659.49</v>
      </c>
    </row>
    <row r="36" spans="1:11">
      <c r="A36" s="427">
        <f t="shared" si="1"/>
        <v>29</v>
      </c>
      <c r="B36" s="427">
        <v>5980</v>
      </c>
      <c r="D36" s="502">
        <v>9.9600000000000009</v>
      </c>
      <c r="E36" s="502">
        <v>12.54</v>
      </c>
      <c r="F36" s="502">
        <v>1.1399999999999999</v>
      </c>
      <c r="G36" s="4">
        <f t="shared" si="0"/>
        <v>23.64</v>
      </c>
    </row>
    <row r="37" spans="1:11">
      <c r="A37" s="427">
        <f t="shared" si="1"/>
        <v>30</v>
      </c>
      <c r="B37" s="427">
        <v>9020</v>
      </c>
      <c r="D37" s="502">
        <v>6891.93</v>
      </c>
      <c r="E37" s="502">
        <v>18590.599999999999</v>
      </c>
      <c r="F37" s="502">
        <v>89.5</v>
      </c>
      <c r="G37" s="4">
        <f t="shared" si="0"/>
        <v>25572.03</v>
      </c>
    </row>
    <row r="38" spans="1:11">
      <c r="A38" s="427">
        <f t="shared" si="1"/>
        <v>31</v>
      </c>
      <c r="B38" s="427">
        <v>9030</v>
      </c>
      <c r="D38" s="502">
        <v>22632.079999999998</v>
      </c>
      <c r="E38" s="502">
        <v>52141.39</v>
      </c>
      <c r="F38" s="502">
        <v>1016.79</v>
      </c>
      <c r="G38" s="4">
        <f t="shared" si="0"/>
        <v>75790.259999999995</v>
      </c>
    </row>
    <row r="39" spans="1:11">
      <c r="A39" s="427">
        <f t="shared" si="1"/>
        <v>32</v>
      </c>
      <c r="B39" s="427">
        <v>9070</v>
      </c>
      <c r="D39" s="502">
        <v>532.1</v>
      </c>
      <c r="E39" s="502">
        <v>1483.04</v>
      </c>
      <c r="F39" s="502"/>
      <c r="G39" s="4">
        <f t="shared" si="0"/>
        <v>2015.1399999999999</v>
      </c>
    </row>
    <row r="40" spans="1:11">
      <c r="A40" s="427">
        <f t="shared" si="1"/>
        <v>33</v>
      </c>
      <c r="B40" s="427">
        <v>9080</v>
      </c>
      <c r="D40" s="502">
        <v>7856.6299999999992</v>
      </c>
      <c r="E40" s="502">
        <v>20126.13</v>
      </c>
      <c r="F40" s="502"/>
      <c r="G40" s="4">
        <f t="shared" si="0"/>
        <v>27982.760000000002</v>
      </c>
    </row>
    <row r="41" spans="1:11">
      <c r="A41" s="427">
        <f t="shared" si="1"/>
        <v>34</v>
      </c>
      <c r="B41" s="427">
        <v>9200</v>
      </c>
      <c r="D41" s="502">
        <v>105061.08</v>
      </c>
      <c r="E41" s="502">
        <v>259608.03</v>
      </c>
      <c r="F41" s="502">
        <v>104.7</v>
      </c>
      <c r="G41" s="4">
        <f t="shared" si="0"/>
        <v>364773.81</v>
      </c>
    </row>
    <row r="42" spans="1:11">
      <c r="A42" s="427">
        <f t="shared" si="1"/>
        <v>35</v>
      </c>
      <c r="B42" s="427">
        <v>9220</v>
      </c>
      <c r="D42" s="502">
        <v>-5.27</v>
      </c>
      <c r="E42" s="502">
        <v>-49395.18</v>
      </c>
      <c r="F42" s="502"/>
      <c r="G42" s="4">
        <f t="shared" si="0"/>
        <v>-49400.45</v>
      </c>
    </row>
    <row r="43" spans="1:11">
      <c r="A43" s="427">
        <f t="shared" si="1"/>
        <v>36</v>
      </c>
      <c r="B43" s="427">
        <v>9280</v>
      </c>
      <c r="D43" s="502">
        <v>5333.8700000000008</v>
      </c>
      <c r="E43" s="502">
        <v>15073.34</v>
      </c>
      <c r="F43" s="502"/>
      <c r="G43" s="4">
        <f t="shared" si="0"/>
        <v>20407.21</v>
      </c>
    </row>
    <row r="44" spans="1:11">
      <c r="A44" s="427">
        <f t="shared" si="1"/>
        <v>37</v>
      </c>
      <c r="B44" s="427">
        <v>9302</v>
      </c>
      <c r="D44" s="502">
        <v>-334.29999999999995</v>
      </c>
      <c r="E44" s="502">
        <v>981.5</v>
      </c>
      <c r="F44" s="502">
        <v>118.2</v>
      </c>
      <c r="G44" s="4">
        <f t="shared" si="0"/>
        <v>765.40000000000009</v>
      </c>
    </row>
    <row r="45" spans="1:11">
      <c r="A45" s="427">
        <f t="shared" si="1"/>
        <v>38</v>
      </c>
      <c r="B45" s="427">
        <v>9350</v>
      </c>
      <c r="D45" s="502">
        <v>-22181.109999999997</v>
      </c>
      <c r="E45" s="502">
        <v>56033.39</v>
      </c>
      <c r="F45" s="502">
        <v>579.65</v>
      </c>
      <c r="G45" s="4">
        <f t="shared" si="0"/>
        <v>34431.93</v>
      </c>
    </row>
    <row r="46" spans="1:11">
      <c r="B46" s="427"/>
      <c r="D46" s="501"/>
      <c r="E46" s="501"/>
      <c r="F46" s="501"/>
      <c r="G46" s="95">
        <f t="shared" si="0"/>
        <v>0</v>
      </c>
    </row>
    <row r="47" spans="1:11" ht="13.5" thickBot="1">
      <c r="A47" s="505">
        <f>+A45+1</f>
        <v>39</v>
      </c>
      <c r="B47" s="498" t="s">
        <v>108</v>
      </c>
      <c r="D47" s="506">
        <f>+SUM(D8:D45)</f>
        <v>836596.2</v>
      </c>
      <c r="E47" s="506">
        <f>+SUM(E8:E45)</f>
        <v>2120141.89</v>
      </c>
      <c r="F47" s="506">
        <f>+SUM(F8:F45)</f>
        <v>174164.71000000002</v>
      </c>
      <c r="G47" s="507">
        <f t="shared" si="0"/>
        <v>3130902.8</v>
      </c>
      <c r="H47" s="227"/>
      <c r="I47" s="227"/>
      <c r="J47" s="227"/>
      <c r="K47" s="227"/>
    </row>
    <row r="48" spans="1:11" ht="13.5" thickTop="1"/>
    <row r="49" spans="3:6">
      <c r="C49" s="88"/>
      <c r="D49" s="88"/>
      <c r="E49" s="88"/>
      <c r="F49" s="88"/>
    </row>
  </sheetData>
  <mergeCells count="10">
    <mergeCell ref="A1:L1"/>
    <mergeCell ref="B5:B6"/>
    <mergeCell ref="D5:D6"/>
    <mergeCell ref="E5:E6"/>
    <mergeCell ref="F5:F6"/>
    <mergeCell ref="G5:G6"/>
    <mergeCell ref="J5:J6"/>
    <mergeCell ref="K5:K6"/>
    <mergeCell ref="L5:L6"/>
    <mergeCell ref="A2:L2"/>
  </mergeCells>
  <pageMargins left="0.7" right="0.7" top="0.75" bottom="0.75" header="0.3" footer="0.3"/>
  <pageSetup scale="7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C213-7748-4779-B0E9-AAC5CFBDE171}">
  <sheetPr>
    <pageSetUpPr fitToPage="1"/>
  </sheetPr>
  <dimension ref="A1:L85"/>
  <sheetViews>
    <sheetView zoomScale="120" zoomScaleNormal="120" workbookViewId="0">
      <selection activeCell="C7" sqref="C7"/>
    </sheetView>
  </sheetViews>
  <sheetFormatPr defaultRowHeight="13"/>
  <cols>
    <col min="1" max="1" width="4.26953125" style="89" bestFit="1" customWidth="1"/>
    <col min="2" max="2" width="2" style="89" bestFit="1" customWidth="1"/>
    <col min="3" max="3" width="56.7265625" style="89" bestFit="1" customWidth="1"/>
    <col min="4" max="4" width="1.7265625" style="89" customWidth="1"/>
    <col min="5" max="5" width="7.26953125" style="89" bestFit="1" customWidth="1"/>
    <col min="6" max="6" width="9.81640625" style="89" bestFit="1" customWidth="1"/>
    <col min="7" max="7" width="7.7265625" style="89" bestFit="1" customWidth="1"/>
    <col min="8" max="8" width="10" style="89" customWidth="1"/>
    <col min="9" max="9" width="9" style="89" bestFit="1" customWidth="1"/>
    <col min="10" max="10" width="11.1796875" style="89" bestFit="1" customWidth="1"/>
    <col min="11" max="11" width="7.7265625" style="89" bestFit="1" customWidth="1"/>
    <col min="12" max="20" width="8.7265625" style="89"/>
    <col min="21" max="21" width="10.54296875" style="89" bestFit="1" customWidth="1"/>
    <col min="22" max="256" width="8.7265625" style="89"/>
    <col min="257" max="257" width="5" style="89" customWidth="1"/>
    <col min="258" max="258" width="1.7265625" style="89" customWidth="1"/>
    <col min="259" max="259" width="57.453125" style="89" customWidth="1"/>
    <col min="260" max="260" width="1.7265625" style="89" customWidth="1"/>
    <col min="261" max="261" width="19.453125" style="89" customWidth="1"/>
    <col min="262" max="262" width="0" style="89" hidden="1" customWidth="1"/>
    <col min="263" max="263" width="8.7265625" style="89"/>
    <col min="264" max="264" width="10.26953125" style="89" customWidth="1"/>
    <col min="265" max="265" width="9.81640625" style="89" customWidth="1"/>
    <col min="266" max="266" width="14.81640625" style="89" customWidth="1"/>
    <col min="267" max="276" width="8.7265625" style="89"/>
    <col min="277" max="277" width="10.54296875" style="89" bestFit="1" customWidth="1"/>
    <col min="278" max="512" width="8.7265625" style="89"/>
    <col min="513" max="513" width="5" style="89" customWidth="1"/>
    <col min="514" max="514" width="1.7265625" style="89" customWidth="1"/>
    <col min="515" max="515" width="57.453125" style="89" customWidth="1"/>
    <col min="516" max="516" width="1.7265625" style="89" customWidth="1"/>
    <col min="517" max="517" width="19.453125" style="89" customWidth="1"/>
    <col min="518" max="518" width="0" style="89" hidden="1" customWidth="1"/>
    <col min="519" max="519" width="8.7265625" style="89"/>
    <col min="520" max="520" width="10.26953125" style="89" customWidth="1"/>
    <col min="521" max="521" width="9.81640625" style="89" customWidth="1"/>
    <col min="522" max="522" width="14.81640625" style="89" customWidth="1"/>
    <col min="523" max="532" width="8.7265625" style="89"/>
    <col min="533" max="533" width="10.54296875" style="89" bestFit="1" customWidth="1"/>
    <col min="534" max="768" width="8.7265625" style="89"/>
    <col min="769" max="769" width="5" style="89" customWidth="1"/>
    <col min="770" max="770" width="1.7265625" style="89" customWidth="1"/>
    <col min="771" max="771" width="57.453125" style="89" customWidth="1"/>
    <col min="772" max="772" width="1.7265625" style="89" customWidth="1"/>
    <col min="773" max="773" width="19.453125" style="89" customWidth="1"/>
    <col min="774" max="774" width="0" style="89" hidden="1" customWidth="1"/>
    <col min="775" max="775" width="8.7265625" style="89"/>
    <col min="776" max="776" width="10.26953125" style="89" customWidth="1"/>
    <col min="777" max="777" width="9.81640625" style="89" customWidth="1"/>
    <col min="778" max="778" width="14.81640625" style="89" customWidth="1"/>
    <col min="779" max="788" width="8.7265625" style="89"/>
    <col min="789" max="789" width="10.54296875" style="89" bestFit="1" customWidth="1"/>
    <col min="790" max="1024" width="8.7265625" style="89"/>
    <col min="1025" max="1025" width="5" style="89" customWidth="1"/>
    <col min="1026" max="1026" width="1.7265625" style="89" customWidth="1"/>
    <col min="1027" max="1027" width="57.453125" style="89" customWidth="1"/>
    <col min="1028" max="1028" width="1.7265625" style="89" customWidth="1"/>
    <col min="1029" max="1029" width="19.453125" style="89" customWidth="1"/>
    <col min="1030" max="1030" width="0" style="89" hidden="1" customWidth="1"/>
    <col min="1031" max="1031" width="8.7265625" style="89"/>
    <col min="1032" max="1032" width="10.26953125" style="89" customWidth="1"/>
    <col min="1033" max="1033" width="9.81640625" style="89" customWidth="1"/>
    <col min="1034" max="1034" width="14.81640625" style="89" customWidth="1"/>
    <col min="1035" max="1044" width="8.7265625" style="89"/>
    <col min="1045" max="1045" width="10.54296875" style="89" bestFit="1" customWidth="1"/>
    <col min="1046" max="1280" width="8.7265625" style="89"/>
    <col min="1281" max="1281" width="5" style="89" customWidth="1"/>
    <col min="1282" max="1282" width="1.7265625" style="89" customWidth="1"/>
    <col min="1283" max="1283" width="57.453125" style="89" customWidth="1"/>
    <col min="1284" max="1284" width="1.7265625" style="89" customWidth="1"/>
    <col min="1285" max="1285" width="19.453125" style="89" customWidth="1"/>
    <col min="1286" max="1286" width="0" style="89" hidden="1" customWidth="1"/>
    <col min="1287" max="1287" width="8.7265625" style="89"/>
    <col min="1288" max="1288" width="10.26953125" style="89" customWidth="1"/>
    <col min="1289" max="1289" width="9.81640625" style="89" customWidth="1"/>
    <col min="1290" max="1290" width="14.81640625" style="89" customWidth="1"/>
    <col min="1291" max="1300" width="8.7265625" style="89"/>
    <col min="1301" max="1301" width="10.54296875" style="89" bestFit="1" customWidth="1"/>
    <col min="1302" max="1536" width="8.7265625" style="89"/>
    <col min="1537" max="1537" width="5" style="89" customWidth="1"/>
    <col min="1538" max="1538" width="1.7265625" style="89" customWidth="1"/>
    <col min="1539" max="1539" width="57.453125" style="89" customWidth="1"/>
    <col min="1540" max="1540" width="1.7265625" style="89" customWidth="1"/>
    <col min="1541" max="1541" width="19.453125" style="89" customWidth="1"/>
    <col min="1542" max="1542" width="0" style="89" hidden="1" customWidth="1"/>
    <col min="1543" max="1543" width="8.7265625" style="89"/>
    <col min="1544" max="1544" width="10.26953125" style="89" customWidth="1"/>
    <col min="1545" max="1545" width="9.81640625" style="89" customWidth="1"/>
    <col min="1546" max="1546" width="14.81640625" style="89" customWidth="1"/>
    <col min="1547" max="1556" width="8.7265625" style="89"/>
    <col min="1557" max="1557" width="10.54296875" style="89" bestFit="1" customWidth="1"/>
    <col min="1558" max="1792" width="8.7265625" style="89"/>
    <col min="1793" max="1793" width="5" style="89" customWidth="1"/>
    <col min="1794" max="1794" width="1.7265625" style="89" customWidth="1"/>
    <col min="1795" max="1795" width="57.453125" style="89" customWidth="1"/>
    <col min="1796" max="1796" width="1.7265625" style="89" customWidth="1"/>
    <col min="1797" max="1797" width="19.453125" style="89" customWidth="1"/>
    <col min="1798" max="1798" width="0" style="89" hidden="1" customWidth="1"/>
    <col min="1799" max="1799" width="8.7265625" style="89"/>
    <col min="1800" max="1800" width="10.26953125" style="89" customWidth="1"/>
    <col min="1801" max="1801" width="9.81640625" style="89" customWidth="1"/>
    <col min="1802" max="1802" width="14.81640625" style="89" customWidth="1"/>
    <col min="1803" max="1812" width="8.7265625" style="89"/>
    <col min="1813" max="1813" width="10.54296875" style="89" bestFit="1" customWidth="1"/>
    <col min="1814" max="2048" width="8.7265625" style="89"/>
    <col min="2049" max="2049" width="5" style="89" customWidth="1"/>
    <col min="2050" max="2050" width="1.7265625" style="89" customWidth="1"/>
    <col min="2051" max="2051" width="57.453125" style="89" customWidth="1"/>
    <col min="2052" max="2052" width="1.7265625" style="89" customWidth="1"/>
    <col min="2053" max="2053" width="19.453125" style="89" customWidth="1"/>
    <col min="2054" max="2054" width="0" style="89" hidden="1" customWidth="1"/>
    <col min="2055" max="2055" width="8.7265625" style="89"/>
    <col min="2056" max="2056" width="10.26953125" style="89" customWidth="1"/>
    <col min="2057" max="2057" width="9.81640625" style="89" customWidth="1"/>
    <col min="2058" max="2058" width="14.81640625" style="89" customWidth="1"/>
    <col min="2059" max="2068" width="8.7265625" style="89"/>
    <col min="2069" max="2069" width="10.54296875" style="89" bestFit="1" customWidth="1"/>
    <col min="2070" max="2304" width="8.7265625" style="89"/>
    <col min="2305" max="2305" width="5" style="89" customWidth="1"/>
    <col min="2306" max="2306" width="1.7265625" style="89" customWidth="1"/>
    <col min="2307" max="2307" width="57.453125" style="89" customWidth="1"/>
    <col min="2308" max="2308" width="1.7265625" style="89" customWidth="1"/>
    <col min="2309" max="2309" width="19.453125" style="89" customWidth="1"/>
    <col min="2310" max="2310" width="0" style="89" hidden="1" customWidth="1"/>
    <col min="2311" max="2311" width="8.7265625" style="89"/>
    <col min="2312" max="2312" width="10.26953125" style="89" customWidth="1"/>
    <col min="2313" max="2313" width="9.81640625" style="89" customWidth="1"/>
    <col min="2314" max="2314" width="14.81640625" style="89" customWidth="1"/>
    <col min="2315" max="2324" width="8.7265625" style="89"/>
    <col min="2325" max="2325" width="10.54296875" style="89" bestFit="1" customWidth="1"/>
    <col min="2326" max="2560" width="8.7265625" style="89"/>
    <col min="2561" max="2561" width="5" style="89" customWidth="1"/>
    <col min="2562" max="2562" width="1.7265625" style="89" customWidth="1"/>
    <col min="2563" max="2563" width="57.453125" style="89" customWidth="1"/>
    <col min="2564" max="2564" width="1.7265625" style="89" customWidth="1"/>
    <col min="2565" max="2565" width="19.453125" style="89" customWidth="1"/>
    <col min="2566" max="2566" width="0" style="89" hidden="1" customWidth="1"/>
    <col min="2567" max="2567" width="8.7265625" style="89"/>
    <col min="2568" max="2568" width="10.26953125" style="89" customWidth="1"/>
    <col min="2569" max="2569" width="9.81640625" style="89" customWidth="1"/>
    <col min="2570" max="2570" width="14.81640625" style="89" customWidth="1"/>
    <col min="2571" max="2580" width="8.7265625" style="89"/>
    <col min="2581" max="2581" width="10.54296875" style="89" bestFit="1" customWidth="1"/>
    <col min="2582" max="2816" width="8.7265625" style="89"/>
    <col min="2817" max="2817" width="5" style="89" customWidth="1"/>
    <col min="2818" max="2818" width="1.7265625" style="89" customWidth="1"/>
    <col min="2819" max="2819" width="57.453125" style="89" customWidth="1"/>
    <col min="2820" max="2820" width="1.7265625" style="89" customWidth="1"/>
    <col min="2821" max="2821" width="19.453125" style="89" customWidth="1"/>
    <col min="2822" max="2822" width="0" style="89" hidden="1" customWidth="1"/>
    <col min="2823" max="2823" width="8.7265625" style="89"/>
    <col min="2824" max="2824" width="10.26953125" style="89" customWidth="1"/>
    <col min="2825" max="2825" width="9.81640625" style="89" customWidth="1"/>
    <col min="2826" max="2826" width="14.81640625" style="89" customWidth="1"/>
    <col min="2827" max="2836" width="8.7265625" style="89"/>
    <col min="2837" max="2837" width="10.54296875" style="89" bestFit="1" customWidth="1"/>
    <col min="2838" max="3072" width="8.7265625" style="89"/>
    <col min="3073" max="3073" width="5" style="89" customWidth="1"/>
    <col min="3074" max="3074" width="1.7265625" style="89" customWidth="1"/>
    <col min="3075" max="3075" width="57.453125" style="89" customWidth="1"/>
    <col min="3076" max="3076" width="1.7265625" style="89" customWidth="1"/>
    <col min="3077" max="3077" width="19.453125" style="89" customWidth="1"/>
    <col min="3078" max="3078" width="0" style="89" hidden="1" customWidth="1"/>
    <col min="3079" max="3079" width="8.7265625" style="89"/>
    <col min="3080" max="3080" width="10.26953125" style="89" customWidth="1"/>
    <col min="3081" max="3081" width="9.81640625" style="89" customWidth="1"/>
    <col min="3082" max="3082" width="14.81640625" style="89" customWidth="1"/>
    <col min="3083" max="3092" width="8.7265625" style="89"/>
    <col min="3093" max="3093" width="10.54296875" style="89" bestFit="1" customWidth="1"/>
    <col min="3094" max="3328" width="8.7265625" style="89"/>
    <col min="3329" max="3329" width="5" style="89" customWidth="1"/>
    <col min="3330" max="3330" width="1.7265625" style="89" customWidth="1"/>
    <col min="3331" max="3331" width="57.453125" style="89" customWidth="1"/>
    <col min="3332" max="3332" width="1.7265625" style="89" customWidth="1"/>
    <col min="3333" max="3333" width="19.453125" style="89" customWidth="1"/>
    <col min="3334" max="3334" width="0" style="89" hidden="1" customWidth="1"/>
    <col min="3335" max="3335" width="8.7265625" style="89"/>
    <col min="3336" max="3336" width="10.26953125" style="89" customWidth="1"/>
    <col min="3337" max="3337" width="9.81640625" style="89" customWidth="1"/>
    <col min="3338" max="3338" width="14.81640625" style="89" customWidth="1"/>
    <col min="3339" max="3348" width="8.7265625" style="89"/>
    <col min="3349" max="3349" width="10.54296875" style="89" bestFit="1" customWidth="1"/>
    <col min="3350" max="3584" width="8.7265625" style="89"/>
    <col min="3585" max="3585" width="5" style="89" customWidth="1"/>
    <col min="3586" max="3586" width="1.7265625" style="89" customWidth="1"/>
    <col min="3587" max="3587" width="57.453125" style="89" customWidth="1"/>
    <col min="3588" max="3588" width="1.7265625" style="89" customWidth="1"/>
    <col min="3589" max="3589" width="19.453125" style="89" customWidth="1"/>
    <col min="3590" max="3590" width="0" style="89" hidden="1" customWidth="1"/>
    <col min="3591" max="3591" width="8.7265625" style="89"/>
    <col min="3592" max="3592" width="10.26953125" style="89" customWidth="1"/>
    <col min="3593" max="3593" width="9.81640625" style="89" customWidth="1"/>
    <col min="3594" max="3594" width="14.81640625" style="89" customWidth="1"/>
    <col min="3595" max="3604" width="8.7265625" style="89"/>
    <col min="3605" max="3605" width="10.54296875" style="89" bestFit="1" customWidth="1"/>
    <col min="3606" max="3840" width="8.7265625" style="89"/>
    <col min="3841" max="3841" width="5" style="89" customWidth="1"/>
    <col min="3842" max="3842" width="1.7265625" style="89" customWidth="1"/>
    <col min="3843" max="3843" width="57.453125" style="89" customWidth="1"/>
    <col min="3844" max="3844" width="1.7265625" style="89" customWidth="1"/>
    <col min="3845" max="3845" width="19.453125" style="89" customWidth="1"/>
    <col min="3846" max="3846" width="0" style="89" hidden="1" customWidth="1"/>
    <col min="3847" max="3847" width="8.7265625" style="89"/>
    <col min="3848" max="3848" width="10.26953125" style="89" customWidth="1"/>
    <col min="3849" max="3849" width="9.81640625" style="89" customWidth="1"/>
    <col min="3850" max="3850" width="14.81640625" style="89" customWidth="1"/>
    <col min="3851" max="3860" width="8.7265625" style="89"/>
    <col min="3861" max="3861" width="10.54296875" style="89" bestFit="1" customWidth="1"/>
    <col min="3862" max="4096" width="8.7265625" style="89"/>
    <col min="4097" max="4097" width="5" style="89" customWidth="1"/>
    <col min="4098" max="4098" width="1.7265625" style="89" customWidth="1"/>
    <col min="4099" max="4099" width="57.453125" style="89" customWidth="1"/>
    <col min="4100" max="4100" width="1.7265625" style="89" customWidth="1"/>
    <col min="4101" max="4101" width="19.453125" style="89" customWidth="1"/>
    <col min="4102" max="4102" width="0" style="89" hidden="1" customWidth="1"/>
    <col min="4103" max="4103" width="8.7265625" style="89"/>
    <col min="4104" max="4104" width="10.26953125" style="89" customWidth="1"/>
    <col min="4105" max="4105" width="9.81640625" style="89" customWidth="1"/>
    <col min="4106" max="4106" width="14.81640625" style="89" customWidth="1"/>
    <col min="4107" max="4116" width="8.7265625" style="89"/>
    <col min="4117" max="4117" width="10.54296875" style="89" bestFit="1" customWidth="1"/>
    <col min="4118" max="4352" width="8.7265625" style="89"/>
    <col min="4353" max="4353" width="5" style="89" customWidth="1"/>
    <col min="4354" max="4354" width="1.7265625" style="89" customWidth="1"/>
    <col min="4355" max="4355" width="57.453125" style="89" customWidth="1"/>
    <col min="4356" max="4356" width="1.7265625" style="89" customWidth="1"/>
    <col min="4357" max="4357" width="19.453125" style="89" customWidth="1"/>
    <col min="4358" max="4358" width="0" style="89" hidden="1" customWidth="1"/>
    <col min="4359" max="4359" width="8.7265625" style="89"/>
    <col min="4360" max="4360" width="10.26953125" style="89" customWidth="1"/>
    <col min="4361" max="4361" width="9.81640625" style="89" customWidth="1"/>
    <col min="4362" max="4362" width="14.81640625" style="89" customWidth="1"/>
    <col min="4363" max="4372" width="8.7265625" style="89"/>
    <col min="4373" max="4373" width="10.54296875" style="89" bestFit="1" customWidth="1"/>
    <col min="4374" max="4608" width="8.7265625" style="89"/>
    <col min="4609" max="4609" width="5" style="89" customWidth="1"/>
    <col min="4610" max="4610" width="1.7265625" style="89" customWidth="1"/>
    <col min="4611" max="4611" width="57.453125" style="89" customWidth="1"/>
    <col min="4612" max="4612" width="1.7265625" style="89" customWidth="1"/>
    <col min="4613" max="4613" width="19.453125" style="89" customWidth="1"/>
    <col min="4614" max="4614" width="0" style="89" hidden="1" customWidth="1"/>
    <col min="4615" max="4615" width="8.7265625" style="89"/>
    <col min="4616" max="4616" width="10.26953125" style="89" customWidth="1"/>
    <col min="4617" max="4617" width="9.81640625" style="89" customWidth="1"/>
    <col min="4618" max="4618" width="14.81640625" style="89" customWidth="1"/>
    <col min="4619" max="4628" width="8.7265625" style="89"/>
    <col min="4629" max="4629" width="10.54296875" style="89" bestFit="1" customWidth="1"/>
    <col min="4630" max="4864" width="8.7265625" style="89"/>
    <col min="4865" max="4865" width="5" style="89" customWidth="1"/>
    <col min="4866" max="4866" width="1.7265625" style="89" customWidth="1"/>
    <col min="4867" max="4867" width="57.453125" style="89" customWidth="1"/>
    <col min="4868" max="4868" width="1.7265625" style="89" customWidth="1"/>
    <col min="4869" max="4869" width="19.453125" style="89" customWidth="1"/>
    <col min="4870" max="4870" width="0" style="89" hidden="1" customWidth="1"/>
    <col min="4871" max="4871" width="8.7265625" style="89"/>
    <col min="4872" max="4872" width="10.26953125" style="89" customWidth="1"/>
    <col min="4873" max="4873" width="9.81640625" style="89" customWidth="1"/>
    <col min="4874" max="4874" width="14.81640625" style="89" customWidth="1"/>
    <col min="4875" max="4884" width="8.7265625" style="89"/>
    <col min="4885" max="4885" width="10.54296875" style="89" bestFit="1" customWidth="1"/>
    <col min="4886" max="5120" width="8.7265625" style="89"/>
    <col min="5121" max="5121" width="5" style="89" customWidth="1"/>
    <col min="5122" max="5122" width="1.7265625" style="89" customWidth="1"/>
    <col min="5123" max="5123" width="57.453125" style="89" customWidth="1"/>
    <col min="5124" max="5124" width="1.7265625" style="89" customWidth="1"/>
    <col min="5125" max="5125" width="19.453125" style="89" customWidth="1"/>
    <col min="5126" max="5126" width="0" style="89" hidden="1" customWidth="1"/>
    <col min="5127" max="5127" width="8.7265625" style="89"/>
    <col min="5128" max="5128" width="10.26953125" style="89" customWidth="1"/>
    <col min="5129" max="5129" width="9.81640625" style="89" customWidth="1"/>
    <col min="5130" max="5130" width="14.81640625" style="89" customWidth="1"/>
    <col min="5131" max="5140" width="8.7265625" style="89"/>
    <col min="5141" max="5141" width="10.54296875" style="89" bestFit="1" customWidth="1"/>
    <col min="5142" max="5376" width="8.7265625" style="89"/>
    <col min="5377" max="5377" width="5" style="89" customWidth="1"/>
    <col min="5378" max="5378" width="1.7265625" style="89" customWidth="1"/>
    <col min="5379" max="5379" width="57.453125" style="89" customWidth="1"/>
    <col min="5380" max="5380" width="1.7265625" style="89" customWidth="1"/>
    <col min="5381" max="5381" width="19.453125" style="89" customWidth="1"/>
    <col min="5382" max="5382" width="0" style="89" hidden="1" customWidth="1"/>
    <col min="5383" max="5383" width="8.7265625" style="89"/>
    <col min="5384" max="5384" width="10.26953125" style="89" customWidth="1"/>
    <col min="5385" max="5385" width="9.81640625" style="89" customWidth="1"/>
    <col min="5386" max="5386" width="14.81640625" style="89" customWidth="1"/>
    <col min="5387" max="5396" width="8.7265625" style="89"/>
    <col min="5397" max="5397" width="10.54296875" style="89" bestFit="1" customWidth="1"/>
    <col min="5398" max="5632" width="8.7265625" style="89"/>
    <col min="5633" max="5633" width="5" style="89" customWidth="1"/>
    <col min="5634" max="5634" width="1.7265625" style="89" customWidth="1"/>
    <col min="5635" max="5635" width="57.453125" style="89" customWidth="1"/>
    <col min="5636" max="5636" width="1.7265625" style="89" customWidth="1"/>
    <col min="5637" max="5637" width="19.453125" style="89" customWidth="1"/>
    <col min="5638" max="5638" width="0" style="89" hidden="1" customWidth="1"/>
    <col min="5639" max="5639" width="8.7265625" style="89"/>
    <col min="5640" max="5640" width="10.26953125" style="89" customWidth="1"/>
    <col min="5641" max="5641" width="9.81640625" style="89" customWidth="1"/>
    <col min="5642" max="5642" width="14.81640625" style="89" customWidth="1"/>
    <col min="5643" max="5652" width="8.7265625" style="89"/>
    <col min="5653" max="5653" width="10.54296875" style="89" bestFit="1" customWidth="1"/>
    <col min="5654" max="5888" width="8.7265625" style="89"/>
    <col min="5889" max="5889" width="5" style="89" customWidth="1"/>
    <col min="5890" max="5890" width="1.7265625" style="89" customWidth="1"/>
    <col min="5891" max="5891" width="57.453125" style="89" customWidth="1"/>
    <col min="5892" max="5892" width="1.7265625" style="89" customWidth="1"/>
    <col min="5893" max="5893" width="19.453125" style="89" customWidth="1"/>
    <col min="5894" max="5894" width="0" style="89" hidden="1" customWidth="1"/>
    <col min="5895" max="5895" width="8.7265625" style="89"/>
    <col min="5896" max="5896" width="10.26953125" style="89" customWidth="1"/>
    <col min="5897" max="5897" width="9.81640625" style="89" customWidth="1"/>
    <col min="5898" max="5898" width="14.81640625" style="89" customWidth="1"/>
    <col min="5899" max="5908" width="8.7265625" style="89"/>
    <col min="5909" max="5909" width="10.54296875" style="89" bestFit="1" customWidth="1"/>
    <col min="5910" max="6144" width="8.7265625" style="89"/>
    <col min="6145" max="6145" width="5" style="89" customWidth="1"/>
    <col min="6146" max="6146" width="1.7265625" style="89" customWidth="1"/>
    <col min="6147" max="6147" width="57.453125" style="89" customWidth="1"/>
    <col min="6148" max="6148" width="1.7265625" style="89" customWidth="1"/>
    <col min="6149" max="6149" width="19.453125" style="89" customWidth="1"/>
    <col min="6150" max="6150" width="0" style="89" hidden="1" customWidth="1"/>
    <col min="6151" max="6151" width="8.7265625" style="89"/>
    <col min="6152" max="6152" width="10.26953125" style="89" customWidth="1"/>
    <col min="6153" max="6153" width="9.81640625" style="89" customWidth="1"/>
    <col min="6154" max="6154" width="14.81640625" style="89" customWidth="1"/>
    <col min="6155" max="6164" width="8.7265625" style="89"/>
    <col min="6165" max="6165" width="10.54296875" style="89" bestFit="1" customWidth="1"/>
    <col min="6166" max="6400" width="8.7265625" style="89"/>
    <col min="6401" max="6401" width="5" style="89" customWidth="1"/>
    <col min="6402" max="6402" width="1.7265625" style="89" customWidth="1"/>
    <col min="6403" max="6403" width="57.453125" style="89" customWidth="1"/>
    <col min="6404" max="6404" width="1.7265625" style="89" customWidth="1"/>
    <col min="6405" max="6405" width="19.453125" style="89" customWidth="1"/>
    <col min="6406" max="6406" width="0" style="89" hidden="1" customWidth="1"/>
    <col min="6407" max="6407" width="8.7265625" style="89"/>
    <col min="6408" max="6408" width="10.26953125" style="89" customWidth="1"/>
    <col min="6409" max="6409" width="9.81640625" style="89" customWidth="1"/>
    <col min="6410" max="6410" width="14.81640625" style="89" customWidth="1"/>
    <col min="6411" max="6420" width="8.7265625" style="89"/>
    <col min="6421" max="6421" width="10.54296875" style="89" bestFit="1" customWidth="1"/>
    <col min="6422" max="6656" width="8.7265625" style="89"/>
    <col min="6657" max="6657" width="5" style="89" customWidth="1"/>
    <col min="6658" max="6658" width="1.7265625" style="89" customWidth="1"/>
    <col min="6659" max="6659" width="57.453125" style="89" customWidth="1"/>
    <col min="6660" max="6660" width="1.7265625" style="89" customWidth="1"/>
    <col min="6661" max="6661" width="19.453125" style="89" customWidth="1"/>
    <col min="6662" max="6662" width="0" style="89" hidden="1" customWidth="1"/>
    <col min="6663" max="6663" width="8.7265625" style="89"/>
    <col min="6664" max="6664" width="10.26953125" style="89" customWidth="1"/>
    <col min="6665" max="6665" width="9.81640625" style="89" customWidth="1"/>
    <col min="6666" max="6666" width="14.81640625" style="89" customWidth="1"/>
    <col min="6667" max="6676" width="8.7265625" style="89"/>
    <col min="6677" max="6677" width="10.54296875" style="89" bestFit="1" customWidth="1"/>
    <col min="6678" max="6912" width="8.7265625" style="89"/>
    <col min="6913" max="6913" width="5" style="89" customWidth="1"/>
    <col min="6914" max="6914" width="1.7265625" style="89" customWidth="1"/>
    <col min="6915" max="6915" width="57.453125" style="89" customWidth="1"/>
    <col min="6916" max="6916" width="1.7265625" style="89" customWidth="1"/>
    <col min="6917" max="6917" width="19.453125" style="89" customWidth="1"/>
    <col min="6918" max="6918" width="0" style="89" hidden="1" customWidth="1"/>
    <col min="6919" max="6919" width="8.7265625" style="89"/>
    <col min="6920" max="6920" width="10.26953125" style="89" customWidth="1"/>
    <col min="6921" max="6921" width="9.81640625" style="89" customWidth="1"/>
    <col min="6922" max="6922" width="14.81640625" style="89" customWidth="1"/>
    <col min="6923" max="6932" width="8.7265625" style="89"/>
    <col min="6933" max="6933" width="10.54296875" style="89" bestFit="1" customWidth="1"/>
    <col min="6934" max="7168" width="8.7265625" style="89"/>
    <col min="7169" max="7169" width="5" style="89" customWidth="1"/>
    <col min="7170" max="7170" width="1.7265625" style="89" customWidth="1"/>
    <col min="7171" max="7171" width="57.453125" style="89" customWidth="1"/>
    <col min="7172" max="7172" width="1.7265625" style="89" customWidth="1"/>
    <col min="7173" max="7173" width="19.453125" style="89" customWidth="1"/>
    <col min="7174" max="7174" width="0" style="89" hidden="1" customWidth="1"/>
    <col min="7175" max="7175" width="8.7265625" style="89"/>
    <col min="7176" max="7176" width="10.26953125" style="89" customWidth="1"/>
    <col min="7177" max="7177" width="9.81640625" style="89" customWidth="1"/>
    <col min="7178" max="7178" width="14.81640625" style="89" customWidth="1"/>
    <col min="7179" max="7188" width="8.7265625" style="89"/>
    <col min="7189" max="7189" width="10.54296875" style="89" bestFit="1" customWidth="1"/>
    <col min="7190" max="7424" width="8.7265625" style="89"/>
    <col min="7425" max="7425" width="5" style="89" customWidth="1"/>
    <col min="7426" max="7426" width="1.7265625" style="89" customWidth="1"/>
    <col min="7427" max="7427" width="57.453125" style="89" customWidth="1"/>
    <col min="7428" max="7428" width="1.7265625" style="89" customWidth="1"/>
    <col min="7429" max="7429" width="19.453125" style="89" customWidth="1"/>
    <col min="7430" max="7430" width="0" style="89" hidden="1" customWidth="1"/>
    <col min="7431" max="7431" width="8.7265625" style="89"/>
    <col min="7432" max="7432" width="10.26953125" style="89" customWidth="1"/>
    <col min="7433" max="7433" width="9.81640625" style="89" customWidth="1"/>
    <col min="7434" max="7434" width="14.81640625" style="89" customWidth="1"/>
    <col min="7435" max="7444" width="8.7265625" style="89"/>
    <col min="7445" max="7445" width="10.54296875" style="89" bestFit="1" customWidth="1"/>
    <col min="7446" max="7680" width="8.7265625" style="89"/>
    <col min="7681" max="7681" width="5" style="89" customWidth="1"/>
    <col min="7682" max="7682" width="1.7265625" style="89" customWidth="1"/>
    <col min="7683" max="7683" width="57.453125" style="89" customWidth="1"/>
    <col min="7684" max="7684" width="1.7265625" style="89" customWidth="1"/>
    <col min="7685" max="7685" width="19.453125" style="89" customWidth="1"/>
    <col min="7686" max="7686" width="0" style="89" hidden="1" customWidth="1"/>
    <col min="7687" max="7687" width="8.7265625" style="89"/>
    <col min="7688" max="7688" width="10.26953125" style="89" customWidth="1"/>
    <col min="7689" max="7689" width="9.81640625" style="89" customWidth="1"/>
    <col min="7690" max="7690" width="14.81640625" style="89" customWidth="1"/>
    <col min="7691" max="7700" width="8.7265625" style="89"/>
    <col min="7701" max="7701" width="10.54296875" style="89" bestFit="1" customWidth="1"/>
    <col min="7702" max="7936" width="8.7265625" style="89"/>
    <col min="7937" max="7937" width="5" style="89" customWidth="1"/>
    <col min="7938" max="7938" width="1.7265625" style="89" customWidth="1"/>
    <col min="7939" max="7939" width="57.453125" style="89" customWidth="1"/>
    <col min="7940" max="7940" width="1.7265625" style="89" customWidth="1"/>
    <col min="7941" max="7941" width="19.453125" style="89" customWidth="1"/>
    <col min="7942" max="7942" width="0" style="89" hidden="1" customWidth="1"/>
    <col min="7943" max="7943" width="8.7265625" style="89"/>
    <col min="7944" max="7944" width="10.26953125" style="89" customWidth="1"/>
    <col min="7945" max="7945" width="9.81640625" style="89" customWidth="1"/>
    <col min="7946" max="7946" width="14.81640625" style="89" customWidth="1"/>
    <col min="7947" max="7956" width="8.7265625" style="89"/>
    <col min="7957" max="7957" width="10.54296875" style="89" bestFit="1" customWidth="1"/>
    <col min="7958" max="8192" width="8.7265625" style="89"/>
    <col min="8193" max="8193" width="5" style="89" customWidth="1"/>
    <col min="8194" max="8194" width="1.7265625" style="89" customWidth="1"/>
    <col min="8195" max="8195" width="57.453125" style="89" customWidth="1"/>
    <col min="8196" max="8196" width="1.7265625" style="89" customWidth="1"/>
    <col min="8197" max="8197" width="19.453125" style="89" customWidth="1"/>
    <col min="8198" max="8198" width="0" style="89" hidden="1" customWidth="1"/>
    <col min="8199" max="8199" width="8.7265625" style="89"/>
    <col min="8200" max="8200" width="10.26953125" style="89" customWidth="1"/>
    <col min="8201" max="8201" width="9.81640625" style="89" customWidth="1"/>
    <col min="8202" max="8202" width="14.81640625" style="89" customWidth="1"/>
    <col min="8203" max="8212" width="8.7265625" style="89"/>
    <col min="8213" max="8213" width="10.54296875" style="89" bestFit="1" customWidth="1"/>
    <col min="8214" max="8448" width="8.7265625" style="89"/>
    <col min="8449" max="8449" width="5" style="89" customWidth="1"/>
    <col min="8450" max="8450" width="1.7265625" style="89" customWidth="1"/>
    <col min="8451" max="8451" width="57.453125" style="89" customWidth="1"/>
    <col min="8452" max="8452" width="1.7265625" style="89" customWidth="1"/>
    <col min="8453" max="8453" width="19.453125" style="89" customWidth="1"/>
    <col min="8454" max="8454" width="0" style="89" hidden="1" customWidth="1"/>
    <col min="8455" max="8455" width="8.7265625" style="89"/>
    <col min="8456" max="8456" width="10.26953125" style="89" customWidth="1"/>
    <col min="8457" max="8457" width="9.81640625" style="89" customWidth="1"/>
    <col min="8458" max="8458" width="14.81640625" style="89" customWidth="1"/>
    <col min="8459" max="8468" width="8.7265625" style="89"/>
    <col min="8469" max="8469" width="10.54296875" style="89" bestFit="1" customWidth="1"/>
    <col min="8470" max="8704" width="8.7265625" style="89"/>
    <col min="8705" max="8705" width="5" style="89" customWidth="1"/>
    <col min="8706" max="8706" width="1.7265625" style="89" customWidth="1"/>
    <col min="8707" max="8707" width="57.453125" style="89" customWidth="1"/>
    <col min="8708" max="8708" width="1.7265625" style="89" customWidth="1"/>
    <col min="8709" max="8709" width="19.453125" style="89" customWidth="1"/>
    <col min="8710" max="8710" width="0" style="89" hidden="1" customWidth="1"/>
    <col min="8711" max="8711" width="8.7265625" style="89"/>
    <col min="8712" max="8712" width="10.26953125" style="89" customWidth="1"/>
    <col min="8713" max="8713" width="9.81640625" style="89" customWidth="1"/>
    <col min="8714" max="8714" width="14.81640625" style="89" customWidth="1"/>
    <col min="8715" max="8724" width="8.7265625" style="89"/>
    <col min="8725" max="8725" width="10.54296875" style="89" bestFit="1" customWidth="1"/>
    <col min="8726" max="8960" width="8.7265625" style="89"/>
    <col min="8961" max="8961" width="5" style="89" customWidth="1"/>
    <col min="8962" max="8962" width="1.7265625" style="89" customWidth="1"/>
    <col min="8963" max="8963" width="57.453125" style="89" customWidth="1"/>
    <col min="8964" max="8964" width="1.7265625" style="89" customWidth="1"/>
    <col min="8965" max="8965" width="19.453125" style="89" customWidth="1"/>
    <col min="8966" max="8966" width="0" style="89" hidden="1" customWidth="1"/>
    <col min="8967" max="8967" width="8.7265625" style="89"/>
    <col min="8968" max="8968" width="10.26953125" style="89" customWidth="1"/>
    <col min="8969" max="8969" width="9.81640625" style="89" customWidth="1"/>
    <col min="8970" max="8970" width="14.81640625" style="89" customWidth="1"/>
    <col min="8971" max="8980" width="8.7265625" style="89"/>
    <col min="8981" max="8981" width="10.54296875" style="89" bestFit="1" customWidth="1"/>
    <col min="8982" max="9216" width="8.7265625" style="89"/>
    <col min="9217" max="9217" width="5" style="89" customWidth="1"/>
    <col min="9218" max="9218" width="1.7265625" style="89" customWidth="1"/>
    <col min="9219" max="9219" width="57.453125" style="89" customWidth="1"/>
    <col min="9220" max="9220" width="1.7265625" style="89" customWidth="1"/>
    <col min="9221" max="9221" width="19.453125" style="89" customWidth="1"/>
    <col min="9222" max="9222" width="0" style="89" hidden="1" customWidth="1"/>
    <col min="9223" max="9223" width="8.7265625" style="89"/>
    <col min="9224" max="9224" width="10.26953125" style="89" customWidth="1"/>
    <col min="9225" max="9225" width="9.81640625" style="89" customWidth="1"/>
    <col min="9226" max="9226" width="14.81640625" style="89" customWidth="1"/>
    <col min="9227" max="9236" width="8.7265625" style="89"/>
    <col min="9237" max="9237" width="10.54296875" style="89" bestFit="1" customWidth="1"/>
    <col min="9238" max="9472" width="8.7265625" style="89"/>
    <col min="9473" max="9473" width="5" style="89" customWidth="1"/>
    <col min="9474" max="9474" width="1.7265625" style="89" customWidth="1"/>
    <col min="9475" max="9475" width="57.453125" style="89" customWidth="1"/>
    <col min="9476" max="9476" width="1.7265625" style="89" customWidth="1"/>
    <col min="9477" max="9477" width="19.453125" style="89" customWidth="1"/>
    <col min="9478" max="9478" width="0" style="89" hidden="1" customWidth="1"/>
    <col min="9479" max="9479" width="8.7265625" style="89"/>
    <col min="9480" max="9480" width="10.26953125" style="89" customWidth="1"/>
    <col min="9481" max="9481" width="9.81640625" style="89" customWidth="1"/>
    <col min="9482" max="9482" width="14.81640625" style="89" customWidth="1"/>
    <col min="9483" max="9492" width="8.7265625" style="89"/>
    <col min="9493" max="9493" width="10.54296875" style="89" bestFit="1" customWidth="1"/>
    <col min="9494" max="9728" width="8.7265625" style="89"/>
    <col min="9729" max="9729" width="5" style="89" customWidth="1"/>
    <col min="9730" max="9730" width="1.7265625" style="89" customWidth="1"/>
    <col min="9731" max="9731" width="57.453125" style="89" customWidth="1"/>
    <col min="9732" max="9732" width="1.7265625" style="89" customWidth="1"/>
    <col min="9733" max="9733" width="19.453125" style="89" customWidth="1"/>
    <col min="9734" max="9734" width="0" style="89" hidden="1" customWidth="1"/>
    <col min="9735" max="9735" width="8.7265625" style="89"/>
    <col min="9736" max="9736" width="10.26953125" style="89" customWidth="1"/>
    <col min="9737" max="9737" width="9.81640625" style="89" customWidth="1"/>
    <col min="9738" max="9738" width="14.81640625" style="89" customWidth="1"/>
    <col min="9739" max="9748" width="8.7265625" style="89"/>
    <col min="9749" max="9749" width="10.54296875" style="89" bestFit="1" customWidth="1"/>
    <col min="9750" max="9984" width="8.7265625" style="89"/>
    <col min="9985" max="9985" width="5" style="89" customWidth="1"/>
    <col min="9986" max="9986" width="1.7265625" style="89" customWidth="1"/>
    <col min="9987" max="9987" width="57.453125" style="89" customWidth="1"/>
    <col min="9988" max="9988" width="1.7265625" style="89" customWidth="1"/>
    <col min="9989" max="9989" width="19.453125" style="89" customWidth="1"/>
    <col min="9990" max="9990" width="0" style="89" hidden="1" customWidth="1"/>
    <col min="9991" max="9991" width="8.7265625" style="89"/>
    <col min="9992" max="9992" width="10.26953125" style="89" customWidth="1"/>
    <col min="9993" max="9993" width="9.81640625" style="89" customWidth="1"/>
    <col min="9994" max="9994" width="14.81640625" style="89" customWidth="1"/>
    <col min="9995" max="10004" width="8.7265625" style="89"/>
    <col min="10005" max="10005" width="10.54296875" style="89" bestFit="1" customWidth="1"/>
    <col min="10006" max="10240" width="8.7265625" style="89"/>
    <col min="10241" max="10241" width="5" style="89" customWidth="1"/>
    <col min="10242" max="10242" width="1.7265625" style="89" customWidth="1"/>
    <col min="10243" max="10243" width="57.453125" style="89" customWidth="1"/>
    <col min="10244" max="10244" width="1.7265625" style="89" customWidth="1"/>
    <col min="10245" max="10245" width="19.453125" style="89" customWidth="1"/>
    <col min="10246" max="10246" width="0" style="89" hidden="1" customWidth="1"/>
    <col min="10247" max="10247" width="8.7265625" style="89"/>
    <col min="10248" max="10248" width="10.26953125" style="89" customWidth="1"/>
    <col min="10249" max="10249" width="9.81640625" style="89" customWidth="1"/>
    <col min="10250" max="10250" width="14.81640625" style="89" customWidth="1"/>
    <col min="10251" max="10260" width="8.7265625" style="89"/>
    <col min="10261" max="10261" width="10.54296875" style="89" bestFit="1" customWidth="1"/>
    <col min="10262" max="10496" width="8.7265625" style="89"/>
    <col min="10497" max="10497" width="5" style="89" customWidth="1"/>
    <col min="10498" max="10498" width="1.7265625" style="89" customWidth="1"/>
    <col min="10499" max="10499" width="57.453125" style="89" customWidth="1"/>
    <col min="10500" max="10500" width="1.7265625" style="89" customWidth="1"/>
    <col min="10501" max="10501" width="19.453125" style="89" customWidth="1"/>
    <col min="10502" max="10502" width="0" style="89" hidden="1" customWidth="1"/>
    <col min="10503" max="10503" width="8.7265625" style="89"/>
    <col min="10504" max="10504" width="10.26953125" style="89" customWidth="1"/>
    <col min="10505" max="10505" width="9.81640625" style="89" customWidth="1"/>
    <col min="10506" max="10506" width="14.81640625" style="89" customWidth="1"/>
    <col min="10507" max="10516" width="8.7265625" style="89"/>
    <col min="10517" max="10517" width="10.54296875" style="89" bestFit="1" customWidth="1"/>
    <col min="10518" max="10752" width="8.7265625" style="89"/>
    <col min="10753" max="10753" width="5" style="89" customWidth="1"/>
    <col min="10754" max="10754" width="1.7265625" style="89" customWidth="1"/>
    <col min="10755" max="10755" width="57.453125" style="89" customWidth="1"/>
    <col min="10756" max="10756" width="1.7265625" style="89" customWidth="1"/>
    <col min="10757" max="10757" width="19.453125" style="89" customWidth="1"/>
    <col min="10758" max="10758" width="0" style="89" hidden="1" customWidth="1"/>
    <col min="10759" max="10759" width="8.7265625" style="89"/>
    <col min="10760" max="10760" width="10.26953125" style="89" customWidth="1"/>
    <col min="10761" max="10761" width="9.81640625" style="89" customWidth="1"/>
    <col min="10762" max="10762" width="14.81640625" style="89" customWidth="1"/>
    <col min="10763" max="10772" width="8.7265625" style="89"/>
    <col min="10773" max="10773" width="10.54296875" style="89" bestFit="1" customWidth="1"/>
    <col min="10774" max="11008" width="8.7265625" style="89"/>
    <col min="11009" max="11009" width="5" style="89" customWidth="1"/>
    <col min="11010" max="11010" width="1.7265625" style="89" customWidth="1"/>
    <col min="11011" max="11011" width="57.453125" style="89" customWidth="1"/>
    <col min="11012" max="11012" width="1.7265625" style="89" customWidth="1"/>
    <col min="11013" max="11013" width="19.453125" style="89" customWidth="1"/>
    <col min="11014" max="11014" width="0" style="89" hidden="1" customWidth="1"/>
    <col min="11015" max="11015" width="8.7265625" style="89"/>
    <col min="11016" max="11016" width="10.26953125" style="89" customWidth="1"/>
    <col min="11017" max="11017" width="9.81640625" style="89" customWidth="1"/>
    <col min="11018" max="11018" width="14.81640625" style="89" customWidth="1"/>
    <col min="11019" max="11028" width="8.7265625" style="89"/>
    <col min="11029" max="11029" width="10.54296875" style="89" bestFit="1" customWidth="1"/>
    <col min="11030" max="11264" width="8.7265625" style="89"/>
    <col min="11265" max="11265" width="5" style="89" customWidth="1"/>
    <col min="11266" max="11266" width="1.7265625" style="89" customWidth="1"/>
    <col min="11267" max="11267" width="57.453125" style="89" customWidth="1"/>
    <col min="11268" max="11268" width="1.7265625" style="89" customWidth="1"/>
    <col min="11269" max="11269" width="19.453125" style="89" customWidth="1"/>
    <col min="11270" max="11270" width="0" style="89" hidden="1" customWidth="1"/>
    <col min="11271" max="11271" width="8.7265625" style="89"/>
    <col min="11272" max="11272" width="10.26953125" style="89" customWidth="1"/>
    <col min="11273" max="11273" width="9.81640625" style="89" customWidth="1"/>
    <col min="11274" max="11274" width="14.81640625" style="89" customWidth="1"/>
    <col min="11275" max="11284" width="8.7265625" style="89"/>
    <col min="11285" max="11285" width="10.54296875" style="89" bestFit="1" customWidth="1"/>
    <col min="11286" max="11520" width="8.7265625" style="89"/>
    <col min="11521" max="11521" width="5" style="89" customWidth="1"/>
    <col min="11522" max="11522" width="1.7265625" style="89" customWidth="1"/>
    <col min="11523" max="11523" width="57.453125" style="89" customWidth="1"/>
    <col min="11524" max="11524" width="1.7265625" style="89" customWidth="1"/>
    <col min="11525" max="11525" width="19.453125" style="89" customWidth="1"/>
    <col min="11526" max="11526" width="0" style="89" hidden="1" customWidth="1"/>
    <col min="11527" max="11527" width="8.7265625" style="89"/>
    <col min="11528" max="11528" width="10.26953125" style="89" customWidth="1"/>
    <col min="11529" max="11529" width="9.81640625" style="89" customWidth="1"/>
    <col min="11530" max="11530" width="14.81640625" style="89" customWidth="1"/>
    <col min="11531" max="11540" width="8.7265625" style="89"/>
    <col min="11541" max="11541" width="10.54296875" style="89" bestFit="1" customWidth="1"/>
    <col min="11542" max="11776" width="8.7265625" style="89"/>
    <col min="11777" max="11777" width="5" style="89" customWidth="1"/>
    <col min="11778" max="11778" width="1.7265625" style="89" customWidth="1"/>
    <col min="11779" max="11779" width="57.453125" style="89" customWidth="1"/>
    <col min="11780" max="11780" width="1.7265625" style="89" customWidth="1"/>
    <col min="11781" max="11781" width="19.453125" style="89" customWidth="1"/>
    <col min="11782" max="11782" width="0" style="89" hidden="1" customWidth="1"/>
    <col min="11783" max="11783" width="8.7265625" style="89"/>
    <col min="11784" max="11784" width="10.26953125" style="89" customWidth="1"/>
    <col min="11785" max="11785" width="9.81640625" style="89" customWidth="1"/>
    <col min="11786" max="11786" width="14.81640625" style="89" customWidth="1"/>
    <col min="11787" max="11796" width="8.7265625" style="89"/>
    <col min="11797" max="11797" width="10.54296875" style="89" bestFit="1" customWidth="1"/>
    <col min="11798" max="12032" width="8.7265625" style="89"/>
    <col min="12033" max="12033" width="5" style="89" customWidth="1"/>
    <col min="12034" max="12034" width="1.7265625" style="89" customWidth="1"/>
    <col min="12035" max="12035" width="57.453125" style="89" customWidth="1"/>
    <col min="12036" max="12036" width="1.7265625" style="89" customWidth="1"/>
    <col min="12037" max="12037" width="19.453125" style="89" customWidth="1"/>
    <col min="12038" max="12038" width="0" style="89" hidden="1" customWidth="1"/>
    <col min="12039" max="12039" width="8.7265625" style="89"/>
    <col min="12040" max="12040" width="10.26953125" style="89" customWidth="1"/>
    <col min="12041" max="12041" width="9.81640625" style="89" customWidth="1"/>
    <col min="12042" max="12042" width="14.81640625" style="89" customWidth="1"/>
    <col min="12043" max="12052" width="8.7265625" style="89"/>
    <col min="12053" max="12053" width="10.54296875" style="89" bestFit="1" customWidth="1"/>
    <col min="12054" max="12288" width="8.7265625" style="89"/>
    <col min="12289" max="12289" width="5" style="89" customWidth="1"/>
    <col min="12290" max="12290" width="1.7265625" style="89" customWidth="1"/>
    <col min="12291" max="12291" width="57.453125" style="89" customWidth="1"/>
    <col min="12292" max="12292" width="1.7265625" style="89" customWidth="1"/>
    <col min="12293" max="12293" width="19.453125" style="89" customWidth="1"/>
    <col min="12294" max="12294" width="0" style="89" hidden="1" customWidth="1"/>
    <col min="12295" max="12295" width="8.7265625" style="89"/>
    <col min="12296" max="12296" width="10.26953125" style="89" customWidth="1"/>
    <col min="12297" max="12297" width="9.81640625" style="89" customWidth="1"/>
    <col min="12298" max="12298" width="14.81640625" style="89" customWidth="1"/>
    <col min="12299" max="12308" width="8.7265625" style="89"/>
    <col min="12309" max="12309" width="10.54296875" style="89" bestFit="1" customWidth="1"/>
    <col min="12310" max="12544" width="8.7265625" style="89"/>
    <col min="12545" max="12545" width="5" style="89" customWidth="1"/>
    <col min="12546" max="12546" width="1.7265625" style="89" customWidth="1"/>
    <col min="12547" max="12547" width="57.453125" style="89" customWidth="1"/>
    <col min="12548" max="12548" width="1.7265625" style="89" customWidth="1"/>
    <col min="12549" max="12549" width="19.453125" style="89" customWidth="1"/>
    <col min="12550" max="12550" width="0" style="89" hidden="1" customWidth="1"/>
    <col min="12551" max="12551" width="8.7265625" style="89"/>
    <col min="12552" max="12552" width="10.26953125" style="89" customWidth="1"/>
    <col min="12553" max="12553" width="9.81640625" style="89" customWidth="1"/>
    <col min="12554" max="12554" width="14.81640625" style="89" customWidth="1"/>
    <col min="12555" max="12564" width="8.7265625" style="89"/>
    <col min="12565" max="12565" width="10.54296875" style="89" bestFit="1" customWidth="1"/>
    <col min="12566" max="12800" width="8.7265625" style="89"/>
    <col min="12801" max="12801" width="5" style="89" customWidth="1"/>
    <col min="12802" max="12802" width="1.7265625" style="89" customWidth="1"/>
    <col min="12803" max="12803" width="57.453125" style="89" customWidth="1"/>
    <col min="12804" max="12804" width="1.7265625" style="89" customWidth="1"/>
    <col min="12805" max="12805" width="19.453125" style="89" customWidth="1"/>
    <col min="12806" max="12806" width="0" style="89" hidden="1" customWidth="1"/>
    <col min="12807" max="12807" width="8.7265625" style="89"/>
    <col min="12808" max="12808" width="10.26953125" style="89" customWidth="1"/>
    <col min="12809" max="12809" width="9.81640625" style="89" customWidth="1"/>
    <col min="12810" max="12810" width="14.81640625" style="89" customWidth="1"/>
    <col min="12811" max="12820" width="8.7265625" style="89"/>
    <col min="12821" max="12821" width="10.54296875" style="89" bestFit="1" customWidth="1"/>
    <col min="12822" max="13056" width="8.7265625" style="89"/>
    <col min="13057" max="13057" width="5" style="89" customWidth="1"/>
    <col min="13058" max="13058" width="1.7265625" style="89" customWidth="1"/>
    <col min="13059" max="13059" width="57.453125" style="89" customWidth="1"/>
    <col min="13060" max="13060" width="1.7265625" style="89" customWidth="1"/>
    <col min="13061" max="13061" width="19.453125" style="89" customWidth="1"/>
    <col min="13062" max="13062" width="0" style="89" hidden="1" customWidth="1"/>
    <col min="13063" max="13063" width="8.7265625" style="89"/>
    <col min="13064" max="13064" width="10.26953125" style="89" customWidth="1"/>
    <col min="13065" max="13065" width="9.81640625" style="89" customWidth="1"/>
    <col min="13066" max="13066" width="14.81640625" style="89" customWidth="1"/>
    <col min="13067" max="13076" width="8.7265625" style="89"/>
    <col min="13077" max="13077" width="10.54296875" style="89" bestFit="1" customWidth="1"/>
    <col min="13078" max="13312" width="8.7265625" style="89"/>
    <col min="13313" max="13313" width="5" style="89" customWidth="1"/>
    <col min="13314" max="13314" width="1.7265625" style="89" customWidth="1"/>
    <col min="13315" max="13315" width="57.453125" style="89" customWidth="1"/>
    <col min="13316" max="13316" width="1.7265625" style="89" customWidth="1"/>
    <col min="13317" max="13317" width="19.453125" style="89" customWidth="1"/>
    <col min="13318" max="13318" width="0" style="89" hidden="1" customWidth="1"/>
    <col min="13319" max="13319" width="8.7265625" style="89"/>
    <col min="13320" max="13320" width="10.26953125" style="89" customWidth="1"/>
    <col min="13321" max="13321" width="9.81640625" style="89" customWidth="1"/>
    <col min="13322" max="13322" width="14.81640625" style="89" customWidth="1"/>
    <col min="13323" max="13332" width="8.7265625" style="89"/>
    <col min="13333" max="13333" width="10.54296875" style="89" bestFit="1" customWidth="1"/>
    <col min="13334" max="13568" width="8.7265625" style="89"/>
    <col min="13569" max="13569" width="5" style="89" customWidth="1"/>
    <col min="13570" max="13570" width="1.7265625" style="89" customWidth="1"/>
    <col min="13571" max="13571" width="57.453125" style="89" customWidth="1"/>
    <col min="13572" max="13572" width="1.7265625" style="89" customWidth="1"/>
    <col min="13573" max="13573" width="19.453125" style="89" customWidth="1"/>
    <col min="13574" max="13574" width="0" style="89" hidden="1" customWidth="1"/>
    <col min="13575" max="13575" width="8.7265625" style="89"/>
    <col min="13576" max="13576" width="10.26953125" style="89" customWidth="1"/>
    <col min="13577" max="13577" width="9.81640625" style="89" customWidth="1"/>
    <col min="13578" max="13578" width="14.81640625" style="89" customWidth="1"/>
    <col min="13579" max="13588" width="8.7265625" style="89"/>
    <col min="13589" max="13589" width="10.54296875" style="89" bestFit="1" customWidth="1"/>
    <col min="13590" max="13824" width="8.7265625" style="89"/>
    <col min="13825" max="13825" width="5" style="89" customWidth="1"/>
    <col min="13826" max="13826" width="1.7265625" style="89" customWidth="1"/>
    <col min="13827" max="13827" width="57.453125" style="89" customWidth="1"/>
    <col min="13828" max="13828" width="1.7265625" style="89" customWidth="1"/>
    <col min="13829" max="13829" width="19.453125" style="89" customWidth="1"/>
    <col min="13830" max="13830" width="0" style="89" hidden="1" customWidth="1"/>
    <col min="13831" max="13831" width="8.7265625" style="89"/>
    <col min="13832" max="13832" width="10.26953125" style="89" customWidth="1"/>
    <col min="13833" max="13833" width="9.81640625" style="89" customWidth="1"/>
    <col min="13834" max="13834" width="14.81640625" style="89" customWidth="1"/>
    <col min="13835" max="13844" width="8.7265625" style="89"/>
    <col min="13845" max="13845" width="10.54296875" style="89" bestFit="1" customWidth="1"/>
    <col min="13846" max="14080" width="8.7265625" style="89"/>
    <col min="14081" max="14081" width="5" style="89" customWidth="1"/>
    <col min="14082" max="14082" width="1.7265625" style="89" customWidth="1"/>
    <col min="14083" max="14083" width="57.453125" style="89" customWidth="1"/>
    <col min="14084" max="14084" width="1.7265625" style="89" customWidth="1"/>
    <col min="14085" max="14085" width="19.453125" style="89" customWidth="1"/>
    <col min="14086" max="14086" width="0" style="89" hidden="1" customWidth="1"/>
    <col min="14087" max="14087" width="8.7265625" style="89"/>
    <col min="14088" max="14088" width="10.26953125" style="89" customWidth="1"/>
    <col min="14089" max="14089" width="9.81640625" style="89" customWidth="1"/>
    <col min="14090" max="14090" width="14.81640625" style="89" customWidth="1"/>
    <col min="14091" max="14100" width="8.7265625" style="89"/>
    <col min="14101" max="14101" width="10.54296875" style="89" bestFit="1" customWidth="1"/>
    <col min="14102" max="14336" width="8.7265625" style="89"/>
    <col min="14337" max="14337" width="5" style="89" customWidth="1"/>
    <col min="14338" max="14338" width="1.7265625" style="89" customWidth="1"/>
    <col min="14339" max="14339" width="57.453125" style="89" customWidth="1"/>
    <col min="14340" max="14340" width="1.7265625" style="89" customWidth="1"/>
    <col min="14341" max="14341" width="19.453125" style="89" customWidth="1"/>
    <col min="14342" max="14342" width="0" style="89" hidden="1" customWidth="1"/>
    <col min="14343" max="14343" width="8.7265625" style="89"/>
    <col min="14344" max="14344" width="10.26953125" style="89" customWidth="1"/>
    <col min="14345" max="14345" width="9.81640625" style="89" customWidth="1"/>
    <col min="14346" max="14346" width="14.81640625" style="89" customWidth="1"/>
    <col min="14347" max="14356" width="8.7265625" style="89"/>
    <col min="14357" max="14357" width="10.54296875" style="89" bestFit="1" customWidth="1"/>
    <col min="14358" max="14592" width="8.7265625" style="89"/>
    <col min="14593" max="14593" width="5" style="89" customWidth="1"/>
    <col min="14594" max="14594" width="1.7265625" style="89" customWidth="1"/>
    <col min="14595" max="14595" width="57.453125" style="89" customWidth="1"/>
    <col min="14596" max="14596" width="1.7265625" style="89" customWidth="1"/>
    <col min="14597" max="14597" width="19.453125" style="89" customWidth="1"/>
    <col min="14598" max="14598" width="0" style="89" hidden="1" customWidth="1"/>
    <col min="14599" max="14599" width="8.7265625" style="89"/>
    <col min="14600" max="14600" width="10.26953125" style="89" customWidth="1"/>
    <col min="14601" max="14601" width="9.81640625" style="89" customWidth="1"/>
    <col min="14602" max="14602" width="14.81640625" style="89" customWidth="1"/>
    <col min="14603" max="14612" width="8.7265625" style="89"/>
    <col min="14613" max="14613" width="10.54296875" style="89" bestFit="1" customWidth="1"/>
    <col min="14614" max="14848" width="8.7265625" style="89"/>
    <col min="14849" max="14849" width="5" style="89" customWidth="1"/>
    <col min="14850" max="14850" width="1.7265625" style="89" customWidth="1"/>
    <col min="14851" max="14851" width="57.453125" style="89" customWidth="1"/>
    <col min="14852" max="14852" width="1.7265625" style="89" customWidth="1"/>
    <col min="14853" max="14853" width="19.453125" style="89" customWidth="1"/>
    <col min="14854" max="14854" width="0" style="89" hidden="1" customWidth="1"/>
    <col min="14855" max="14855" width="8.7265625" style="89"/>
    <col min="14856" max="14856" width="10.26953125" style="89" customWidth="1"/>
    <col min="14857" max="14857" width="9.81640625" style="89" customWidth="1"/>
    <col min="14858" max="14858" width="14.81640625" style="89" customWidth="1"/>
    <col min="14859" max="14868" width="8.7265625" style="89"/>
    <col min="14869" max="14869" width="10.54296875" style="89" bestFit="1" customWidth="1"/>
    <col min="14870" max="15104" width="8.7265625" style="89"/>
    <col min="15105" max="15105" width="5" style="89" customWidth="1"/>
    <col min="15106" max="15106" width="1.7265625" style="89" customWidth="1"/>
    <col min="15107" max="15107" width="57.453125" style="89" customWidth="1"/>
    <col min="15108" max="15108" width="1.7265625" style="89" customWidth="1"/>
    <col min="15109" max="15109" width="19.453125" style="89" customWidth="1"/>
    <col min="15110" max="15110" width="0" style="89" hidden="1" customWidth="1"/>
    <col min="15111" max="15111" width="8.7265625" style="89"/>
    <col min="15112" max="15112" width="10.26953125" style="89" customWidth="1"/>
    <col min="15113" max="15113" width="9.81640625" style="89" customWidth="1"/>
    <col min="15114" max="15114" width="14.81640625" style="89" customWidth="1"/>
    <col min="15115" max="15124" width="8.7265625" style="89"/>
    <col min="15125" max="15125" width="10.54296875" style="89" bestFit="1" customWidth="1"/>
    <col min="15126" max="15360" width="8.7265625" style="89"/>
    <col min="15361" max="15361" width="5" style="89" customWidth="1"/>
    <col min="15362" max="15362" width="1.7265625" style="89" customWidth="1"/>
    <col min="15363" max="15363" width="57.453125" style="89" customWidth="1"/>
    <col min="15364" max="15364" width="1.7265625" style="89" customWidth="1"/>
    <col min="15365" max="15365" width="19.453125" style="89" customWidth="1"/>
    <col min="15366" max="15366" width="0" style="89" hidden="1" customWidth="1"/>
    <col min="15367" max="15367" width="8.7265625" style="89"/>
    <col min="15368" max="15368" width="10.26953125" style="89" customWidth="1"/>
    <col min="15369" max="15369" width="9.81640625" style="89" customWidth="1"/>
    <col min="15370" max="15370" width="14.81640625" style="89" customWidth="1"/>
    <col min="15371" max="15380" width="8.7265625" style="89"/>
    <col min="15381" max="15381" width="10.54296875" style="89" bestFit="1" customWidth="1"/>
    <col min="15382" max="15616" width="8.7265625" style="89"/>
    <col min="15617" max="15617" width="5" style="89" customWidth="1"/>
    <col min="15618" max="15618" width="1.7265625" style="89" customWidth="1"/>
    <col min="15619" max="15619" width="57.453125" style="89" customWidth="1"/>
    <col min="15620" max="15620" width="1.7265625" style="89" customWidth="1"/>
    <col min="15621" max="15621" width="19.453125" style="89" customWidth="1"/>
    <col min="15622" max="15622" width="0" style="89" hidden="1" customWidth="1"/>
    <col min="15623" max="15623" width="8.7265625" style="89"/>
    <col min="15624" max="15624" width="10.26953125" style="89" customWidth="1"/>
    <col min="15625" max="15625" width="9.81640625" style="89" customWidth="1"/>
    <col min="15626" max="15626" width="14.81640625" style="89" customWidth="1"/>
    <col min="15627" max="15636" width="8.7265625" style="89"/>
    <col min="15637" max="15637" width="10.54296875" style="89" bestFit="1" customWidth="1"/>
    <col min="15638" max="15872" width="8.7265625" style="89"/>
    <col min="15873" max="15873" width="5" style="89" customWidth="1"/>
    <col min="15874" max="15874" width="1.7265625" style="89" customWidth="1"/>
    <col min="15875" max="15875" width="57.453125" style="89" customWidth="1"/>
    <col min="15876" max="15876" width="1.7265625" style="89" customWidth="1"/>
    <col min="15877" max="15877" width="19.453125" style="89" customWidth="1"/>
    <col min="15878" max="15878" width="0" style="89" hidden="1" customWidth="1"/>
    <col min="15879" max="15879" width="8.7265625" style="89"/>
    <col min="15880" max="15880" width="10.26953125" style="89" customWidth="1"/>
    <col min="15881" max="15881" width="9.81640625" style="89" customWidth="1"/>
    <col min="15882" max="15882" width="14.81640625" style="89" customWidth="1"/>
    <col min="15883" max="15892" width="8.7265625" style="89"/>
    <col min="15893" max="15893" width="10.54296875" style="89" bestFit="1" customWidth="1"/>
    <col min="15894" max="16128" width="8.7265625" style="89"/>
    <col min="16129" max="16129" width="5" style="89" customWidth="1"/>
    <col min="16130" max="16130" width="1.7265625" style="89" customWidth="1"/>
    <col min="16131" max="16131" width="57.453125" style="89" customWidth="1"/>
    <col min="16132" max="16132" width="1.7265625" style="89" customWidth="1"/>
    <col min="16133" max="16133" width="19.453125" style="89" customWidth="1"/>
    <col min="16134" max="16134" width="0" style="89" hidden="1" customWidth="1"/>
    <col min="16135" max="16135" width="8.7265625" style="89"/>
    <col min="16136" max="16136" width="10.26953125" style="89" customWidth="1"/>
    <col min="16137" max="16137" width="9.81640625" style="89" customWidth="1"/>
    <col min="16138" max="16138" width="14.81640625" style="89" customWidth="1"/>
    <col min="16139" max="16148" width="8.7265625" style="89"/>
    <col min="16149" max="16149" width="10.54296875" style="89" bestFit="1" customWidth="1"/>
    <col min="16150" max="16384" width="8.7265625" style="89"/>
  </cols>
  <sheetData>
    <row r="1" spans="1:12">
      <c r="A1" s="864" t="s">
        <v>0</v>
      </c>
      <c r="B1" s="864"/>
      <c r="C1" s="864"/>
      <c r="D1" s="864"/>
      <c r="E1" s="864"/>
      <c r="F1" s="864"/>
      <c r="G1" s="864"/>
      <c r="H1" s="864"/>
      <c r="I1" s="864"/>
      <c r="J1" s="864"/>
    </row>
    <row r="2" spans="1:12">
      <c r="A2" s="864" t="s">
        <v>457</v>
      </c>
      <c r="B2" s="864"/>
      <c r="C2" s="864"/>
      <c r="D2" s="864"/>
      <c r="E2" s="864"/>
      <c r="F2" s="864"/>
      <c r="G2" s="864"/>
      <c r="H2" s="864"/>
      <c r="I2" s="864"/>
      <c r="J2" s="864"/>
    </row>
    <row r="3" spans="1:12">
      <c r="A3" s="864" t="s">
        <v>599</v>
      </c>
      <c r="B3" s="864"/>
      <c r="C3" s="864"/>
      <c r="D3" s="864"/>
      <c r="E3" s="864"/>
      <c r="F3" s="864"/>
      <c r="G3" s="864"/>
      <c r="H3" s="864"/>
      <c r="I3" s="864"/>
      <c r="J3" s="864"/>
    </row>
    <row r="4" spans="1:12">
      <c r="A4" s="885" t="s">
        <v>225</v>
      </c>
      <c r="B4" s="885"/>
      <c r="C4" s="885"/>
      <c r="D4" s="885"/>
      <c r="E4" s="885"/>
      <c r="F4" s="885"/>
      <c r="G4" s="885"/>
      <c r="H4" s="885"/>
      <c r="I4" s="885"/>
      <c r="J4" s="885"/>
    </row>
    <row r="6" spans="1:12" ht="39">
      <c r="A6" s="342" t="s">
        <v>10</v>
      </c>
      <c r="B6" s="342"/>
      <c r="C6" s="342" t="s">
        <v>117</v>
      </c>
      <c r="D6" s="370"/>
      <c r="E6" s="342" t="s">
        <v>118</v>
      </c>
      <c r="F6" s="365"/>
      <c r="G6" s="166" t="s">
        <v>143</v>
      </c>
      <c r="H6" s="368" t="s">
        <v>58</v>
      </c>
      <c r="I6" s="368" t="s">
        <v>59</v>
      </c>
      <c r="J6" s="368" t="s">
        <v>84</v>
      </c>
      <c r="K6" s="508"/>
    </row>
    <row r="7" spans="1:12">
      <c r="A7" s="509" t="s">
        <v>99</v>
      </c>
      <c r="B7" s="509"/>
      <c r="C7" s="509" t="s">
        <v>100</v>
      </c>
      <c r="D7" s="510"/>
      <c r="E7" s="509" t="s">
        <v>893</v>
      </c>
      <c r="F7" s="509"/>
      <c r="G7" s="509" t="s">
        <v>102</v>
      </c>
      <c r="H7" s="509" t="s">
        <v>894</v>
      </c>
      <c r="I7" s="509" t="s">
        <v>104</v>
      </c>
      <c r="J7" s="509" t="s">
        <v>105</v>
      </c>
    </row>
    <row r="8" spans="1:12">
      <c r="A8" s="346"/>
      <c r="B8" s="346"/>
      <c r="C8" s="339"/>
      <c r="D8" s="339"/>
      <c r="E8" s="339"/>
      <c r="F8" s="339"/>
    </row>
    <row r="9" spans="1:12">
      <c r="A9" s="346">
        <v>1</v>
      </c>
      <c r="B9" s="346"/>
      <c r="C9" s="348" t="s">
        <v>321</v>
      </c>
      <c r="D9" s="339"/>
      <c r="E9" s="372">
        <v>539.4</v>
      </c>
      <c r="F9" s="511">
        <v>13006.35</v>
      </c>
      <c r="G9" s="89">
        <v>5860000</v>
      </c>
      <c r="H9" s="89" t="s">
        <v>237</v>
      </c>
      <c r="I9" s="512">
        <v>1</v>
      </c>
      <c r="J9" s="84">
        <f>+E9*I9</f>
        <v>539.4</v>
      </c>
      <c r="L9" s="227"/>
    </row>
    <row r="10" spans="1:12">
      <c r="A10" s="346">
        <v>2</v>
      </c>
      <c r="B10" s="346"/>
      <c r="C10" s="348"/>
      <c r="D10" s="339"/>
      <c r="E10" s="372">
        <v>3828.7</v>
      </c>
      <c r="F10" s="511"/>
      <c r="G10" s="89">
        <v>5880000</v>
      </c>
      <c r="H10" s="89" t="s">
        <v>237</v>
      </c>
      <c r="I10" s="512">
        <v>1</v>
      </c>
      <c r="J10" s="84">
        <f t="shared" ref="J10:J13" si="0">+E10*I10</f>
        <v>3828.7</v>
      </c>
      <c r="L10" s="227"/>
    </row>
    <row r="11" spans="1:12">
      <c r="A11" s="346">
        <v>3</v>
      </c>
      <c r="B11" s="346"/>
      <c r="C11" s="348"/>
      <c r="D11" s="339"/>
      <c r="E11" s="372">
        <v>7887.49</v>
      </c>
      <c r="F11" s="511">
        <v>18.84</v>
      </c>
      <c r="G11" s="89">
        <v>9100000</v>
      </c>
      <c r="H11" s="89" t="s">
        <v>237</v>
      </c>
      <c r="I11" s="512">
        <v>1</v>
      </c>
      <c r="J11" s="84">
        <f t="shared" si="0"/>
        <v>7887.49</v>
      </c>
    </row>
    <row r="12" spans="1:12">
      <c r="A12" s="346">
        <v>4</v>
      </c>
      <c r="B12" s="346"/>
      <c r="C12" s="348"/>
      <c r="D12" s="339"/>
      <c r="E12" s="372">
        <v>5941.73</v>
      </c>
      <c r="F12" s="511"/>
      <c r="G12" s="89">
        <v>9210001</v>
      </c>
      <c r="H12" s="89" t="s">
        <v>237</v>
      </c>
      <c r="I12" s="512">
        <v>1</v>
      </c>
      <c r="J12" s="84">
        <f t="shared" si="0"/>
        <v>5941.73</v>
      </c>
    </row>
    <row r="13" spans="1:12">
      <c r="A13" s="346">
        <v>5</v>
      </c>
      <c r="B13" s="346"/>
      <c r="C13" s="348"/>
      <c r="D13" s="339"/>
      <c r="E13" s="372">
        <v>5974.06</v>
      </c>
      <c r="F13" s="511"/>
      <c r="G13" s="89">
        <v>9260012</v>
      </c>
      <c r="H13" s="89" t="s">
        <v>237</v>
      </c>
      <c r="I13" s="512">
        <v>1</v>
      </c>
      <c r="J13" s="84">
        <f t="shared" si="0"/>
        <v>5974.06</v>
      </c>
    </row>
    <row r="14" spans="1:12">
      <c r="A14" s="346"/>
      <c r="B14" s="346"/>
      <c r="C14" s="348"/>
      <c r="D14" s="339"/>
      <c r="E14" s="373"/>
      <c r="F14" s="373"/>
    </row>
    <row r="15" spans="1:12">
      <c r="A15" s="346"/>
      <c r="B15" s="346"/>
      <c r="C15" s="348"/>
      <c r="D15" s="339"/>
      <c r="E15" s="373"/>
      <c r="F15" s="373"/>
    </row>
    <row r="16" spans="1:12" ht="13.5" thickBot="1">
      <c r="A16" s="346">
        <v>6</v>
      </c>
      <c r="B16" s="346"/>
      <c r="C16" s="348" t="s">
        <v>895</v>
      </c>
      <c r="D16" s="339"/>
      <c r="E16" s="373"/>
      <c r="F16" s="373"/>
      <c r="J16" s="171">
        <f>SUM(J9:J13)</f>
        <v>24171.38</v>
      </c>
      <c r="K16" s="89" t="s">
        <v>474</v>
      </c>
    </row>
    <row r="17" spans="1:6" ht="13.5" thickTop="1"/>
    <row r="18" spans="1:6">
      <c r="A18" s="346"/>
      <c r="B18" s="346"/>
      <c r="C18" s="348"/>
      <c r="D18" s="339"/>
      <c r="E18" s="354"/>
      <c r="F18" s="354"/>
    </row>
    <row r="19" spans="1:6">
      <c r="A19" s="346"/>
      <c r="B19" s="346" t="s">
        <v>322</v>
      </c>
      <c r="C19" s="339" t="s">
        <v>323</v>
      </c>
      <c r="D19" s="339"/>
      <c r="E19" s="513"/>
      <c r="F19" s="513"/>
    </row>
    <row r="20" spans="1:6">
      <c r="A20" s="339"/>
      <c r="B20" s="339"/>
      <c r="C20" s="353" t="s">
        <v>324</v>
      </c>
      <c r="D20" s="339"/>
      <c r="E20" s="339"/>
      <c r="F20" s="339"/>
    </row>
    <row r="21" spans="1:6">
      <c r="A21" s="346"/>
      <c r="B21" s="346"/>
      <c r="C21" s="353"/>
      <c r="D21" s="339"/>
      <c r="E21" s="373"/>
      <c r="F21" s="373"/>
    </row>
    <row r="22" spans="1:6">
      <c r="A22" s="346"/>
      <c r="B22" s="346"/>
      <c r="C22" s="353" t="s">
        <v>648</v>
      </c>
      <c r="D22" s="339"/>
      <c r="E22" s="373"/>
      <c r="F22" s="373"/>
    </row>
    <row r="23" spans="1:6">
      <c r="A23" s="346"/>
      <c r="B23" s="346"/>
      <c r="D23" s="339"/>
      <c r="E23" s="381"/>
      <c r="F23" s="381"/>
    </row>
    <row r="24" spans="1:6">
      <c r="A24" s="339"/>
      <c r="B24" s="339"/>
      <c r="C24" s="353"/>
      <c r="D24" s="339"/>
      <c r="E24" s="354"/>
      <c r="F24" s="354"/>
    </row>
    <row r="25" spans="1:6">
      <c r="A25" s="346"/>
      <c r="B25" s="346"/>
      <c r="C25" s="353"/>
      <c r="D25" s="339"/>
      <c r="E25" s="373"/>
      <c r="F25" s="373"/>
    </row>
    <row r="26" spans="1:6">
      <c r="A26" s="339"/>
      <c r="B26" s="339"/>
      <c r="C26" s="353"/>
      <c r="D26" s="339"/>
      <c r="E26" s="373"/>
      <c r="F26" s="373"/>
    </row>
    <row r="27" spans="1:6">
      <c r="A27" s="346"/>
      <c r="B27" s="346"/>
      <c r="C27" s="353"/>
      <c r="D27" s="339"/>
      <c r="E27" s="513"/>
      <c r="F27" s="513"/>
    </row>
    <row r="28" spans="1:6">
      <c r="A28" s="339"/>
      <c r="B28" s="339"/>
      <c r="C28" s="353"/>
      <c r="D28" s="339"/>
      <c r="E28" s="354"/>
      <c r="F28" s="354"/>
    </row>
    <row r="29" spans="1:6">
      <c r="A29" s="346"/>
      <c r="B29" s="346"/>
      <c r="C29" s="353"/>
      <c r="D29" s="339"/>
      <c r="E29" s="373"/>
      <c r="F29" s="373"/>
    </row>
    <row r="30" spans="1:6">
      <c r="A30" s="339"/>
      <c r="B30" s="339"/>
      <c r="C30" s="353"/>
      <c r="D30" s="339"/>
      <c r="E30" s="354"/>
      <c r="F30" s="354"/>
    </row>
    <row r="31" spans="1:6">
      <c r="A31" s="346"/>
      <c r="B31" s="346"/>
      <c r="C31" s="353"/>
      <c r="D31" s="339"/>
      <c r="E31" s="373"/>
      <c r="F31" s="373"/>
    </row>
    <row r="32" spans="1:6">
      <c r="A32" s="339"/>
      <c r="B32" s="339"/>
      <c r="C32" s="353"/>
      <c r="D32" s="339"/>
      <c r="E32" s="354"/>
      <c r="F32" s="354"/>
    </row>
    <row r="33" spans="1:6">
      <c r="A33" s="346"/>
      <c r="B33" s="346"/>
      <c r="C33" s="353"/>
      <c r="D33" s="339"/>
      <c r="E33" s="373"/>
      <c r="F33" s="373"/>
    </row>
    <row r="34" spans="1:6">
      <c r="A34" s="339"/>
      <c r="B34" s="339"/>
      <c r="C34" s="353"/>
      <c r="D34" s="339"/>
      <c r="E34" s="373"/>
      <c r="F34" s="373"/>
    </row>
    <row r="35" spans="1:6">
      <c r="A35" s="346"/>
      <c r="B35" s="346"/>
      <c r="C35" s="353"/>
      <c r="D35" s="339"/>
      <c r="E35" s="513"/>
      <c r="F35" s="513"/>
    </row>
    <row r="36" spans="1:6">
      <c r="A36" s="339"/>
      <c r="B36" s="339"/>
      <c r="C36" s="353"/>
      <c r="D36" s="339"/>
      <c r="E36" s="354"/>
      <c r="F36" s="354"/>
    </row>
    <row r="37" spans="1:6">
      <c r="A37" s="346"/>
      <c r="B37" s="346"/>
      <c r="C37" s="353"/>
      <c r="D37" s="339"/>
      <c r="E37" s="373"/>
      <c r="F37" s="373"/>
    </row>
    <row r="38" spans="1:6">
      <c r="A38" s="339"/>
      <c r="B38" s="339"/>
      <c r="C38" s="353"/>
      <c r="D38" s="339"/>
      <c r="E38" s="354"/>
      <c r="F38" s="354"/>
    </row>
    <row r="39" spans="1:6">
      <c r="A39" s="339"/>
      <c r="B39" s="339"/>
      <c r="C39" s="353"/>
      <c r="D39" s="339"/>
      <c r="E39" s="373"/>
      <c r="F39" s="373"/>
    </row>
    <row r="40" spans="1:6">
      <c r="A40" s="339"/>
      <c r="B40" s="339"/>
      <c r="C40" s="353"/>
      <c r="D40" s="339"/>
      <c r="E40" s="373"/>
      <c r="F40" s="373"/>
    </row>
    <row r="41" spans="1:6">
      <c r="A41" s="339"/>
      <c r="B41" s="339"/>
      <c r="C41" s="353"/>
      <c r="D41" s="339"/>
      <c r="E41" s="373"/>
      <c r="F41" s="373"/>
    </row>
    <row r="42" spans="1:6">
      <c r="A42" s="339"/>
      <c r="B42" s="339"/>
      <c r="C42" s="353"/>
      <c r="D42" s="339"/>
      <c r="E42" s="373"/>
      <c r="F42" s="373"/>
    </row>
    <row r="43" spans="1:6">
      <c r="A43" s="339"/>
      <c r="B43" s="339"/>
      <c r="C43" s="353"/>
      <c r="D43" s="339"/>
      <c r="E43" s="373"/>
      <c r="F43" s="373"/>
    </row>
    <row r="44" spans="1:6">
      <c r="A44" s="339"/>
      <c r="B44" s="339"/>
      <c r="C44" s="353"/>
      <c r="D44" s="339"/>
      <c r="E44" s="373"/>
      <c r="F44" s="373"/>
    </row>
    <row r="45" spans="1:6">
      <c r="A45" s="339"/>
      <c r="B45" s="339"/>
      <c r="C45" s="353"/>
      <c r="D45" s="339"/>
      <c r="E45" s="373"/>
      <c r="F45" s="373"/>
    </row>
    <row r="46" spans="1:6">
      <c r="A46" s="339"/>
      <c r="B46" s="339"/>
      <c r="C46" s="353"/>
      <c r="D46" s="339"/>
      <c r="E46" s="373"/>
      <c r="F46" s="373"/>
    </row>
    <row r="47" spans="1:6">
      <c r="C47" s="353"/>
      <c r="D47" s="339"/>
      <c r="E47" s="373"/>
      <c r="F47" s="373"/>
    </row>
    <row r="48" spans="1:6">
      <c r="C48" s="353"/>
      <c r="D48" s="339"/>
      <c r="E48" s="373"/>
      <c r="F48" s="373"/>
    </row>
    <row r="49" spans="3:6">
      <c r="C49" s="353"/>
      <c r="D49" s="339"/>
      <c r="E49" s="373"/>
      <c r="F49" s="373"/>
    </row>
    <row r="50" spans="3:6">
      <c r="C50" s="353"/>
      <c r="D50" s="339"/>
      <c r="E50" s="373"/>
      <c r="F50" s="373"/>
    </row>
    <row r="51" spans="3:6">
      <c r="C51" s="353"/>
      <c r="D51" s="339"/>
      <c r="E51" s="373"/>
      <c r="F51" s="373"/>
    </row>
    <row r="52" spans="3:6">
      <c r="C52" s="353"/>
      <c r="D52" s="339"/>
      <c r="E52" s="373"/>
      <c r="F52" s="373"/>
    </row>
    <row r="53" spans="3:6">
      <c r="C53" s="353"/>
      <c r="D53" s="339"/>
      <c r="E53" s="373"/>
      <c r="F53" s="373"/>
    </row>
    <row r="54" spans="3:6">
      <c r="C54" s="353"/>
      <c r="D54" s="339"/>
      <c r="E54" s="373"/>
      <c r="F54" s="373"/>
    </row>
    <row r="55" spans="3:6">
      <c r="C55" s="353"/>
      <c r="D55" s="339"/>
      <c r="E55" s="373"/>
      <c r="F55" s="373"/>
    </row>
    <row r="56" spans="3:6">
      <c r="C56" s="353"/>
      <c r="D56" s="339"/>
      <c r="E56" s="373"/>
      <c r="F56" s="373"/>
    </row>
    <row r="57" spans="3:6">
      <c r="C57" s="353"/>
      <c r="D57" s="339"/>
      <c r="E57" s="373"/>
      <c r="F57" s="373"/>
    </row>
    <row r="58" spans="3:6">
      <c r="C58" s="353"/>
      <c r="D58" s="339"/>
      <c r="E58" s="373"/>
      <c r="F58" s="373"/>
    </row>
    <row r="59" spans="3:6">
      <c r="C59" s="353"/>
      <c r="D59" s="339"/>
      <c r="E59" s="373"/>
      <c r="F59" s="373"/>
    </row>
    <row r="60" spans="3:6">
      <c r="C60" s="353"/>
      <c r="D60" s="339"/>
      <c r="E60" s="373"/>
      <c r="F60" s="373"/>
    </row>
    <row r="61" spans="3:6">
      <c r="C61" s="353"/>
      <c r="D61" s="339"/>
      <c r="E61" s="373"/>
      <c r="F61" s="373"/>
    </row>
    <row r="62" spans="3:6">
      <c r="C62" s="353"/>
      <c r="D62" s="339"/>
      <c r="E62" s="373"/>
      <c r="F62" s="373"/>
    </row>
    <row r="63" spans="3:6">
      <c r="C63" s="353"/>
      <c r="D63" s="339"/>
      <c r="E63" s="373"/>
      <c r="F63" s="373"/>
    </row>
    <row r="64" spans="3:6">
      <c r="C64" s="353"/>
      <c r="D64" s="339"/>
      <c r="E64" s="373"/>
      <c r="F64" s="373"/>
    </row>
    <row r="65" spans="3:6">
      <c r="C65" s="353"/>
      <c r="D65" s="339"/>
      <c r="E65" s="373"/>
      <c r="F65" s="373"/>
    </row>
    <row r="66" spans="3:6">
      <c r="C66" s="353"/>
      <c r="D66" s="339"/>
      <c r="E66" s="373"/>
      <c r="F66" s="373"/>
    </row>
    <row r="67" spans="3:6">
      <c r="C67" s="353"/>
      <c r="D67" s="339"/>
      <c r="E67" s="373"/>
      <c r="F67" s="373"/>
    </row>
    <row r="68" spans="3:6">
      <c r="C68" s="353"/>
      <c r="D68" s="339"/>
      <c r="E68" s="373"/>
      <c r="F68" s="373"/>
    </row>
    <row r="69" spans="3:6">
      <c r="C69" s="353"/>
      <c r="D69" s="339"/>
      <c r="E69" s="373"/>
      <c r="F69" s="373"/>
    </row>
    <row r="70" spans="3:6">
      <c r="C70" s="353"/>
      <c r="D70" s="339"/>
      <c r="E70" s="373"/>
      <c r="F70" s="373"/>
    </row>
    <row r="71" spans="3:6">
      <c r="C71" s="353"/>
      <c r="D71" s="339"/>
      <c r="E71" s="373"/>
      <c r="F71" s="373"/>
    </row>
    <row r="72" spans="3:6">
      <c r="C72" s="353"/>
      <c r="D72" s="339"/>
      <c r="E72" s="373"/>
      <c r="F72" s="373"/>
    </row>
    <row r="73" spans="3:6">
      <c r="C73" s="353"/>
      <c r="D73" s="339"/>
      <c r="E73" s="373"/>
      <c r="F73" s="373"/>
    </row>
    <row r="74" spans="3:6">
      <c r="C74" s="353"/>
      <c r="D74" s="339"/>
      <c r="E74" s="373"/>
      <c r="F74" s="373"/>
    </row>
    <row r="75" spans="3:6">
      <c r="C75" s="353"/>
      <c r="D75" s="339"/>
      <c r="E75" s="373"/>
      <c r="F75" s="373"/>
    </row>
    <row r="76" spans="3:6">
      <c r="C76" s="353"/>
      <c r="D76" s="339"/>
      <c r="E76" s="373"/>
      <c r="F76" s="373"/>
    </row>
    <row r="77" spans="3:6">
      <c r="C77" s="353"/>
      <c r="D77" s="339"/>
      <c r="E77" s="373"/>
      <c r="F77" s="373"/>
    </row>
    <row r="78" spans="3:6">
      <c r="C78" s="353"/>
      <c r="D78" s="339"/>
      <c r="E78" s="373"/>
      <c r="F78" s="373"/>
    </row>
    <row r="79" spans="3:6">
      <c r="C79" s="353"/>
      <c r="D79" s="339"/>
      <c r="E79" s="373"/>
      <c r="F79" s="373"/>
    </row>
    <row r="80" spans="3:6">
      <c r="C80" s="353"/>
      <c r="D80" s="339"/>
      <c r="E80" s="373"/>
      <c r="F80" s="373"/>
    </row>
    <row r="81" spans="3:6">
      <c r="C81" s="353"/>
      <c r="D81" s="339"/>
      <c r="E81" s="373"/>
      <c r="F81" s="373"/>
    </row>
    <row r="82" spans="3:6">
      <c r="C82" s="353"/>
      <c r="D82" s="339"/>
      <c r="E82" s="373"/>
      <c r="F82" s="373"/>
    </row>
    <row r="83" spans="3:6">
      <c r="C83" s="353"/>
      <c r="D83" s="339"/>
      <c r="E83" s="373"/>
      <c r="F83" s="373"/>
    </row>
    <row r="84" spans="3:6">
      <c r="C84" s="353"/>
      <c r="D84" s="339"/>
      <c r="E84" s="373"/>
      <c r="F84" s="373"/>
    </row>
    <row r="85" spans="3:6">
      <c r="C85" s="339"/>
      <c r="D85" s="339"/>
      <c r="E85" s="373"/>
      <c r="F85" s="373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scale="70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1266-9818-4811-BAFF-8EFC1E92E73E}">
  <sheetPr>
    <pageSetUpPr fitToPage="1"/>
  </sheetPr>
  <dimension ref="A1:W132"/>
  <sheetViews>
    <sheetView zoomScale="90" zoomScaleNormal="90" workbookViewId="0">
      <pane xSplit="3" ySplit="7" topLeftCell="D8" activePane="bottomRight" state="frozen"/>
      <selection pane="topRight"/>
      <selection pane="bottomLeft"/>
      <selection pane="bottomRight" activeCell="B1" sqref="B1:R5"/>
    </sheetView>
  </sheetViews>
  <sheetFormatPr defaultColWidth="13.1796875" defaultRowHeight="13"/>
  <cols>
    <col min="1" max="1" width="4.453125" style="389" bestFit="1" customWidth="1"/>
    <col min="2" max="2" width="7.81640625" style="389" bestFit="1" customWidth="1"/>
    <col min="3" max="3" width="30.54296875" style="389" bestFit="1" customWidth="1"/>
    <col min="4" max="4" width="18.26953125" style="389" bestFit="1" customWidth="1"/>
    <col min="5" max="5" width="14.7265625" style="389" bestFit="1" customWidth="1"/>
    <col min="6" max="6" width="17.1796875" style="389" bestFit="1" customWidth="1"/>
    <col min="7" max="7" width="15.453125" style="389" bestFit="1" customWidth="1"/>
    <col min="8" max="8" width="4.1796875" style="389" customWidth="1"/>
    <col min="9" max="9" width="11.7265625" style="389" bestFit="1" customWidth="1"/>
    <col min="10" max="10" width="13" style="389" bestFit="1" customWidth="1"/>
    <col min="11" max="11" width="3.1796875" style="389" customWidth="1"/>
    <col min="12" max="12" width="16" style="389" bestFit="1" customWidth="1"/>
    <col min="13" max="13" width="17.81640625" style="389" bestFit="1" customWidth="1"/>
    <col min="14" max="14" width="16" style="389" bestFit="1" customWidth="1"/>
    <col min="15" max="15" width="17" style="389" bestFit="1" customWidth="1"/>
    <col min="16" max="16" width="17.1796875" style="389" customWidth="1"/>
    <col min="17" max="17" width="15.7265625" style="389" bestFit="1" customWidth="1"/>
    <col min="18" max="18" width="3.81640625" style="389" customWidth="1"/>
    <col min="19" max="19" width="10.453125" style="389" bestFit="1" customWidth="1"/>
    <col min="20" max="20" width="10.54296875" style="389" bestFit="1" customWidth="1"/>
    <col min="21" max="21" width="5.453125" style="389" bestFit="1" customWidth="1"/>
    <col min="22" max="22" width="10.26953125" style="390" bestFit="1" customWidth="1"/>
    <col min="23" max="23" width="10.7265625" style="389" customWidth="1"/>
    <col min="24" max="16384" width="13.1796875" style="389"/>
  </cols>
  <sheetData>
    <row r="1" spans="1:22"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514"/>
      <c r="S1" s="515"/>
      <c r="T1" s="515"/>
      <c r="U1" s="515"/>
      <c r="V1" s="556" t="s">
        <v>51</v>
      </c>
    </row>
    <row r="2" spans="1:22"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514"/>
      <c r="S2" s="515"/>
      <c r="T2" s="515"/>
      <c r="U2" s="515"/>
      <c r="V2" s="556" t="s">
        <v>51</v>
      </c>
    </row>
    <row r="3" spans="1:22"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515"/>
      <c r="T3" s="515"/>
      <c r="U3" s="515"/>
    </row>
    <row r="4" spans="1:22"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  <c r="R4" s="514"/>
      <c r="S4" s="515"/>
      <c r="T4" s="515"/>
      <c r="U4" s="515"/>
    </row>
    <row r="6" spans="1:22">
      <c r="D6" s="890" t="s">
        <v>679</v>
      </c>
      <c r="E6" s="891"/>
      <c r="F6" s="891"/>
      <c r="G6" s="891"/>
      <c r="I6" s="890" t="s">
        <v>142</v>
      </c>
      <c r="J6" s="869"/>
      <c r="K6" s="869"/>
      <c r="L6" s="869"/>
      <c r="M6" s="869"/>
      <c r="N6" s="869"/>
      <c r="O6" s="869"/>
      <c r="P6" s="869"/>
      <c r="Q6" s="869"/>
      <c r="R6" s="869"/>
      <c r="S6" s="869"/>
      <c r="T6" s="869"/>
      <c r="U6" s="869"/>
      <c r="V6" s="869"/>
    </row>
    <row r="7" spans="1:22" ht="52">
      <c r="A7" s="516" t="s">
        <v>10</v>
      </c>
      <c r="B7" s="516" t="s">
        <v>143</v>
      </c>
      <c r="C7" s="516" t="s">
        <v>117</v>
      </c>
      <c r="D7" s="517" t="s">
        <v>679</v>
      </c>
      <c r="E7" s="518" t="s">
        <v>144</v>
      </c>
      <c r="F7" s="518" t="s">
        <v>145</v>
      </c>
      <c r="G7" s="517" t="s">
        <v>680</v>
      </c>
      <c r="I7" s="411" t="s">
        <v>146</v>
      </c>
      <c r="J7" s="411" t="s">
        <v>147</v>
      </c>
      <c r="K7" s="519"/>
      <c r="L7" s="411" t="s">
        <v>148</v>
      </c>
      <c r="M7" s="411" t="s">
        <v>149</v>
      </c>
      <c r="N7" s="411" t="s">
        <v>150</v>
      </c>
      <c r="O7" s="411" t="s">
        <v>151</v>
      </c>
      <c r="P7" s="411" t="s">
        <v>145</v>
      </c>
      <c r="Q7" s="411" t="s">
        <v>152</v>
      </c>
      <c r="R7" s="519"/>
      <c r="S7" s="411" t="s">
        <v>139</v>
      </c>
      <c r="T7" s="887" t="s">
        <v>153</v>
      </c>
      <c r="U7" s="888"/>
      <c r="V7" s="414" t="s">
        <v>154</v>
      </c>
    </row>
    <row r="8" spans="1:22">
      <c r="A8" s="519"/>
      <c r="B8" s="519"/>
      <c r="C8" s="519"/>
      <c r="D8" s="519"/>
      <c r="E8" s="519"/>
      <c r="F8" s="519"/>
      <c r="G8" s="519"/>
      <c r="I8" s="519"/>
      <c r="J8" s="410"/>
      <c r="L8" s="410"/>
      <c r="M8" s="410"/>
      <c r="N8" s="410" t="s">
        <v>155</v>
      </c>
      <c r="O8" s="410"/>
      <c r="P8" s="410"/>
      <c r="Q8" s="410"/>
      <c r="S8" s="410"/>
      <c r="T8" s="519"/>
      <c r="U8" s="519"/>
      <c r="V8" s="520"/>
    </row>
    <row r="9" spans="1:22">
      <c r="A9" s="521"/>
      <c r="B9" s="886" t="s">
        <v>156</v>
      </c>
      <c r="C9" s="869"/>
    </row>
    <row r="10" spans="1:22">
      <c r="A10" s="521">
        <f t="shared" ref="A10:A82" si="0">A9+1</f>
        <v>1</v>
      </c>
      <c r="B10" s="522">
        <v>30200</v>
      </c>
      <c r="C10" s="523" t="s">
        <v>157</v>
      </c>
      <c r="D10" s="524">
        <v>52919</v>
      </c>
      <c r="E10" s="524">
        <v>0</v>
      </c>
      <c r="F10" s="524">
        <v>0</v>
      </c>
      <c r="G10" s="525">
        <f>D10+F10+E10</f>
        <v>52919</v>
      </c>
      <c r="I10" s="526">
        <v>0</v>
      </c>
      <c r="J10" s="525">
        <f>ROUND(G10*I10,0)</f>
        <v>0</v>
      </c>
      <c r="L10" s="524">
        <v>0</v>
      </c>
      <c r="M10" s="524">
        <v>0</v>
      </c>
      <c r="N10" s="525">
        <f>L10+M10</f>
        <v>0</v>
      </c>
      <c r="O10" s="525">
        <v>0</v>
      </c>
      <c r="P10" s="525">
        <v>0</v>
      </c>
      <c r="Q10" s="525">
        <f>N10+P10+O10</f>
        <v>0</v>
      </c>
      <c r="S10" s="525">
        <f>J10-Q10</f>
        <v>0</v>
      </c>
      <c r="T10" s="417" t="s">
        <v>158</v>
      </c>
      <c r="U10" s="527">
        <v>1</v>
      </c>
      <c r="V10" s="528">
        <f>U10*S10</f>
        <v>0</v>
      </c>
    </row>
    <row r="11" spans="1:22">
      <c r="A11" s="521">
        <f t="shared" si="0"/>
        <v>2</v>
      </c>
      <c r="C11" s="523" t="s">
        <v>159</v>
      </c>
      <c r="D11" s="524">
        <v>0</v>
      </c>
      <c r="E11" s="524">
        <v>0</v>
      </c>
      <c r="F11" s="524">
        <v>0</v>
      </c>
      <c r="G11" s="525">
        <f>D11+F11+E11</f>
        <v>0</v>
      </c>
      <c r="I11" s="526">
        <v>6.6699999999999995E-2</v>
      </c>
      <c r="J11" s="525">
        <f>ROUND(G11*I11,0)</f>
        <v>0</v>
      </c>
      <c r="L11" s="524">
        <v>312978</v>
      </c>
      <c r="M11" s="524">
        <v>0</v>
      </c>
      <c r="N11" s="525">
        <f>L11+M11</f>
        <v>312978</v>
      </c>
      <c r="O11" s="525">
        <v>0</v>
      </c>
      <c r="P11" s="525">
        <v>0</v>
      </c>
      <c r="Q11" s="525">
        <f>N11+P11+O11</f>
        <v>312978</v>
      </c>
      <c r="S11" s="525">
        <f>J11-Q11</f>
        <v>-312978</v>
      </c>
      <c r="T11" s="417" t="s">
        <v>158</v>
      </c>
      <c r="U11" s="527">
        <v>1</v>
      </c>
      <c r="V11" s="528">
        <f>U11*S11</f>
        <v>-312978</v>
      </c>
    </row>
    <row r="12" spans="1:22">
      <c r="A12" s="521">
        <f t="shared" si="0"/>
        <v>3</v>
      </c>
      <c r="C12" s="523" t="s">
        <v>160</v>
      </c>
      <c r="D12" s="524">
        <v>0</v>
      </c>
      <c r="E12" s="524">
        <v>0</v>
      </c>
      <c r="F12" s="524">
        <v>0</v>
      </c>
      <c r="G12" s="525">
        <f>D12+F12+E12</f>
        <v>0</v>
      </c>
      <c r="I12" s="526">
        <v>0.1</v>
      </c>
      <c r="J12" s="525">
        <f>ROUND(G12*I12,0)</f>
        <v>0</v>
      </c>
      <c r="L12" s="524">
        <v>303537</v>
      </c>
      <c r="M12" s="524">
        <v>0</v>
      </c>
      <c r="N12" s="525">
        <f>L12+M12</f>
        <v>303537</v>
      </c>
      <c r="O12" s="525">
        <v>0</v>
      </c>
      <c r="P12" s="525">
        <v>0</v>
      </c>
      <c r="Q12" s="525">
        <f>N12+P12+O12</f>
        <v>303537</v>
      </c>
      <c r="S12" s="525">
        <f>J12-Q12</f>
        <v>-303537</v>
      </c>
      <c r="T12" s="417" t="s">
        <v>158</v>
      </c>
      <c r="U12" s="527">
        <v>1</v>
      </c>
      <c r="V12" s="528">
        <f>U12*S12</f>
        <v>-303537</v>
      </c>
    </row>
    <row r="13" spans="1:22">
      <c r="A13" s="521">
        <f t="shared" si="0"/>
        <v>4</v>
      </c>
      <c r="C13" s="523" t="s">
        <v>161</v>
      </c>
      <c r="D13" s="529">
        <v>0</v>
      </c>
      <c r="E13" s="529">
        <v>0</v>
      </c>
      <c r="F13" s="529">
        <v>0</v>
      </c>
      <c r="G13" s="530">
        <f>D13+F13+E13</f>
        <v>0</v>
      </c>
      <c r="I13" s="526">
        <v>0.2</v>
      </c>
      <c r="J13" s="530">
        <f>ROUND(G13*I13,0)</f>
        <v>0</v>
      </c>
      <c r="L13" s="529">
        <v>5746428</v>
      </c>
      <c r="M13" s="529">
        <v>0</v>
      </c>
      <c r="N13" s="530">
        <f>L13+M13</f>
        <v>5746428</v>
      </c>
      <c r="O13" s="530">
        <v>0</v>
      </c>
      <c r="P13" s="530">
        <f>-M13</f>
        <v>0</v>
      </c>
      <c r="Q13" s="530">
        <f>N13+P13+O13</f>
        <v>5746428</v>
      </c>
      <c r="S13" s="530">
        <f>J13-Q13</f>
        <v>-5746428</v>
      </c>
      <c r="T13" s="417" t="s">
        <v>158</v>
      </c>
      <c r="U13" s="527">
        <v>1</v>
      </c>
      <c r="V13" s="531">
        <f>U13*S13</f>
        <v>-5746428</v>
      </c>
    </row>
    <row r="14" spans="1:22">
      <c r="A14" s="521">
        <f t="shared" si="0"/>
        <v>5</v>
      </c>
      <c r="B14" s="522">
        <v>30300</v>
      </c>
      <c r="C14" s="523" t="s">
        <v>162</v>
      </c>
      <c r="D14" s="532">
        <f>SUM(D11:D13)</f>
        <v>0</v>
      </c>
      <c r="E14" s="532">
        <f>SUM(E11:E13)</f>
        <v>0</v>
      </c>
      <c r="F14" s="532">
        <f>SUM(F11:F13)</f>
        <v>0</v>
      </c>
      <c r="G14" s="532">
        <f>SUM(G11:G13)</f>
        <v>0</v>
      </c>
      <c r="J14" s="532">
        <f>SUM(J11:J13)</f>
        <v>0</v>
      </c>
      <c r="L14" s="532">
        <f t="shared" ref="L14:Q14" si="1">L11+L12+L13</f>
        <v>6362943</v>
      </c>
      <c r="M14" s="532">
        <f t="shared" si="1"/>
        <v>0</v>
      </c>
      <c r="N14" s="532">
        <f t="shared" si="1"/>
        <v>6362943</v>
      </c>
      <c r="O14" s="532">
        <f t="shared" si="1"/>
        <v>0</v>
      </c>
      <c r="P14" s="532">
        <f t="shared" si="1"/>
        <v>0</v>
      </c>
      <c r="Q14" s="532">
        <f t="shared" si="1"/>
        <v>6362943</v>
      </c>
      <c r="S14" s="532">
        <f>S11+S12+S13</f>
        <v>-6362943</v>
      </c>
      <c r="T14" s="417" t="s">
        <v>158</v>
      </c>
      <c r="U14" s="527">
        <v>1</v>
      </c>
      <c r="V14" s="533">
        <f>V11+V12+V13</f>
        <v>-6362943</v>
      </c>
    </row>
    <row r="15" spans="1:22">
      <c r="A15" s="521">
        <f t="shared" si="0"/>
        <v>6</v>
      </c>
      <c r="B15" s="889" t="s">
        <v>163</v>
      </c>
      <c r="C15" s="869"/>
      <c r="D15" s="534">
        <f>D10+D14</f>
        <v>52919</v>
      </c>
      <c r="E15" s="534">
        <f>E10+E14</f>
        <v>0</v>
      </c>
      <c r="F15" s="534">
        <f>F10+F14</f>
        <v>0</v>
      </c>
      <c r="G15" s="534">
        <f>G10+G14</f>
        <v>52919</v>
      </c>
      <c r="J15" s="534">
        <f>J10+J14</f>
        <v>0</v>
      </c>
      <c r="L15" s="534">
        <f t="shared" ref="L15:Q15" si="2">L10+L14</f>
        <v>6362943</v>
      </c>
      <c r="M15" s="534">
        <f t="shared" si="2"/>
        <v>0</v>
      </c>
      <c r="N15" s="534">
        <f t="shared" si="2"/>
        <v>6362943</v>
      </c>
      <c r="O15" s="534">
        <f t="shared" si="2"/>
        <v>0</v>
      </c>
      <c r="P15" s="534">
        <f t="shared" si="2"/>
        <v>0</v>
      </c>
      <c r="Q15" s="534">
        <f t="shared" si="2"/>
        <v>6362943</v>
      </c>
      <c r="S15" s="534">
        <f>S10+S14</f>
        <v>-6362943</v>
      </c>
      <c r="V15" s="535">
        <f>V10+V14</f>
        <v>-6362943</v>
      </c>
    </row>
    <row r="16" spans="1:22">
      <c r="A16" s="521"/>
    </row>
    <row r="17" spans="1:22">
      <c r="A17" s="521"/>
    </row>
    <row r="18" spans="1:22">
      <c r="A18" s="521"/>
      <c r="B18" s="886" t="s">
        <v>164</v>
      </c>
      <c r="C18" s="869"/>
    </row>
    <row r="19" spans="1:22">
      <c r="A19" s="521"/>
    </row>
    <row r="20" spans="1:22">
      <c r="A20" s="521"/>
      <c r="B20" s="886" t="s">
        <v>165</v>
      </c>
      <c r="C20" s="869"/>
    </row>
    <row r="21" spans="1:22">
      <c r="A21" s="521">
        <v>7</v>
      </c>
      <c r="B21" s="536">
        <v>31000</v>
      </c>
      <c r="C21" s="537" t="s">
        <v>166</v>
      </c>
      <c r="D21" s="524">
        <v>1755762</v>
      </c>
      <c r="E21" s="524">
        <v>0</v>
      </c>
      <c r="F21" s="524">
        <v>0</v>
      </c>
      <c r="G21" s="525">
        <f t="shared" ref="G21:G30" si="3">D21+F21+E21</f>
        <v>1755762</v>
      </c>
      <c r="I21" s="526">
        <v>0</v>
      </c>
      <c r="J21" s="525">
        <f t="shared" ref="J21:J30" si="4">ROUND(G21*I21,0)</f>
        <v>0</v>
      </c>
      <c r="L21" s="524">
        <v>0</v>
      </c>
      <c r="M21" s="524">
        <v>0</v>
      </c>
      <c r="N21" s="525">
        <f t="shared" ref="N21:N30" si="5">L21+M21</f>
        <v>0</v>
      </c>
      <c r="O21" s="524">
        <v>0</v>
      </c>
      <c r="P21" s="524">
        <v>0</v>
      </c>
      <c r="Q21" s="525">
        <f t="shared" ref="Q21:Q30" si="6">N21+P21+O21</f>
        <v>0</v>
      </c>
      <c r="S21" s="525">
        <f t="shared" ref="S21:S30" si="7">J21-Q21</f>
        <v>0</v>
      </c>
      <c r="T21" s="443" t="s">
        <v>167</v>
      </c>
      <c r="U21" s="527">
        <v>1</v>
      </c>
      <c r="V21" s="538">
        <f t="shared" ref="V21:V30" si="8">S21*U21</f>
        <v>0</v>
      </c>
    </row>
    <row r="22" spans="1:22">
      <c r="A22" s="521">
        <f t="shared" si="0"/>
        <v>8</v>
      </c>
      <c r="B22" s="536">
        <v>31010</v>
      </c>
      <c r="C22" s="537" t="s">
        <v>168</v>
      </c>
      <c r="D22" s="524">
        <v>5420</v>
      </c>
      <c r="E22" s="524">
        <v>0</v>
      </c>
      <c r="F22" s="524">
        <v>0</v>
      </c>
      <c r="G22" s="525">
        <f t="shared" si="3"/>
        <v>5420</v>
      </c>
      <c r="I22" s="526">
        <v>0</v>
      </c>
      <c r="J22" s="525">
        <f t="shared" si="4"/>
        <v>0</v>
      </c>
      <c r="L22" s="524">
        <v>0</v>
      </c>
      <c r="M22" s="524">
        <v>0</v>
      </c>
      <c r="N22" s="525">
        <f t="shared" si="5"/>
        <v>0</v>
      </c>
      <c r="O22" s="524">
        <v>0</v>
      </c>
      <c r="P22" s="524">
        <v>0</v>
      </c>
      <c r="Q22" s="525">
        <f t="shared" si="6"/>
        <v>0</v>
      </c>
      <c r="S22" s="525">
        <f t="shared" si="7"/>
        <v>0</v>
      </c>
      <c r="T22" s="443" t="s">
        <v>167</v>
      </c>
      <c r="U22" s="527">
        <v>1</v>
      </c>
      <c r="V22" s="538">
        <f t="shared" si="8"/>
        <v>0</v>
      </c>
    </row>
    <row r="23" spans="1:22">
      <c r="A23" s="521">
        <f t="shared" si="0"/>
        <v>9</v>
      </c>
      <c r="B23" s="536">
        <v>31100</v>
      </c>
      <c r="C23" s="537" t="s">
        <v>169</v>
      </c>
      <c r="D23" s="524">
        <v>24670707</v>
      </c>
      <c r="E23" s="524">
        <v>0</v>
      </c>
      <c r="F23" s="524">
        <v>0</v>
      </c>
      <c r="G23" s="525">
        <f t="shared" si="3"/>
        <v>24670707</v>
      </c>
      <c r="I23" s="526">
        <v>3.0599999999999999E-2</v>
      </c>
      <c r="J23" s="525">
        <f t="shared" si="4"/>
        <v>754924</v>
      </c>
      <c r="L23" s="524">
        <v>754955</v>
      </c>
      <c r="M23" s="524">
        <v>0</v>
      </c>
      <c r="N23" s="525">
        <f t="shared" si="5"/>
        <v>754955</v>
      </c>
      <c r="O23" s="524">
        <v>0</v>
      </c>
      <c r="P23" s="524">
        <v>0</v>
      </c>
      <c r="Q23" s="525">
        <f t="shared" si="6"/>
        <v>754955</v>
      </c>
      <c r="S23" s="525">
        <f t="shared" si="7"/>
        <v>-31</v>
      </c>
      <c r="T23" s="443" t="s">
        <v>167</v>
      </c>
      <c r="U23" s="527">
        <v>1</v>
      </c>
      <c r="V23" s="538">
        <f t="shared" si="8"/>
        <v>-31</v>
      </c>
    </row>
    <row r="24" spans="1:22">
      <c r="A24" s="521">
        <f t="shared" si="0"/>
        <v>10</v>
      </c>
      <c r="B24" s="536">
        <v>31200</v>
      </c>
      <c r="C24" s="537" t="s">
        <v>170</v>
      </c>
      <c r="D24" s="524">
        <v>86996528</v>
      </c>
      <c r="E24" s="524">
        <v>0</v>
      </c>
      <c r="F24" s="524">
        <v>0</v>
      </c>
      <c r="G24" s="525">
        <f t="shared" si="3"/>
        <v>86996528</v>
      </c>
      <c r="I24" s="526">
        <v>4.4499999999999998E-2</v>
      </c>
      <c r="J24" s="525">
        <f t="shared" si="4"/>
        <v>3871345</v>
      </c>
      <c r="L24" s="524">
        <v>3626711</v>
      </c>
      <c r="M24" s="524">
        <v>0</v>
      </c>
      <c r="N24" s="525">
        <f t="shared" si="5"/>
        <v>3626711</v>
      </c>
      <c r="O24" s="524">
        <v>0</v>
      </c>
      <c r="P24" s="524">
        <v>0</v>
      </c>
      <c r="Q24" s="525">
        <f t="shared" si="6"/>
        <v>3626711</v>
      </c>
      <c r="S24" s="525">
        <f t="shared" si="7"/>
        <v>244634</v>
      </c>
      <c r="T24" s="443" t="s">
        <v>167</v>
      </c>
      <c r="U24" s="527">
        <v>1</v>
      </c>
      <c r="V24" s="538">
        <f t="shared" si="8"/>
        <v>244634</v>
      </c>
    </row>
    <row r="25" spans="1:22">
      <c r="A25" s="521">
        <f t="shared" si="0"/>
        <v>11</v>
      </c>
      <c r="B25" s="536">
        <v>31400</v>
      </c>
      <c r="C25" s="537" t="s">
        <v>171</v>
      </c>
      <c r="D25" s="524">
        <v>64463994</v>
      </c>
      <c r="E25" s="524">
        <v>0</v>
      </c>
      <c r="F25" s="524">
        <v>0</v>
      </c>
      <c r="G25" s="525">
        <f t="shared" si="3"/>
        <v>64463994</v>
      </c>
      <c r="I25" s="526">
        <v>2.7799999999999998E-2</v>
      </c>
      <c r="J25" s="525">
        <f t="shared" si="4"/>
        <v>1792099</v>
      </c>
      <c r="L25" s="524">
        <v>1786193</v>
      </c>
      <c r="M25" s="524">
        <v>0</v>
      </c>
      <c r="N25" s="525">
        <f t="shared" si="5"/>
        <v>1786193</v>
      </c>
      <c r="O25" s="524">
        <v>0</v>
      </c>
      <c r="P25" s="524">
        <v>0</v>
      </c>
      <c r="Q25" s="525">
        <f t="shared" si="6"/>
        <v>1786193</v>
      </c>
      <c r="S25" s="525">
        <f t="shared" si="7"/>
        <v>5906</v>
      </c>
      <c r="T25" s="443" t="s">
        <v>167</v>
      </c>
      <c r="U25" s="527">
        <v>1</v>
      </c>
      <c r="V25" s="538">
        <f t="shared" si="8"/>
        <v>5906</v>
      </c>
    </row>
    <row r="26" spans="1:22">
      <c r="A26" s="521">
        <f t="shared" si="0"/>
        <v>12</v>
      </c>
      <c r="B26" s="536">
        <v>31500</v>
      </c>
      <c r="C26" s="537" t="s">
        <v>172</v>
      </c>
      <c r="D26" s="524">
        <v>8433604</v>
      </c>
      <c r="E26" s="524">
        <v>0</v>
      </c>
      <c r="F26" s="524">
        <v>0</v>
      </c>
      <c r="G26" s="525">
        <f t="shared" si="3"/>
        <v>8433604</v>
      </c>
      <c r="I26" s="526">
        <v>1.77E-2</v>
      </c>
      <c r="J26" s="525">
        <f t="shared" si="4"/>
        <v>149275</v>
      </c>
      <c r="L26" s="524">
        <v>146393</v>
      </c>
      <c r="M26" s="524">
        <v>0</v>
      </c>
      <c r="N26" s="525">
        <f t="shared" si="5"/>
        <v>146393</v>
      </c>
      <c r="O26" s="524">
        <v>0</v>
      </c>
      <c r="P26" s="524">
        <v>0</v>
      </c>
      <c r="Q26" s="525">
        <f t="shared" si="6"/>
        <v>146393</v>
      </c>
      <c r="S26" s="525">
        <f t="shared" si="7"/>
        <v>2882</v>
      </c>
      <c r="T26" s="443" t="s">
        <v>167</v>
      </c>
      <c r="U26" s="527">
        <v>1</v>
      </c>
      <c r="V26" s="538">
        <f t="shared" si="8"/>
        <v>2882</v>
      </c>
    </row>
    <row r="27" spans="1:22">
      <c r="A27" s="521">
        <f t="shared" si="0"/>
        <v>13</v>
      </c>
      <c r="B27" s="536">
        <v>31510</v>
      </c>
      <c r="C27" s="537" t="s">
        <v>681</v>
      </c>
      <c r="D27" s="524">
        <v>15590</v>
      </c>
      <c r="E27" s="524">
        <v>0</v>
      </c>
      <c r="F27" s="524">
        <v>0</v>
      </c>
      <c r="G27" s="525">
        <f t="shared" si="3"/>
        <v>15590</v>
      </c>
      <c r="I27" s="526">
        <v>3.2000000000000001E-2</v>
      </c>
      <c r="J27" s="525">
        <f t="shared" si="4"/>
        <v>499</v>
      </c>
      <c r="L27" s="524">
        <v>0</v>
      </c>
      <c r="M27" s="524">
        <v>0</v>
      </c>
      <c r="N27" s="525">
        <f t="shared" si="5"/>
        <v>0</v>
      </c>
      <c r="O27" s="524">
        <v>0</v>
      </c>
      <c r="P27" s="524">
        <v>0</v>
      </c>
      <c r="Q27" s="525">
        <f t="shared" si="6"/>
        <v>0</v>
      </c>
      <c r="S27" s="525">
        <f t="shared" si="7"/>
        <v>499</v>
      </c>
      <c r="T27" s="443" t="s">
        <v>167</v>
      </c>
      <c r="U27" s="527">
        <v>1</v>
      </c>
      <c r="V27" s="538">
        <f t="shared" si="8"/>
        <v>499</v>
      </c>
    </row>
    <row r="28" spans="1:22">
      <c r="A28" s="521">
        <f t="shared" si="0"/>
        <v>14</v>
      </c>
      <c r="B28" s="536">
        <v>31531</v>
      </c>
      <c r="C28" s="537" t="s">
        <v>682</v>
      </c>
      <c r="D28" s="524">
        <v>54044</v>
      </c>
      <c r="E28" s="524">
        <v>0</v>
      </c>
      <c r="F28" s="524">
        <v>0</v>
      </c>
      <c r="G28" s="525">
        <f t="shared" si="3"/>
        <v>54044</v>
      </c>
      <c r="I28" s="526">
        <v>5.6599999999999998E-2</v>
      </c>
      <c r="J28" s="525">
        <f t="shared" si="4"/>
        <v>3059</v>
      </c>
      <c r="L28" s="524">
        <v>0</v>
      </c>
      <c r="M28" s="524">
        <v>0</v>
      </c>
      <c r="N28" s="525">
        <f t="shared" si="5"/>
        <v>0</v>
      </c>
      <c r="O28" s="524">
        <v>0</v>
      </c>
      <c r="P28" s="524">
        <v>0</v>
      </c>
      <c r="Q28" s="525">
        <f t="shared" si="6"/>
        <v>0</v>
      </c>
      <c r="S28" s="525">
        <f t="shared" si="7"/>
        <v>3059</v>
      </c>
      <c r="T28" s="443" t="s">
        <v>167</v>
      </c>
      <c r="U28" s="527">
        <v>1</v>
      </c>
      <c r="V28" s="538">
        <f t="shared" si="8"/>
        <v>3059</v>
      </c>
    </row>
    <row r="29" spans="1:22">
      <c r="A29" s="521">
        <f t="shared" si="0"/>
        <v>15</v>
      </c>
      <c r="B29" s="536">
        <v>31600</v>
      </c>
      <c r="C29" s="537" t="s">
        <v>173</v>
      </c>
      <c r="D29" s="524">
        <v>4414282</v>
      </c>
      <c r="E29" s="524">
        <v>0</v>
      </c>
      <c r="F29" s="524">
        <v>0</v>
      </c>
      <c r="G29" s="525">
        <f t="shared" si="3"/>
        <v>4414282</v>
      </c>
      <c r="I29" s="526">
        <v>2.8199999999999999E-2</v>
      </c>
      <c r="J29" s="525">
        <f t="shared" si="4"/>
        <v>124483</v>
      </c>
      <c r="L29" s="524">
        <v>121958</v>
      </c>
      <c r="M29" s="524">
        <v>0</v>
      </c>
      <c r="N29" s="525">
        <f t="shared" si="5"/>
        <v>121958</v>
      </c>
      <c r="O29" s="524">
        <v>0</v>
      </c>
      <c r="P29" s="524">
        <v>0</v>
      </c>
      <c r="Q29" s="525">
        <f t="shared" si="6"/>
        <v>121958</v>
      </c>
      <c r="S29" s="525">
        <f t="shared" si="7"/>
        <v>2525</v>
      </c>
      <c r="T29" s="443" t="s">
        <v>167</v>
      </c>
      <c r="U29" s="527">
        <v>1</v>
      </c>
      <c r="V29" s="538">
        <f t="shared" si="8"/>
        <v>2525</v>
      </c>
    </row>
    <row r="30" spans="1:22">
      <c r="A30" s="521">
        <f t="shared" si="0"/>
        <v>16</v>
      </c>
      <c r="B30" s="536">
        <v>31700</v>
      </c>
      <c r="C30" s="537" t="s">
        <v>174</v>
      </c>
      <c r="D30" s="529">
        <v>6618088</v>
      </c>
      <c r="E30" s="529">
        <v>0</v>
      </c>
      <c r="F30" s="529">
        <f>-D30</f>
        <v>-6618088</v>
      </c>
      <c r="G30" s="525">
        <f t="shared" si="3"/>
        <v>0</v>
      </c>
      <c r="I30" s="443"/>
      <c r="J30" s="525">
        <f t="shared" si="4"/>
        <v>0</v>
      </c>
      <c r="L30" s="529">
        <v>0</v>
      </c>
      <c r="M30" s="529">
        <f>-L30</f>
        <v>0</v>
      </c>
      <c r="N30" s="525">
        <f t="shared" si="5"/>
        <v>0</v>
      </c>
      <c r="O30" s="529">
        <v>0</v>
      </c>
      <c r="P30" s="529">
        <v>0</v>
      </c>
      <c r="Q30" s="525">
        <f t="shared" si="6"/>
        <v>0</v>
      </c>
      <c r="S30" s="525">
        <f t="shared" si="7"/>
        <v>0</v>
      </c>
      <c r="T30" s="443" t="s">
        <v>167</v>
      </c>
      <c r="U30" s="527">
        <v>1</v>
      </c>
      <c r="V30" s="538">
        <f t="shared" si="8"/>
        <v>0</v>
      </c>
    </row>
    <row r="31" spans="1:22">
      <c r="A31" s="521"/>
      <c r="D31" s="534">
        <f>SUM(D21:D30)</f>
        <v>197428019</v>
      </c>
      <c r="E31" s="534">
        <f>SUM(E21:E30)</f>
        <v>0</v>
      </c>
      <c r="F31" s="534">
        <f>SUM(F21:F30)</f>
        <v>-6618088</v>
      </c>
      <c r="G31" s="534">
        <f>SUM(G21:G30)</f>
        <v>190809931</v>
      </c>
      <c r="J31" s="534">
        <f>SUM(J21:J30)</f>
        <v>6695684</v>
      </c>
      <c r="L31" s="534">
        <f t="shared" ref="L31:Q31" si="9">SUM(L21:L30)</f>
        <v>6436210</v>
      </c>
      <c r="M31" s="534">
        <f t="shared" si="9"/>
        <v>0</v>
      </c>
      <c r="N31" s="534">
        <f t="shared" si="9"/>
        <v>6436210</v>
      </c>
      <c r="O31" s="534">
        <f t="shared" si="9"/>
        <v>0</v>
      </c>
      <c r="P31" s="534">
        <f t="shared" si="9"/>
        <v>0</v>
      </c>
      <c r="Q31" s="534">
        <f t="shared" si="9"/>
        <v>6436210</v>
      </c>
      <c r="S31" s="534">
        <f>SUM(S21:S30)</f>
        <v>259474</v>
      </c>
      <c r="V31" s="539">
        <f>SUM(V21:V30)</f>
        <v>259474</v>
      </c>
    </row>
    <row r="32" spans="1:22">
      <c r="A32" s="521"/>
    </row>
    <row r="33" spans="1:22">
      <c r="A33" s="521"/>
      <c r="B33" s="886" t="s">
        <v>175</v>
      </c>
      <c r="C33" s="869"/>
    </row>
    <row r="34" spans="1:22">
      <c r="A34" s="521">
        <v>17</v>
      </c>
      <c r="B34" s="536">
        <v>31000</v>
      </c>
      <c r="C34" s="537" t="s">
        <v>166</v>
      </c>
      <c r="D34" s="524">
        <v>3224928</v>
      </c>
      <c r="E34" s="524">
        <v>0</v>
      </c>
      <c r="F34" s="524">
        <v>0</v>
      </c>
      <c r="G34" s="525">
        <f t="shared" ref="G34:G43" si="10">D34+F34+E34</f>
        <v>3224928</v>
      </c>
      <c r="I34" s="526">
        <v>0</v>
      </c>
      <c r="J34" s="525">
        <f t="shared" ref="J34:J43" si="11">ROUND(G34*I34,0)</f>
        <v>0</v>
      </c>
      <c r="L34" s="524">
        <v>0</v>
      </c>
      <c r="M34" s="524">
        <v>0</v>
      </c>
      <c r="N34" s="525">
        <f t="shared" ref="N34:N43" si="12">L34+M34</f>
        <v>0</v>
      </c>
      <c r="O34" s="524">
        <v>0</v>
      </c>
      <c r="P34" s="524">
        <v>0</v>
      </c>
      <c r="Q34" s="525">
        <f t="shared" ref="Q34:Q43" si="13">N34+P34+O34</f>
        <v>0</v>
      </c>
      <c r="S34" s="525">
        <f t="shared" ref="S34:S43" si="14">J34-Q34</f>
        <v>0</v>
      </c>
      <c r="T34" s="443" t="s">
        <v>167</v>
      </c>
      <c r="U34" s="527">
        <v>1</v>
      </c>
      <c r="V34" s="538">
        <f t="shared" ref="V34:V43" si="15">S34*U34</f>
        <v>0</v>
      </c>
    </row>
    <row r="35" spans="1:22">
      <c r="A35" s="521">
        <f t="shared" si="0"/>
        <v>18</v>
      </c>
      <c r="B35" s="536">
        <v>31100</v>
      </c>
      <c r="C35" s="537" t="s">
        <v>169</v>
      </c>
      <c r="D35" s="524">
        <v>77972066</v>
      </c>
      <c r="E35" s="524">
        <v>-13140601</v>
      </c>
      <c r="F35" s="524">
        <v>0</v>
      </c>
      <c r="G35" s="525">
        <f t="shared" si="10"/>
        <v>64831465</v>
      </c>
      <c r="I35" s="526">
        <v>2.58E-2</v>
      </c>
      <c r="J35" s="525">
        <f t="shared" si="11"/>
        <v>1672652</v>
      </c>
      <c r="L35" s="524">
        <v>1826587</v>
      </c>
      <c r="M35" s="524">
        <v>0</v>
      </c>
      <c r="N35" s="525">
        <f t="shared" si="12"/>
        <v>1826587</v>
      </c>
      <c r="O35" s="524">
        <v>-373093</v>
      </c>
      <c r="P35" s="524">
        <v>0</v>
      </c>
      <c r="Q35" s="525">
        <f t="shared" si="13"/>
        <v>1453494</v>
      </c>
      <c r="S35" s="525">
        <f t="shared" si="14"/>
        <v>219158</v>
      </c>
      <c r="T35" s="443" t="s">
        <v>167</v>
      </c>
      <c r="U35" s="527">
        <v>1</v>
      </c>
      <c r="V35" s="538">
        <f t="shared" si="15"/>
        <v>219158</v>
      </c>
    </row>
    <row r="36" spans="1:22">
      <c r="A36" s="521">
        <f t="shared" si="0"/>
        <v>19</v>
      </c>
      <c r="B36" s="536">
        <v>31200</v>
      </c>
      <c r="C36" s="537" t="s">
        <v>170</v>
      </c>
      <c r="D36" s="524">
        <v>883363493</v>
      </c>
      <c r="E36" s="524">
        <v>-312617572</v>
      </c>
      <c r="F36" s="524">
        <v>0</v>
      </c>
      <c r="G36" s="525">
        <f t="shared" si="10"/>
        <v>570745921</v>
      </c>
      <c r="I36" s="526">
        <v>2.9600000000000001E-2</v>
      </c>
      <c r="J36" s="525">
        <f t="shared" si="11"/>
        <v>16894079</v>
      </c>
      <c r="L36" s="524">
        <v>26146183</v>
      </c>
      <c r="M36" s="524">
        <v>0</v>
      </c>
      <c r="N36" s="525">
        <f t="shared" si="12"/>
        <v>26146183</v>
      </c>
      <c r="O36" s="524">
        <v>-8875955</v>
      </c>
      <c r="P36" s="524">
        <v>0</v>
      </c>
      <c r="Q36" s="525">
        <f t="shared" si="13"/>
        <v>17270228</v>
      </c>
      <c r="S36" s="525">
        <f t="shared" si="14"/>
        <v>-376149</v>
      </c>
      <c r="T36" s="443" t="s">
        <v>167</v>
      </c>
      <c r="U36" s="527">
        <v>1</v>
      </c>
      <c r="V36" s="538">
        <f t="shared" si="15"/>
        <v>-376149</v>
      </c>
    </row>
    <row r="37" spans="1:22">
      <c r="A37" s="521">
        <f t="shared" si="0"/>
        <v>20</v>
      </c>
      <c r="B37" s="536">
        <v>31200</v>
      </c>
      <c r="C37" s="537" t="s">
        <v>176</v>
      </c>
      <c r="D37" s="524">
        <v>9345063</v>
      </c>
      <c r="E37" s="524">
        <v>0</v>
      </c>
      <c r="F37" s="524">
        <v>0</v>
      </c>
      <c r="G37" s="525">
        <f t="shared" si="10"/>
        <v>9345063</v>
      </c>
      <c r="I37" s="526">
        <v>0.125</v>
      </c>
      <c r="J37" s="525">
        <f t="shared" si="11"/>
        <v>1168133</v>
      </c>
      <c r="L37" s="524">
        <v>588289</v>
      </c>
      <c r="M37" s="524">
        <v>0</v>
      </c>
      <c r="N37" s="525">
        <f t="shared" si="12"/>
        <v>588289</v>
      </c>
      <c r="O37" s="524">
        <v>0</v>
      </c>
      <c r="P37" s="524">
        <v>0</v>
      </c>
      <c r="Q37" s="525">
        <f t="shared" si="13"/>
        <v>588289</v>
      </c>
      <c r="S37" s="525">
        <f t="shared" si="14"/>
        <v>579844</v>
      </c>
      <c r="T37" s="443" t="s">
        <v>167</v>
      </c>
      <c r="U37" s="527">
        <v>1</v>
      </c>
      <c r="V37" s="538">
        <f t="shared" si="15"/>
        <v>579844</v>
      </c>
    </row>
    <row r="38" spans="1:22">
      <c r="A38" s="521">
        <f t="shared" si="0"/>
        <v>21</v>
      </c>
      <c r="B38" s="536">
        <v>31400</v>
      </c>
      <c r="C38" s="537" t="s">
        <v>171</v>
      </c>
      <c r="D38" s="524">
        <v>56653979</v>
      </c>
      <c r="E38" s="524">
        <v>-315773</v>
      </c>
      <c r="F38" s="524">
        <v>0</v>
      </c>
      <c r="G38" s="525">
        <f t="shared" si="10"/>
        <v>56338206</v>
      </c>
      <c r="I38" s="526">
        <v>1.67E-2</v>
      </c>
      <c r="J38" s="525">
        <f t="shared" si="11"/>
        <v>940848</v>
      </c>
      <c r="L38" s="524">
        <v>942273</v>
      </c>
      <c r="M38" s="524">
        <v>0</v>
      </c>
      <c r="N38" s="525">
        <f t="shared" si="12"/>
        <v>942273</v>
      </c>
      <c r="O38" s="524">
        <v>-8966</v>
      </c>
      <c r="P38" s="524">
        <v>0</v>
      </c>
      <c r="Q38" s="525">
        <f t="shared" si="13"/>
        <v>933307</v>
      </c>
      <c r="S38" s="525">
        <f t="shared" si="14"/>
        <v>7541</v>
      </c>
      <c r="T38" s="443" t="s">
        <v>167</v>
      </c>
      <c r="U38" s="527">
        <v>1</v>
      </c>
      <c r="V38" s="538">
        <f t="shared" si="15"/>
        <v>7541</v>
      </c>
    </row>
    <row r="39" spans="1:22">
      <c r="A39" s="521">
        <f t="shared" si="0"/>
        <v>22</v>
      </c>
      <c r="B39" s="536">
        <v>31500</v>
      </c>
      <c r="C39" s="537" t="s">
        <v>172</v>
      </c>
      <c r="D39" s="524">
        <v>26368729</v>
      </c>
      <c r="E39" s="524">
        <v>-1553727</v>
      </c>
      <c r="F39" s="524">
        <v>0</v>
      </c>
      <c r="G39" s="525">
        <f t="shared" si="10"/>
        <v>24815002</v>
      </c>
      <c r="I39" s="526">
        <v>1.49E-2</v>
      </c>
      <c r="J39" s="525">
        <f t="shared" si="11"/>
        <v>369744</v>
      </c>
      <c r="L39" s="524">
        <v>392995</v>
      </c>
      <c r="M39" s="524">
        <v>0</v>
      </c>
      <c r="N39" s="525">
        <f t="shared" si="12"/>
        <v>392995</v>
      </c>
      <c r="O39" s="524">
        <v>-44114</v>
      </c>
      <c r="P39" s="524">
        <v>0</v>
      </c>
      <c r="Q39" s="525">
        <f t="shared" si="13"/>
        <v>348881</v>
      </c>
      <c r="S39" s="525">
        <f t="shared" si="14"/>
        <v>20863</v>
      </c>
      <c r="T39" s="443" t="s">
        <v>167</v>
      </c>
      <c r="U39" s="527">
        <v>1</v>
      </c>
      <c r="V39" s="538">
        <f t="shared" si="15"/>
        <v>20863</v>
      </c>
    </row>
    <row r="40" spans="1:22">
      <c r="A40" s="521">
        <f t="shared" si="0"/>
        <v>23</v>
      </c>
      <c r="B40" s="536">
        <v>31510</v>
      </c>
      <c r="C40" s="537" t="s">
        <v>681</v>
      </c>
      <c r="D40" s="524">
        <v>25728</v>
      </c>
      <c r="E40" s="315"/>
      <c r="F40" s="524">
        <v>0</v>
      </c>
      <c r="G40" s="525">
        <f t="shared" si="10"/>
        <v>25728</v>
      </c>
      <c r="I40" s="526">
        <v>3.2000000000000001E-2</v>
      </c>
      <c r="J40" s="525">
        <f t="shared" si="11"/>
        <v>823</v>
      </c>
      <c r="L40" s="524">
        <v>441</v>
      </c>
      <c r="M40" s="524">
        <v>0</v>
      </c>
      <c r="N40" s="525">
        <f t="shared" si="12"/>
        <v>441</v>
      </c>
      <c r="O40" s="524">
        <v>0</v>
      </c>
      <c r="P40" s="524">
        <v>0</v>
      </c>
      <c r="Q40" s="525">
        <f t="shared" si="13"/>
        <v>441</v>
      </c>
      <c r="S40" s="525">
        <f t="shared" si="14"/>
        <v>382</v>
      </c>
      <c r="T40" s="443" t="s">
        <v>167</v>
      </c>
      <c r="U40" s="527">
        <v>1</v>
      </c>
      <c r="V40" s="538">
        <f t="shared" si="15"/>
        <v>382</v>
      </c>
    </row>
    <row r="41" spans="1:22">
      <c r="A41" s="521">
        <f t="shared" si="0"/>
        <v>24</v>
      </c>
      <c r="B41" s="536">
        <v>31531</v>
      </c>
      <c r="C41" s="537" t="s">
        <v>682</v>
      </c>
      <c r="D41" s="524">
        <v>83415</v>
      </c>
      <c r="E41" s="315"/>
      <c r="F41" s="524">
        <v>0</v>
      </c>
      <c r="G41" s="525">
        <f t="shared" si="10"/>
        <v>83415</v>
      </c>
      <c r="I41" s="526">
        <v>5.6599999999999998E-2</v>
      </c>
      <c r="J41" s="525">
        <f t="shared" si="11"/>
        <v>4721</v>
      </c>
      <c r="L41" s="524">
        <v>2593</v>
      </c>
      <c r="M41" s="524">
        <v>0</v>
      </c>
      <c r="N41" s="525">
        <f t="shared" si="12"/>
        <v>2593</v>
      </c>
      <c r="O41" s="524">
        <v>0</v>
      </c>
      <c r="P41" s="524">
        <v>0</v>
      </c>
      <c r="Q41" s="525">
        <f t="shared" si="13"/>
        <v>2593</v>
      </c>
      <c r="S41" s="525">
        <f t="shared" si="14"/>
        <v>2128</v>
      </c>
      <c r="T41" s="443" t="s">
        <v>167</v>
      </c>
      <c r="U41" s="527">
        <v>1</v>
      </c>
      <c r="V41" s="538">
        <f t="shared" si="15"/>
        <v>2128</v>
      </c>
    </row>
    <row r="42" spans="1:22">
      <c r="A42" s="521">
        <f t="shared" si="0"/>
        <v>25</v>
      </c>
      <c r="B42" s="536">
        <v>31600</v>
      </c>
      <c r="C42" s="537" t="s">
        <v>173</v>
      </c>
      <c r="D42" s="524">
        <v>9887940</v>
      </c>
      <c r="E42" s="524">
        <v>-1859020</v>
      </c>
      <c r="F42" s="524">
        <v>0</v>
      </c>
      <c r="G42" s="525">
        <f t="shared" si="10"/>
        <v>8028920</v>
      </c>
      <c r="I42" s="526">
        <v>2.63E-2</v>
      </c>
      <c r="J42" s="525">
        <f t="shared" si="11"/>
        <v>211161</v>
      </c>
      <c r="L42" s="524">
        <v>260898</v>
      </c>
      <c r="M42" s="524">
        <v>0</v>
      </c>
      <c r="N42" s="525">
        <f t="shared" si="12"/>
        <v>260898</v>
      </c>
      <c r="O42" s="524">
        <v>-52782</v>
      </c>
      <c r="P42" s="524">
        <v>0</v>
      </c>
      <c r="Q42" s="525">
        <f t="shared" si="13"/>
        <v>208116</v>
      </c>
      <c r="S42" s="525">
        <f t="shared" si="14"/>
        <v>3045</v>
      </c>
      <c r="T42" s="443" t="s">
        <v>167</v>
      </c>
      <c r="U42" s="527">
        <v>1</v>
      </c>
      <c r="V42" s="538">
        <f t="shared" si="15"/>
        <v>3045</v>
      </c>
    </row>
    <row r="43" spans="1:22">
      <c r="A43" s="521">
        <f t="shared" si="0"/>
        <v>26</v>
      </c>
      <c r="B43" s="536">
        <v>31700</v>
      </c>
      <c r="C43" s="537" t="s">
        <v>174</v>
      </c>
      <c r="D43" s="529">
        <v>27423437</v>
      </c>
      <c r="E43" s="529">
        <v>0</v>
      </c>
      <c r="F43" s="529">
        <f>-D43</f>
        <v>-27423437</v>
      </c>
      <c r="G43" s="525">
        <f t="shared" si="10"/>
        <v>0</v>
      </c>
      <c r="J43" s="525">
        <f t="shared" si="11"/>
        <v>0</v>
      </c>
      <c r="L43" s="529">
        <v>1331210</v>
      </c>
      <c r="M43" s="529">
        <v>0</v>
      </c>
      <c r="N43" s="525">
        <f t="shared" si="12"/>
        <v>1331210</v>
      </c>
      <c r="O43" s="529">
        <v>0</v>
      </c>
      <c r="P43" s="529">
        <f>-N43</f>
        <v>-1331210</v>
      </c>
      <c r="Q43" s="525">
        <f t="shared" si="13"/>
        <v>0</v>
      </c>
      <c r="S43" s="525">
        <f t="shared" si="14"/>
        <v>0</v>
      </c>
      <c r="T43" s="443" t="s">
        <v>167</v>
      </c>
      <c r="U43" s="527">
        <v>1</v>
      </c>
      <c r="V43" s="538">
        <f t="shared" si="15"/>
        <v>0</v>
      </c>
    </row>
    <row r="44" spans="1:22">
      <c r="A44" s="521"/>
      <c r="D44" s="534">
        <f>SUM(D34:D43)</f>
        <v>1094348778</v>
      </c>
      <c r="E44" s="534">
        <f>SUM(E34:E43)</f>
        <v>-329486693</v>
      </c>
      <c r="F44" s="534">
        <f>SUM(F34:F43)</f>
        <v>-27423437</v>
      </c>
      <c r="G44" s="534">
        <f>SUM(G34:G43)</f>
        <v>737438648</v>
      </c>
      <c r="J44" s="534">
        <f>SUM(J34:J43)</f>
        <v>21262161</v>
      </c>
      <c r="L44" s="534">
        <f t="shared" ref="L44:Q44" si="16">SUM(L34:L43)</f>
        <v>31491469</v>
      </c>
      <c r="M44" s="534">
        <f t="shared" si="16"/>
        <v>0</v>
      </c>
      <c r="N44" s="534">
        <f t="shared" si="16"/>
        <v>31491469</v>
      </c>
      <c r="O44" s="534">
        <f t="shared" si="16"/>
        <v>-9354910</v>
      </c>
      <c r="P44" s="534">
        <f t="shared" si="16"/>
        <v>-1331210</v>
      </c>
      <c r="Q44" s="534">
        <f t="shared" si="16"/>
        <v>20805349</v>
      </c>
      <c r="S44" s="534">
        <f>SUM(S34:S43)</f>
        <v>456812</v>
      </c>
      <c r="V44" s="539">
        <f>SUM(V34:V43)</f>
        <v>456812</v>
      </c>
    </row>
    <row r="45" spans="1:22">
      <c r="A45" s="521"/>
    </row>
    <row r="46" spans="1:22">
      <c r="A46" s="521">
        <v>27</v>
      </c>
      <c r="B46" s="889" t="s">
        <v>177</v>
      </c>
      <c r="C46" s="869"/>
      <c r="D46" s="540">
        <f>D44+D31</f>
        <v>1291776797</v>
      </c>
      <c r="E46" s="540">
        <f>E44+E31</f>
        <v>-329486693</v>
      </c>
      <c r="F46" s="540">
        <f>F44+F31</f>
        <v>-34041525</v>
      </c>
      <c r="G46" s="540">
        <f>G44+G31</f>
        <v>928248579</v>
      </c>
      <c r="J46" s="540">
        <f>J44+J31</f>
        <v>27957845</v>
      </c>
      <c r="L46" s="540">
        <f t="shared" ref="L46:Q46" si="17">L44+L31</f>
        <v>37927679</v>
      </c>
      <c r="M46" s="540">
        <f t="shared" si="17"/>
        <v>0</v>
      </c>
      <c r="N46" s="540">
        <f t="shared" si="17"/>
        <v>37927679</v>
      </c>
      <c r="O46" s="540">
        <f t="shared" si="17"/>
        <v>-9354910</v>
      </c>
      <c r="P46" s="540">
        <f t="shared" si="17"/>
        <v>-1331210</v>
      </c>
      <c r="Q46" s="540">
        <f t="shared" si="17"/>
        <v>27241559</v>
      </c>
      <c r="S46" s="540">
        <f>S44+S31</f>
        <v>716286</v>
      </c>
      <c r="V46" s="541">
        <f>V44+V31</f>
        <v>716286</v>
      </c>
    </row>
    <row r="47" spans="1:22">
      <c r="A47" s="521"/>
    </row>
    <row r="48" spans="1:22">
      <c r="A48" s="521"/>
      <c r="B48" s="886" t="s">
        <v>178</v>
      </c>
      <c r="C48" s="869"/>
    </row>
    <row r="49" spans="1:22">
      <c r="A49" s="521">
        <v>28</v>
      </c>
      <c r="B49" s="536">
        <v>35000</v>
      </c>
      <c r="C49" s="537" t="s">
        <v>166</v>
      </c>
      <c r="D49" s="524">
        <v>6071984</v>
      </c>
      <c r="E49" s="524">
        <v>0</v>
      </c>
      <c r="F49" s="524">
        <v>0</v>
      </c>
      <c r="G49" s="525">
        <f t="shared" ref="G49:G63" si="18">D49+F49+E49</f>
        <v>6071984</v>
      </c>
      <c r="I49" s="526">
        <v>0</v>
      </c>
      <c r="J49" s="525">
        <f t="shared" ref="J49:J63" si="19">ROUND(G49*I49,0)</f>
        <v>0</v>
      </c>
      <c r="L49" s="524">
        <v>0</v>
      </c>
      <c r="M49" s="524">
        <v>0</v>
      </c>
      <c r="N49" s="525">
        <f t="shared" ref="N49:N63" si="20">L49+M49</f>
        <v>0</v>
      </c>
      <c r="O49" s="524">
        <v>0</v>
      </c>
      <c r="P49" s="524">
        <v>0</v>
      </c>
      <c r="Q49" s="525">
        <f t="shared" ref="Q49:Q63" si="21">N49+P49+O49</f>
        <v>0</v>
      </c>
      <c r="S49" s="525">
        <f t="shared" ref="S49:S63" si="22">J49-Q49</f>
        <v>0</v>
      </c>
      <c r="T49" s="443" t="s">
        <v>61</v>
      </c>
      <c r="U49" s="527">
        <v>1</v>
      </c>
      <c r="V49" s="538">
        <f t="shared" ref="V49:V63" si="23">U49*S49</f>
        <v>0</v>
      </c>
    </row>
    <row r="50" spans="1:22">
      <c r="A50" s="521">
        <f t="shared" si="0"/>
        <v>29</v>
      </c>
      <c r="B50" s="536">
        <v>35010</v>
      </c>
      <c r="C50" s="537" t="s">
        <v>168</v>
      </c>
      <c r="D50" s="524">
        <v>40011912</v>
      </c>
      <c r="E50" s="524">
        <v>0</v>
      </c>
      <c r="F50" s="524">
        <v>0</v>
      </c>
      <c r="G50" s="525">
        <f t="shared" si="18"/>
        <v>40011912</v>
      </c>
      <c r="I50" s="526">
        <v>1.44E-2</v>
      </c>
      <c r="J50" s="525">
        <f t="shared" si="19"/>
        <v>576172</v>
      </c>
      <c r="L50" s="524">
        <v>539803</v>
      </c>
      <c r="M50" s="524">
        <v>0</v>
      </c>
      <c r="N50" s="525">
        <f t="shared" si="20"/>
        <v>539803</v>
      </c>
      <c r="O50" s="524">
        <v>0</v>
      </c>
      <c r="P50" s="524">
        <v>0</v>
      </c>
      <c r="Q50" s="525">
        <f t="shared" si="21"/>
        <v>539803</v>
      </c>
      <c r="S50" s="525">
        <f t="shared" si="22"/>
        <v>36369</v>
      </c>
      <c r="T50" s="443" t="s">
        <v>61</v>
      </c>
      <c r="U50" s="527">
        <v>1</v>
      </c>
      <c r="V50" s="538">
        <f t="shared" si="23"/>
        <v>36369</v>
      </c>
    </row>
    <row r="51" spans="1:22">
      <c r="A51" s="521">
        <f t="shared" si="0"/>
        <v>30</v>
      </c>
      <c r="B51" s="536">
        <v>35120</v>
      </c>
      <c r="C51" s="537" t="s">
        <v>683</v>
      </c>
      <c r="D51" s="524">
        <v>1538091</v>
      </c>
      <c r="E51" s="524">
        <v>0</v>
      </c>
      <c r="F51" s="524">
        <v>0</v>
      </c>
      <c r="G51" s="525">
        <f t="shared" si="18"/>
        <v>1538091</v>
      </c>
      <c r="I51" s="526">
        <v>0.2</v>
      </c>
      <c r="J51" s="525">
        <f t="shared" si="19"/>
        <v>307618</v>
      </c>
      <c r="L51" s="524">
        <v>50538</v>
      </c>
      <c r="M51" s="524">
        <v>0</v>
      </c>
      <c r="N51" s="525">
        <f t="shared" si="20"/>
        <v>50538</v>
      </c>
      <c r="O51" s="524">
        <v>0</v>
      </c>
      <c r="P51" s="524">
        <v>0</v>
      </c>
      <c r="Q51" s="525">
        <f t="shared" si="21"/>
        <v>50538</v>
      </c>
      <c r="S51" s="525">
        <f t="shared" si="22"/>
        <v>257080</v>
      </c>
      <c r="T51" s="443" t="s">
        <v>61</v>
      </c>
      <c r="U51" s="527">
        <v>1</v>
      </c>
      <c r="V51" s="538">
        <f t="shared" si="23"/>
        <v>257080</v>
      </c>
    </row>
    <row r="52" spans="1:22">
      <c r="A52" s="521">
        <f t="shared" si="0"/>
        <v>31</v>
      </c>
      <c r="B52" s="536">
        <v>35130</v>
      </c>
      <c r="C52" s="537" t="s">
        <v>207</v>
      </c>
      <c r="D52" s="524">
        <v>304955</v>
      </c>
      <c r="E52" s="524">
        <v>0</v>
      </c>
      <c r="F52" s="524">
        <v>0</v>
      </c>
      <c r="G52" s="525">
        <f t="shared" si="18"/>
        <v>304955</v>
      </c>
      <c r="I52" s="526">
        <v>5.6599999999999998E-2</v>
      </c>
      <c r="J52" s="525">
        <f t="shared" si="19"/>
        <v>17260</v>
      </c>
      <c r="L52" s="524">
        <v>4796</v>
      </c>
      <c r="M52" s="524">
        <v>0</v>
      </c>
      <c r="N52" s="525">
        <f t="shared" si="20"/>
        <v>4796</v>
      </c>
      <c r="O52" s="524">
        <v>0</v>
      </c>
      <c r="P52" s="524">
        <v>0</v>
      </c>
      <c r="Q52" s="525">
        <f t="shared" si="21"/>
        <v>4796</v>
      </c>
      <c r="S52" s="525">
        <f t="shared" si="22"/>
        <v>12464</v>
      </c>
      <c r="T52" s="443" t="s">
        <v>61</v>
      </c>
      <c r="U52" s="527">
        <v>1</v>
      </c>
      <c r="V52" s="538">
        <f t="shared" si="23"/>
        <v>12464</v>
      </c>
    </row>
    <row r="53" spans="1:22">
      <c r="A53" s="521">
        <f t="shared" si="0"/>
        <v>32</v>
      </c>
      <c r="B53" s="536">
        <v>35200</v>
      </c>
      <c r="C53" s="537" t="s">
        <v>179</v>
      </c>
      <c r="D53" s="524">
        <v>30279599</v>
      </c>
      <c r="E53" s="524">
        <v>0</v>
      </c>
      <c r="F53" s="524">
        <v>0</v>
      </c>
      <c r="G53" s="525">
        <f t="shared" si="18"/>
        <v>30279599</v>
      </c>
      <c r="I53" s="526">
        <v>2.0799999999999999E-2</v>
      </c>
      <c r="J53" s="525">
        <f t="shared" si="19"/>
        <v>629816</v>
      </c>
      <c r="L53" s="524">
        <v>549340</v>
      </c>
      <c r="M53" s="524">
        <v>0</v>
      </c>
      <c r="N53" s="525">
        <f t="shared" si="20"/>
        <v>549340</v>
      </c>
      <c r="O53" s="524">
        <v>0</v>
      </c>
      <c r="P53" s="524">
        <v>0</v>
      </c>
      <c r="Q53" s="525">
        <f t="shared" si="21"/>
        <v>549340</v>
      </c>
      <c r="S53" s="525">
        <f t="shared" si="22"/>
        <v>80476</v>
      </c>
      <c r="T53" s="443" t="s">
        <v>61</v>
      </c>
      <c r="U53" s="527">
        <v>1</v>
      </c>
      <c r="V53" s="538">
        <f t="shared" si="23"/>
        <v>80476</v>
      </c>
    </row>
    <row r="54" spans="1:22">
      <c r="A54" s="521">
        <f t="shared" si="0"/>
        <v>33</v>
      </c>
      <c r="B54" s="536">
        <v>35300</v>
      </c>
      <c r="C54" s="537" t="s">
        <v>180</v>
      </c>
      <c r="D54" s="524">
        <v>305515305</v>
      </c>
      <c r="E54" s="524">
        <v>0</v>
      </c>
      <c r="F54" s="524">
        <v>0</v>
      </c>
      <c r="G54" s="525">
        <f t="shared" si="18"/>
        <v>305515305</v>
      </c>
      <c r="I54" s="526">
        <v>2.1499999999999998E-2</v>
      </c>
      <c r="J54" s="525">
        <f t="shared" si="19"/>
        <v>6568579</v>
      </c>
      <c r="L54" s="524">
        <v>6437954</v>
      </c>
      <c r="M54" s="524">
        <v>0</v>
      </c>
      <c r="N54" s="525">
        <f t="shared" si="20"/>
        <v>6437954</v>
      </c>
      <c r="O54" s="524">
        <v>0</v>
      </c>
      <c r="P54" s="524">
        <v>0</v>
      </c>
      <c r="Q54" s="525">
        <f t="shared" si="21"/>
        <v>6437954</v>
      </c>
      <c r="S54" s="525">
        <f t="shared" si="22"/>
        <v>130625</v>
      </c>
      <c r="T54" s="443" t="s">
        <v>61</v>
      </c>
      <c r="U54" s="527">
        <v>1</v>
      </c>
      <c r="V54" s="538">
        <f t="shared" si="23"/>
        <v>130625</v>
      </c>
    </row>
    <row r="55" spans="1:22">
      <c r="A55" s="521">
        <f t="shared" si="0"/>
        <v>34</v>
      </c>
      <c r="B55" s="536">
        <v>35316</v>
      </c>
      <c r="C55" s="537" t="s">
        <v>181</v>
      </c>
      <c r="D55" s="524">
        <v>8191172</v>
      </c>
      <c r="E55" s="524">
        <v>0</v>
      </c>
      <c r="F55" s="524">
        <v>0</v>
      </c>
      <c r="G55" s="525">
        <f t="shared" si="18"/>
        <v>8191172</v>
      </c>
      <c r="I55" s="526">
        <v>2.1499999999999998E-2</v>
      </c>
      <c r="J55" s="525">
        <f t="shared" si="19"/>
        <v>176110</v>
      </c>
      <c r="L55" s="524">
        <v>163550</v>
      </c>
      <c r="M55" s="524">
        <v>0</v>
      </c>
      <c r="N55" s="525">
        <f t="shared" si="20"/>
        <v>163550</v>
      </c>
      <c r="O55" s="524">
        <v>0</v>
      </c>
      <c r="P55" s="524">
        <v>0</v>
      </c>
      <c r="Q55" s="525">
        <f t="shared" si="21"/>
        <v>163550</v>
      </c>
      <c r="S55" s="525">
        <f t="shared" si="22"/>
        <v>12560</v>
      </c>
      <c r="T55" s="443" t="s">
        <v>61</v>
      </c>
      <c r="U55" s="527">
        <v>1</v>
      </c>
      <c r="V55" s="538">
        <f t="shared" si="23"/>
        <v>12560</v>
      </c>
    </row>
    <row r="56" spans="1:22">
      <c r="A56" s="521">
        <f t="shared" si="0"/>
        <v>35</v>
      </c>
      <c r="B56" s="536">
        <v>35400</v>
      </c>
      <c r="C56" s="537" t="s">
        <v>182</v>
      </c>
      <c r="D56" s="524">
        <v>124382006</v>
      </c>
      <c r="E56" s="524">
        <v>0</v>
      </c>
      <c r="F56" s="524">
        <v>0</v>
      </c>
      <c r="G56" s="525">
        <f t="shared" si="18"/>
        <v>124382006</v>
      </c>
      <c r="I56" s="526">
        <v>2.6100000000000002E-2</v>
      </c>
      <c r="J56" s="525">
        <f t="shared" si="19"/>
        <v>3246370</v>
      </c>
      <c r="L56" s="524">
        <v>2911200</v>
      </c>
      <c r="M56" s="524">
        <v>0</v>
      </c>
      <c r="N56" s="525">
        <f t="shared" si="20"/>
        <v>2911200</v>
      </c>
      <c r="O56" s="524">
        <v>0</v>
      </c>
      <c r="P56" s="524">
        <v>0</v>
      </c>
      <c r="Q56" s="525">
        <f t="shared" si="21"/>
        <v>2911200</v>
      </c>
      <c r="S56" s="525">
        <f t="shared" si="22"/>
        <v>335170</v>
      </c>
      <c r="T56" s="443" t="s">
        <v>61</v>
      </c>
      <c r="U56" s="527">
        <v>1</v>
      </c>
      <c r="V56" s="538">
        <f t="shared" si="23"/>
        <v>335170</v>
      </c>
    </row>
    <row r="57" spans="1:22">
      <c r="A57" s="521">
        <f t="shared" si="0"/>
        <v>36</v>
      </c>
      <c r="B57" s="536">
        <v>35500</v>
      </c>
      <c r="C57" s="537" t="s">
        <v>183</v>
      </c>
      <c r="D57" s="524">
        <v>251460951</v>
      </c>
      <c r="E57" s="524">
        <v>0</v>
      </c>
      <c r="F57" s="524">
        <v>0</v>
      </c>
      <c r="G57" s="525">
        <f t="shared" si="18"/>
        <v>251460951</v>
      </c>
      <c r="I57" s="526">
        <v>3.95E-2</v>
      </c>
      <c r="J57" s="525">
        <f t="shared" si="19"/>
        <v>9932708</v>
      </c>
      <c r="L57" s="524">
        <v>9228445</v>
      </c>
      <c r="M57" s="524">
        <v>0</v>
      </c>
      <c r="N57" s="525">
        <f t="shared" si="20"/>
        <v>9228445</v>
      </c>
      <c r="O57" s="524">
        <v>0</v>
      </c>
      <c r="P57" s="524">
        <v>0</v>
      </c>
      <c r="Q57" s="525">
        <f t="shared" si="21"/>
        <v>9228445</v>
      </c>
      <c r="S57" s="525">
        <f t="shared" si="22"/>
        <v>704263</v>
      </c>
      <c r="T57" s="443" t="s">
        <v>61</v>
      </c>
      <c r="U57" s="527">
        <v>1</v>
      </c>
      <c r="V57" s="538">
        <f t="shared" si="23"/>
        <v>704263</v>
      </c>
    </row>
    <row r="58" spans="1:22">
      <c r="A58" s="521">
        <f t="shared" si="0"/>
        <v>37</v>
      </c>
      <c r="B58" s="536">
        <v>35600</v>
      </c>
      <c r="C58" s="537" t="s">
        <v>184</v>
      </c>
      <c r="D58" s="524">
        <v>179249661</v>
      </c>
      <c r="E58" s="524">
        <v>0</v>
      </c>
      <c r="F58" s="524">
        <v>0</v>
      </c>
      <c r="G58" s="525">
        <f t="shared" si="18"/>
        <v>179249661</v>
      </c>
      <c r="I58" s="526">
        <v>2.9100000000000001E-2</v>
      </c>
      <c r="J58" s="525">
        <f t="shared" si="19"/>
        <v>5216165</v>
      </c>
      <c r="L58" s="524">
        <v>5034098</v>
      </c>
      <c r="M58" s="524">
        <v>0</v>
      </c>
      <c r="N58" s="525">
        <f t="shared" si="20"/>
        <v>5034098</v>
      </c>
      <c r="O58" s="524">
        <v>0</v>
      </c>
      <c r="P58" s="524">
        <v>0</v>
      </c>
      <c r="Q58" s="525">
        <f t="shared" si="21"/>
        <v>5034098</v>
      </c>
      <c r="S58" s="525">
        <f t="shared" si="22"/>
        <v>182067</v>
      </c>
      <c r="T58" s="443" t="s">
        <v>61</v>
      </c>
      <c r="U58" s="527">
        <v>1</v>
      </c>
      <c r="V58" s="538">
        <f t="shared" si="23"/>
        <v>182067</v>
      </c>
    </row>
    <row r="59" spans="1:22">
      <c r="A59" s="521">
        <f t="shared" si="0"/>
        <v>38</v>
      </c>
      <c r="B59" s="536">
        <v>35610</v>
      </c>
      <c r="C59" s="537" t="s">
        <v>185</v>
      </c>
      <c r="D59" s="524">
        <v>0</v>
      </c>
      <c r="E59" s="524">
        <v>0</v>
      </c>
      <c r="F59" s="524">
        <v>0</v>
      </c>
      <c r="G59" s="525">
        <f t="shared" si="18"/>
        <v>0</v>
      </c>
      <c r="I59" s="526">
        <v>2.9100000000000001E-2</v>
      </c>
      <c r="J59" s="525">
        <f t="shared" si="19"/>
        <v>0</v>
      </c>
      <c r="L59" s="524">
        <v>0</v>
      </c>
      <c r="M59" s="524">
        <v>0</v>
      </c>
      <c r="N59" s="525">
        <f t="shared" si="20"/>
        <v>0</v>
      </c>
      <c r="O59" s="524">
        <v>0</v>
      </c>
      <c r="P59" s="524">
        <v>0</v>
      </c>
      <c r="Q59" s="525">
        <f t="shared" si="21"/>
        <v>0</v>
      </c>
      <c r="S59" s="525">
        <f t="shared" si="22"/>
        <v>0</v>
      </c>
      <c r="T59" s="443" t="s">
        <v>61</v>
      </c>
      <c r="U59" s="527">
        <v>1</v>
      </c>
      <c r="V59" s="538">
        <f t="shared" si="23"/>
        <v>0</v>
      </c>
    </row>
    <row r="60" spans="1:22">
      <c r="A60" s="521">
        <f t="shared" si="0"/>
        <v>39</v>
      </c>
      <c r="B60" s="536">
        <v>35616</v>
      </c>
      <c r="C60" s="537" t="s">
        <v>186</v>
      </c>
      <c r="D60" s="524">
        <v>9486654</v>
      </c>
      <c r="E60" s="524">
        <v>0</v>
      </c>
      <c r="F60" s="524">
        <v>0</v>
      </c>
      <c r="G60" s="525">
        <f t="shared" si="18"/>
        <v>9486654</v>
      </c>
      <c r="I60" s="526">
        <v>2.9100000000000001E-2</v>
      </c>
      <c r="J60" s="525">
        <f t="shared" si="19"/>
        <v>276062</v>
      </c>
      <c r="L60" s="524">
        <v>225839</v>
      </c>
      <c r="M60" s="524">
        <v>0</v>
      </c>
      <c r="N60" s="525">
        <f t="shared" si="20"/>
        <v>225839</v>
      </c>
      <c r="O60" s="524">
        <v>0</v>
      </c>
      <c r="P60" s="524">
        <v>0</v>
      </c>
      <c r="Q60" s="525">
        <f t="shared" si="21"/>
        <v>225839</v>
      </c>
      <c r="S60" s="525">
        <f t="shared" si="22"/>
        <v>50223</v>
      </c>
      <c r="T60" s="443" t="s">
        <v>61</v>
      </c>
      <c r="U60" s="527">
        <v>1</v>
      </c>
      <c r="V60" s="538">
        <f t="shared" si="23"/>
        <v>50223</v>
      </c>
    </row>
    <row r="61" spans="1:22">
      <c r="A61" s="521">
        <f t="shared" si="0"/>
        <v>40</v>
      </c>
      <c r="B61" s="536">
        <v>35700</v>
      </c>
      <c r="C61" s="537" t="s">
        <v>187</v>
      </c>
      <c r="D61" s="524">
        <v>6283394</v>
      </c>
      <c r="E61" s="524">
        <v>0</v>
      </c>
      <c r="F61" s="524">
        <v>0</v>
      </c>
      <c r="G61" s="525">
        <f t="shared" si="18"/>
        <v>6283394</v>
      </c>
      <c r="I61" s="526">
        <v>2.9899999999999999E-2</v>
      </c>
      <c r="J61" s="525">
        <f t="shared" si="19"/>
        <v>187873</v>
      </c>
      <c r="L61" s="524">
        <v>196532</v>
      </c>
      <c r="M61" s="524">
        <v>0</v>
      </c>
      <c r="N61" s="525">
        <f t="shared" si="20"/>
        <v>196532</v>
      </c>
      <c r="O61" s="524">
        <v>0</v>
      </c>
      <c r="P61" s="524">
        <v>0</v>
      </c>
      <c r="Q61" s="525">
        <f t="shared" si="21"/>
        <v>196532</v>
      </c>
      <c r="S61" s="525">
        <f t="shared" si="22"/>
        <v>-8659</v>
      </c>
      <c r="T61" s="443" t="s">
        <v>61</v>
      </c>
      <c r="U61" s="527">
        <v>1</v>
      </c>
      <c r="V61" s="538">
        <f t="shared" si="23"/>
        <v>-8659</v>
      </c>
    </row>
    <row r="62" spans="1:22">
      <c r="A62" s="521">
        <f t="shared" si="0"/>
        <v>41</v>
      </c>
      <c r="B62" s="536">
        <v>35800</v>
      </c>
      <c r="C62" s="537" t="s">
        <v>188</v>
      </c>
      <c r="D62" s="524">
        <v>106066</v>
      </c>
      <c r="E62" s="524">
        <v>0</v>
      </c>
      <c r="F62" s="524">
        <v>0</v>
      </c>
      <c r="G62" s="525">
        <f t="shared" si="18"/>
        <v>106066</v>
      </c>
      <c r="I62" s="526">
        <v>2.6200000000000001E-2</v>
      </c>
      <c r="J62" s="525">
        <f t="shared" si="19"/>
        <v>2779</v>
      </c>
      <c r="L62" s="524">
        <v>2779</v>
      </c>
      <c r="M62" s="524">
        <v>0</v>
      </c>
      <c r="N62" s="525">
        <f t="shared" si="20"/>
        <v>2779</v>
      </c>
      <c r="O62" s="524">
        <v>0</v>
      </c>
      <c r="P62" s="524">
        <v>0</v>
      </c>
      <c r="Q62" s="525">
        <f t="shared" si="21"/>
        <v>2779</v>
      </c>
      <c r="S62" s="525">
        <f t="shared" si="22"/>
        <v>0</v>
      </c>
      <c r="T62" s="443" t="s">
        <v>61</v>
      </c>
      <c r="U62" s="527">
        <v>1</v>
      </c>
      <c r="V62" s="538">
        <f t="shared" si="23"/>
        <v>0</v>
      </c>
    </row>
    <row r="63" spans="1:22">
      <c r="A63" s="521">
        <f t="shared" si="0"/>
        <v>42</v>
      </c>
      <c r="B63" s="536">
        <v>35816</v>
      </c>
      <c r="C63" s="537" t="s">
        <v>189</v>
      </c>
      <c r="D63" s="529">
        <v>507892</v>
      </c>
      <c r="E63" s="529">
        <v>0</v>
      </c>
      <c r="F63" s="529">
        <v>0</v>
      </c>
      <c r="G63" s="525">
        <f t="shared" si="18"/>
        <v>507892</v>
      </c>
      <c r="I63" s="526">
        <v>2.6200000000000001E-2</v>
      </c>
      <c r="J63" s="525">
        <f t="shared" si="19"/>
        <v>13307</v>
      </c>
      <c r="L63" s="529">
        <v>13940</v>
      </c>
      <c r="M63" s="529">
        <v>0</v>
      </c>
      <c r="N63" s="525">
        <f t="shared" si="20"/>
        <v>13940</v>
      </c>
      <c r="O63" s="529">
        <v>0</v>
      </c>
      <c r="P63" s="529">
        <v>0</v>
      </c>
      <c r="Q63" s="530">
        <f t="shared" si="21"/>
        <v>13940</v>
      </c>
      <c r="S63" s="525">
        <f t="shared" si="22"/>
        <v>-633</v>
      </c>
      <c r="T63" s="443" t="s">
        <v>61</v>
      </c>
      <c r="U63" s="527">
        <v>1</v>
      </c>
      <c r="V63" s="538">
        <f t="shared" si="23"/>
        <v>-633</v>
      </c>
    </row>
    <row r="64" spans="1:22">
      <c r="A64" s="521">
        <f t="shared" si="0"/>
        <v>43</v>
      </c>
      <c r="B64" s="889" t="s">
        <v>190</v>
      </c>
      <c r="C64" s="869"/>
      <c r="D64" s="542">
        <f>SUM(D49:D63)</f>
        <v>963389642</v>
      </c>
      <c r="E64" s="534">
        <f>SUM(E49:E63)</f>
        <v>0</v>
      </c>
      <c r="F64" s="534">
        <f>SUM(F49:F63)</f>
        <v>0</v>
      </c>
      <c r="G64" s="534">
        <f>SUM(G49:G63)</f>
        <v>963389642</v>
      </c>
      <c r="J64" s="534">
        <f>SUM(J49:J63)</f>
        <v>27150819</v>
      </c>
      <c r="L64" s="534">
        <f t="shared" ref="L64:Q64" si="24">SUM(L49:L63)</f>
        <v>25358814</v>
      </c>
      <c r="M64" s="534">
        <f t="shared" si="24"/>
        <v>0</v>
      </c>
      <c r="N64" s="534">
        <f t="shared" si="24"/>
        <v>25358814</v>
      </c>
      <c r="O64" s="534">
        <f t="shared" si="24"/>
        <v>0</v>
      </c>
      <c r="P64" s="534">
        <f t="shared" si="24"/>
        <v>0</v>
      </c>
      <c r="Q64" s="534">
        <f t="shared" si="24"/>
        <v>25358814</v>
      </c>
      <c r="S64" s="534">
        <f>SUM(S49:S63)</f>
        <v>1792005</v>
      </c>
      <c r="V64" s="539">
        <f>SUM(V49:V63)</f>
        <v>1792005</v>
      </c>
    </row>
    <row r="65" spans="1:22">
      <c r="A65" s="521"/>
    </row>
    <row r="66" spans="1:22">
      <c r="A66" s="521"/>
      <c r="B66" s="886" t="s">
        <v>191</v>
      </c>
      <c r="C66" s="869"/>
    </row>
    <row r="67" spans="1:22">
      <c r="A67" s="521">
        <v>44</v>
      </c>
      <c r="B67" s="536">
        <v>36000</v>
      </c>
      <c r="C67" s="537" t="s">
        <v>166</v>
      </c>
      <c r="D67" s="524">
        <v>5657797</v>
      </c>
      <c r="E67" s="524">
        <v>0</v>
      </c>
      <c r="F67" s="524">
        <v>0</v>
      </c>
      <c r="G67" s="525">
        <f t="shared" ref="G67:G83" si="25">D67+F67+E67</f>
        <v>5657797</v>
      </c>
      <c r="I67" s="526">
        <v>0</v>
      </c>
      <c r="J67" s="525">
        <f t="shared" ref="J67:J83" si="26">ROUND(G67*I67,0)</f>
        <v>0</v>
      </c>
      <c r="L67" s="524">
        <v>0</v>
      </c>
      <c r="M67" s="524">
        <v>0</v>
      </c>
      <c r="N67" s="525">
        <f t="shared" ref="N67:N83" si="27">L67+M67</f>
        <v>0</v>
      </c>
      <c r="O67" s="524">
        <v>0</v>
      </c>
      <c r="P67" s="524">
        <v>0</v>
      </c>
      <c r="Q67" s="525">
        <f t="shared" ref="Q67:Q83" si="28">N67+P67+O67</f>
        <v>0</v>
      </c>
      <c r="S67" s="525">
        <f t="shared" ref="S67:S83" si="29">J67-Q67</f>
        <v>0</v>
      </c>
      <c r="T67" s="443" t="s">
        <v>62</v>
      </c>
      <c r="U67" s="527">
        <v>1</v>
      </c>
      <c r="V67" s="538">
        <f t="shared" ref="V67:V83" si="30">U67*S67</f>
        <v>0</v>
      </c>
    </row>
    <row r="68" spans="1:22">
      <c r="A68" s="521">
        <f t="shared" si="0"/>
        <v>45</v>
      </c>
      <c r="B68" s="536">
        <v>36010</v>
      </c>
      <c r="C68" s="537" t="s">
        <v>168</v>
      </c>
      <c r="D68" s="524">
        <v>6528051</v>
      </c>
      <c r="E68" s="524">
        <v>0</v>
      </c>
      <c r="F68" s="524">
        <v>0</v>
      </c>
      <c r="G68" s="525">
        <f t="shared" si="25"/>
        <v>6528051</v>
      </c>
      <c r="I68" s="526">
        <v>3.5200000000000002E-2</v>
      </c>
      <c r="J68" s="525">
        <f t="shared" si="26"/>
        <v>229787</v>
      </c>
      <c r="L68" s="524">
        <v>228259</v>
      </c>
      <c r="M68" s="524">
        <v>0</v>
      </c>
      <c r="N68" s="525">
        <f t="shared" si="27"/>
        <v>228259</v>
      </c>
      <c r="O68" s="524">
        <v>0</v>
      </c>
      <c r="P68" s="524">
        <v>0</v>
      </c>
      <c r="Q68" s="525">
        <f t="shared" si="28"/>
        <v>228259</v>
      </c>
      <c r="S68" s="525">
        <f t="shared" si="29"/>
        <v>1528</v>
      </c>
      <c r="T68" s="443" t="s">
        <v>62</v>
      </c>
      <c r="U68" s="527">
        <v>1</v>
      </c>
      <c r="V68" s="538">
        <f t="shared" si="30"/>
        <v>1528</v>
      </c>
    </row>
    <row r="69" spans="1:22">
      <c r="A69" s="521">
        <f t="shared" si="0"/>
        <v>46</v>
      </c>
      <c r="B69" s="536">
        <v>36100</v>
      </c>
      <c r="C69" s="537" t="s">
        <v>179</v>
      </c>
      <c r="D69" s="524">
        <v>19927486</v>
      </c>
      <c r="E69" s="524">
        <v>0</v>
      </c>
      <c r="F69" s="524">
        <v>0</v>
      </c>
      <c r="G69" s="525">
        <f t="shared" si="25"/>
        <v>19927486</v>
      </c>
      <c r="I69" s="526">
        <v>3.5200000000000002E-2</v>
      </c>
      <c r="J69" s="525">
        <f t="shared" si="26"/>
        <v>701448</v>
      </c>
      <c r="L69" s="524">
        <v>552277</v>
      </c>
      <c r="M69" s="524">
        <v>0</v>
      </c>
      <c r="N69" s="525">
        <f t="shared" si="27"/>
        <v>552277</v>
      </c>
      <c r="O69" s="524">
        <v>0</v>
      </c>
      <c r="P69" s="524">
        <v>0</v>
      </c>
      <c r="Q69" s="525">
        <f t="shared" si="28"/>
        <v>552277</v>
      </c>
      <c r="S69" s="525">
        <f t="shared" si="29"/>
        <v>149171</v>
      </c>
      <c r="T69" s="443" t="s">
        <v>62</v>
      </c>
      <c r="U69" s="527">
        <v>1</v>
      </c>
      <c r="V69" s="538">
        <f t="shared" si="30"/>
        <v>149171</v>
      </c>
    </row>
    <row r="70" spans="1:22">
      <c r="A70" s="521">
        <f t="shared" si="0"/>
        <v>47</v>
      </c>
      <c r="B70" s="536">
        <v>36200</v>
      </c>
      <c r="C70" s="537" t="s">
        <v>180</v>
      </c>
      <c r="D70" s="524">
        <v>166443759</v>
      </c>
      <c r="E70" s="524">
        <v>0</v>
      </c>
      <c r="F70" s="524">
        <v>0</v>
      </c>
      <c r="G70" s="525">
        <f t="shared" si="25"/>
        <v>166443759</v>
      </c>
      <c r="I70" s="526">
        <v>3.5200000000000002E-2</v>
      </c>
      <c r="J70" s="525">
        <f t="shared" si="26"/>
        <v>5858820</v>
      </c>
      <c r="L70" s="524">
        <v>5510006</v>
      </c>
      <c r="M70" s="524">
        <v>0</v>
      </c>
      <c r="N70" s="525">
        <f t="shared" si="27"/>
        <v>5510006</v>
      </c>
      <c r="O70" s="524">
        <v>0</v>
      </c>
      <c r="P70" s="524">
        <v>0</v>
      </c>
      <c r="Q70" s="525">
        <f t="shared" si="28"/>
        <v>5510006</v>
      </c>
      <c r="S70" s="525">
        <f t="shared" si="29"/>
        <v>348814</v>
      </c>
      <c r="T70" s="443" t="s">
        <v>62</v>
      </c>
      <c r="U70" s="527">
        <v>1</v>
      </c>
      <c r="V70" s="538">
        <f t="shared" si="30"/>
        <v>348814</v>
      </c>
    </row>
    <row r="71" spans="1:22">
      <c r="A71" s="521">
        <f t="shared" si="0"/>
        <v>48</v>
      </c>
      <c r="B71" s="536">
        <v>36216</v>
      </c>
      <c r="C71" s="537" t="s">
        <v>181</v>
      </c>
      <c r="D71" s="524">
        <v>5204420</v>
      </c>
      <c r="E71" s="524">
        <v>0</v>
      </c>
      <c r="F71" s="524">
        <v>0</v>
      </c>
      <c r="G71" s="525">
        <f t="shared" si="25"/>
        <v>5204420</v>
      </c>
      <c r="I71" s="526">
        <v>3.5200000000000002E-2</v>
      </c>
      <c r="J71" s="525">
        <f t="shared" si="26"/>
        <v>183196</v>
      </c>
      <c r="L71" s="524">
        <v>165564</v>
      </c>
      <c r="M71" s="524">
        <v>0</v>
      </c>
      <c r="N71" s="525">
        <f t="shared" si="27"/>
        <v>165564</v>
      </c>
      <c r="O71" s="524">
        <v>0</v>
      </c>
      <c r="P71" s="524">
        <v>0</v>
      </c>
      <c r="Q71" s="525">
        <f t="shared" si="28"/>
        <v>165564</v>
      </c>
      <c r="S71" s="525">
        <f t="shared" si="29"/>
        <v>17632</v>
      </c>
      <c r="T71" s="443" t="s">
        <v>62</v>
      </c>
      <c r="U71" s="527">
        <v>1</v>
      </c>
      <c r="V71" s="538">
        <f t="shared" si="30"/>
        <v>17632</v>
      </c>
    </row>
    <row r="72" spans="1:22">
      <c r="A72" s="521">
        <f t="shared" si="0"/>
        <v>49</v>
      </c>
      <c r="B72" s="536">
        <v>36320</v>
      </c>
      <c r="C72" s="537" t="s">
        <v>683</v>
      </c>
      <c r="D72" s="524">
        <v>315606</v>
      </c>
      <c r="E72" s="524">
        <v>0</v>
      </c>
      <c r="F72" s="524">
        <v>0</v>
      </c>
      <c r="G72" s="525">
        <f t="shared" si="25"/>
        <v>315606</v>
      </c>
      <c r="I72" s="526">
        <v>0.2</v>
      </c>
      <c r="J72" s="525">
        <f t="shared" si="26"/>
        <v>63121</v>
      </c>
      <c r="L72" s="524">
        <v>7624</v>
      </c>
      <c r="M72" s="524">
        <v>0</v>
      </c>
      <c r="N72" s="525">
        <f t="shared" si="27"/>
        <v>7624</v>
      </c>
      <c r="O72" s="524">
        <v>0</v>
      </c>
      <c r="P72" s="524">
        <v>0</v>
      </c>
      <c r="Q72" s="525">
        <f t="shared" si="28"/>
        <v>7624</v>
      </c>
      <c r="S72" s="525">
        <f t="shared" si="29"/>
        <v>55497</v>
      </c>
      <c r="T72" s="443" t="s">
        <v>62</v>
      </c>
      <c r="U72" s="527">
        <v>1</v>
      </c>
      <c r="V72" s="538">
        <f t="shared" si="30"/>
        <v>55497</v>
      </c>
    </row>
    <row r="73" spans="1:22">
      <c r="A73" s="521">
        <f t="shared" si="0"/>
        <v>50</v>
      </c>
      <c r="B73" s="536">
        <v>36330</v>
      </c>
      <c r="C73" s="537" t="s">
        <v>207</v>
      </c>
      <c r="D73" s="524">
        <v>1265573</v>
      </c>
      <c r="E73" s="524">
        <v>0</v>
      </c>
      <c r="F73" s="524">
        <v>0</v>
      </c>
      <c r="G73" s="525">
        <f t="shared" si="25"/>
        <v>1265573</v>
      </c>
      <c r="I73" s="526">
        <v>5.6599999999999998E-2</v>
      </c>
      <c r="J73" s="525">
        <f t="shared" si="26"/>
        <v>71631</v>
      </c>
      <c r="L73" s="524">
        <v>18726</v>
      </c>
      <c r="M73" s="524">
        <v>0</v>
      </c>
      <c r="N73" s="525">
        <f t="shared" si="27"/>
        <v>18726</v>
      </c>
      <c r="O73" s="524">
        <v>0</v>
      </c>
      <c r="P73" s="524">
        <v>0</v>
      </c>
      <c r="Q73" s="525">
        <f t="shared" si="28"/>
        <v>18726</v>
      </c>
      <c r="S73" s="525">
        <f t="shared" si="29"/>
        <v>52905</v>
      </c>
      <c r="T73" s="443" t="s">
        <v>62</v>
      </c>
      <c r="U73" s="527">
        <v>1</v>
      </c>
      <c r="V73" s="538">
        <f t="shared" si="30"/>
        <v>52905</v>
      </c>
    </row>
    <row r="74" spans="1:22">
      <c r="A74" s="521">
        <f t="shared" si="0"/>
        <v>51</v>
      </c>
      <c r="B74" s="536">
        <v>36336</v>
      </c>
      <c r="C74" s="537" t="s">
        <v>684</v>
      </c>
      <c r="D74" s="524">
        <v>1630187</v>
      </c>
      <c r="E74" s="524">
        <v>0</v>
      </c>
      <c r="F74" s="524">
        <v>0</v>
      </c>
      <c r="G74" s="525">
        <f t="shared" si="25"/>
        <v>1630187</v>
      </c>
      <c r="I74" s="526">
        <v>5.6599999999999998E-2</v>
      </c>
      <c r="J74" s="525">
        <f t="shared" si="26"/>
        <v>92269</v>
      </c>
      <c r="L74" s="524">
        <v>38839</v>
      </c>
      <c r="M74" s="524">
        <v>0</v>
      </c>
      <c r="N74" s="525">
        <f t="shared" si="27"/>
        <v>38839</v>
      </c>
      <c r="O74" s="524">
        <v>0</v>
      </c>
      <c r="P74" s="524">
        <v>0</v>
      </c>
      <c r="Q74" s="525">
        <f t="shared" si="28"/>
        <v>38839</v>
      </c>
      <c r="S74" s="525">
        <f t="shared" si="29"/>
        <v>53430</v>
      </c>
      <c r="T74" s="443" t="s">
        <v>62</v>
      </c>
      <c r="U74" s="527">
        <v>1</v>
      </c>
      <c r="V74" s="538">
        <f t="shared" si="30"/>
        <v>53430</v>
      </c>
    </row>
    <row r="75" spans="1:22">
      <c r="A75" s="521">
        <f t="shared" si="0"/>
        <v>52</v>
      </c>
      <c r="B75" s="536">
        <v>36400</v>
      </c>
      <c r="C75" s="537" t="s">
        <v>192</v>
      </c>
      <c r="D75" s="524">
        <v>334592649</v>
      </c>
      <c r="E75" s="524">
        <v>0</v>
      </c>
      <c r="F75" s="524">
        <v>0</v>
      </c>
      <c r="G75" s="525">
        <f t="shared" si="25"/>
        <v>334592649</v>
      </c>
      <c r="I75" s="526">
        <v>3.5200000000000002E-2</v>
      </c>
      <c r="J75" s="525">
        <f t="shared" si="26"/>
        <v>11777661</v>
      </c>
      <c r="L75" s="524">
        <v>11484798</v>
      </c>
      <c r="M75" s="524">
        <v>0</v>
      </c>
      <c r="N75" s="525">
        <f t="shared" si="27"/>
        <v>11484798</v>
      </c>
      <c r="O75" s="524">
        <v>0</v>
      </c>
      <c r="P75" s="524">
        <v>0</v>
      </c>
      <c r="Q75" s="525">
        <f t="shared" si="28"/>
        <v>11484798</v>
      </c>
      <c r="S75" s="525">
        <f t="shared" si="29"/>
        <v>292863</v>
      </c>
      <c r="T75" s="443" t="s">
        <v>62</v>
      </c>
      <c r="U75" s="527">
        <v>1</v>
      </c>
      <c r="V75" s="538">
        <f t="shared" si="30"/>
        <v>292863</v>
      </c>
    </row>
    <row r="76" spans="1:22">
      <c r="A76" s="521">
        <f t="shared" si="0"/>
        <v>53</v>
      </c>
      <c r="B76" s="536">
        <v>36500</v>
      </c>
      <c r="C76" s="537" t="s">
        <v>184</v>
      </c>
      <c r="D76" s="524">
        <v>350619861</v>
      </c>
      <c r="E76" s="524">
        <v>0</v>
      </c>
      <c r="F76" s="524">
        <v>0</v>
      </c>
      <c r="G76" s="525">
        <f t="shared" si="25"/>
        <v>350619861</v>
      </c>
      <c r="I76" s="526">
        <v>3.5200000000000002E-2</v>
      </c>
      <c r="J76" s="525">
        <f t="shared" si="26"/>
        <v>12341819</v>
      </c>
      <c r="L76" s="524">
        <v>11910076</v>
      </c>
      <c r="M76" s="524">
        <v>0</v>
      </c>
      <c r="N76" s="525">
        <f t="shared" si="27"/>
        <v>11910076</v>
      </c>
      <c r="O76" s="524">
        <v>0</v>
      </c>
      <c r="P76" s="524">
        <v>0</v>
      </c>
      <c r="Q76" s="525">
        <f t="shared" si="28"/>
        <v>11910076</v>
      </c>
      <c r="S76" s="525">
        <f t="shared" si="29"/>
        <v>431743</v>
      </c>
      <c r="T76" s="443" t="s">
        <v>62</v>
      </c>
      <c r="U76" s="527">
        <v>1</v>
      </c>
      <c r="V76" s="538">
        <f t="shared" si="30"/>
        <v>431743</v>
      </c>
    </row>
    <row r="77" spans="1:22">
      <c r="A77" s="521">
        <f t="shared" si="0"/>
        <v>54</v>
      </c>
      <c r="B77" s="536">
        <v>36600</v>
      </c>
      <c r="C77" s="537" t="s">
        <v>187</v>
      </c>
      <c r="D77" s="524">
        <v>10274471</v>
      </c>
      <c r="E77" s="524">
        <v>0</v>
      </c>
      <c r="F77" s="524">
        <v>0</v>
      </c>
      <c r="G77" s="525">
        <f t="shared" si="25"/>
        <v>10274471</v>
      </c>
      <c r="I77" s="526">
        <v>3.5200000000000002E-2</v>
      </c>
      <c r="J77" s="525">
        <f t="shared" si="26"/>
        <v>361661</v>
      </c>
      <c r="L77" s="524">
        <v>355703</v>
      </c>
      <c r="M77" s="524">
        <v>0</v>
      </c>
      <c r="N77" s="525">
        <f t="shared" si="27"/>
        <v>355703</v>
      </c>
      <c r="O77" s="524">
        <v>0</v>
      </c>
      <c r="P77" s="524">
        <v>0</v>
      </c>
      <c r="Q77" s="525">
        <f t="shared" si="28"/>
        <v>355703</v>
      </c>
      <c r="S77" s="525">
        <f t="shared" si="29"/>
        <v>5958</v>
      </c>
      <c r="T77" s="443" t="s">
        <v>62</v>
      </c>
      <c r="U77" s="527">
        <v>1</v>
      </c>
      <c r="V77" s="538">
        <f t="shared" si="30"/>
        <v>5958</v>
      </c>
    </row>
    <row r="78" spans="1:22">
      <c r="A78" s="521">
        <f t="shared" si="0"/>
        <v>55</v>
      </c>
      <c r="B78" s="536">
        <v>36700</v>
      </c>
      <c r="C78" s="537" t="s">
        <v>193</v>
      </c>
      <c r="D78" s="524">
        <v>13466387</v>
      </c>
      <c r="E78" s="524">
        <v>0</v>
      </c>
      <c r="F78" s="524">
        <v>0</v>
      </c>
      <c r="G78" s="525">
        <f t="shared" si="25"/>
        <v>13466387</v>
      </c>
      <c r="I78" s="526">
        <v>3.5200000000000002E-2</v>
      </c>
      <c r="J78" s="525">
        <f t="shared" si="26"/>
        <v>474017</v>
      </c>
      <c r="L78" s="524">
        <v>469106</v>
      </c>
      <c r="M78" s="524">
        <v>0</v>
      </c>
      <c r="N78" s="525">
        <f t="shared" si="27"/>
        <v>469106</v>
      </c>
      <c r="O78" s="524">
        <v>0</v>
      </c>
      <c r="P78" s="524">
        <v>0</v>
      </c>
      <c r="Q78" s="525">
        <f t="shared" si="28"/>
        <v>469106</v>
      </c>
      <c r="S78" s="525">
        <f t="shared" si="29"/>
        <v>4911</v>
      </c>
      <c r="T78" s="443" t="s">
        <v>62</v>
      </c>
      <c r="U78" s="527">
        <v>1</v>
      </c>
      <c r="V78" s="538">
        <f t="shared" si="30"/>
        <v>4911</v>
      </c>
    </row>
    <row r="79" spans="1:22">
      <c r="A79" s="521">
        <f t="shared" si="0"/>
        <v>56</v>
      </c>
      <c r="B79" s="536">
        <v>36800</v>
      </c>
      <c r="C79" s="537" t="s">
        <v>194</v>
      </c>
      <c r="D79" s="524">
        <v>175015724</v>
      </c>
      <c r="E79" s="524">
        <v>0</v>
      </c>
      <c r="F79" s="524">
        <v>0</v>
      </c>
      <c r="G79" s="525">
        <f t="shared" si="25"/>
        <v>175015724</v>
      </c>
      <c r="I79" s="526">
        <v>3.5200000000000002E-2</v>
      </c>
      <c r="J79" s="525">
        <f t="shared" si="26"/>
        <v>6160553</v>
      </c>
      <c r="L79" s="524">
        <v>5980749</v>
      </c>
      <c r="M79" s="524">
        <v>0</v>
      </c>
      <c r="N79" s="525">
        <f t="shared" si="27"/>
        <v>5980749</v>
      </c>
      <c r="O79" s="524">
        <v>0</v>
      </c>
      <c r="P79" s="524">
        <v>0</v>
      </c>
      <c r="Q79" s="525">
        <f t="shared" si="28"/>
        <v>5980749</v>
      </c>
      <c r="S79" s="525">
        <f t="shared" si="29"/>
        <v>179804</v>
      </c>
      <c r="T79" s="443" t="s">
        <v>62</v>
      </c>
      <c r="U79" s="527">
        <v>1</v>
      </c>
      <c r="V79" s="538">
        <f t="shared" si="30"/>
        <v>179804</v>
      </c>
    </row>
    <row r="80" spans="1:22">
      <c r="A80" s="521">
        <f t="shared" si="0"/>
        <v>57</v>
      </c>
      <c r="B80" s="536">
        <v>36900</v>
      </c>
      <c r="C80" s="537" t="s">
        <v>195</v>
      </c>
      <c r="D80" s="524">
        <v>80135686</v>
      </c>
      <c r="E80" s="524">
        <v>0</v>
      </c>
      <c r="F80" s="524">
        <v>0</v>
      </c>
      <c r="G80" s="525">
        <f t="shared" si="25"/>
        <v>80135686</v>
      </c>
      <c r="I80" s="526">
        <v>3.5200000000000002E-2</v>
      </c>
      <c r="J80" s="525">
        <f t="shared" si="26"/>
        <v>2820776</v>
      </c>
      <c r="L80" s="524">
        <v>2773033</v>
      </c>
      <c r="M80" s="524">
        <v>0</v>
      </c>
      <c r="N80" s="525">
        <f t="shared" si="27"/>
        <v>2773033</v>
      </c>
      <c r="O80" s="524">
        <v>0</v>
      </c>
      <c r="P80" s="524">
        <v>0</v>
      </c>
      <c r="Q80" s="525">
        <f t="shared" si="28"/>
        <v>2773033</v>
      </c>
      <c r="S80" s="525">
        <f t="shared" si="29"/>
        <v>47743</v>
      </c>
      <c r="T80" s="443" t="s">
        <v>62</v>
      </c>
      <c r="U80" s="527">
        <v>1</v>
      </c>
      <c r="V80" s="538">
        <f t="shared" si="30"/>
        <v>47743</v>
      </c>
    </row>
    <row r="81" spans="1:22">
      <c r="A81" s="521">
        <f t="shared" si="0"/>
        <v>58</v>
      </c>
      <c r="B81" s="536">
        <v>37000</v>
      </c>
      <c r="C81" s="537" t="s">
        <v>196</v>
      </c>
      <c r="D81" s="524">
        <v>25666287</v>
      </c>
      <c r="E81" s="524">
        <v>0</v>
      </c>
      <c r="F81" s="524">
        <v>0</v>
      </c>
      <c r="G81" s="525">
        <f t="shared" si="25"/>
        <v>25666287</v>
      </c>
      <c r="I81" s="526">
        <v>3.5200000000000002E-2</v>
      </c>
      <c r="J81" s="525">
        <f t="shared" si="26"/>
        <v>903453</v>
      </c>
      <c r="L81" s="524">
        <v>900726</v>
      </c>
      <c r="M81" s="524">
        <v>0</v>
      </c>
      <c r="N81" s="525">
        <f t="shared" si="27"/>
        <v>900726</v>
      </c>
      <c r="O81" s="524">
        <v>0</v>
      </c>
      <c r="P81" s="524">
        <v>0</v>
      </c>
      <c r="Q81" s="525">
        <f t="shared" si="28"/>
        <v>900726</v>
      </c>
      <c r="S81" s="525">
        <f t="shared" si="29"/>
        <v>2727</v>
      </c>
      <c r="T81" s="443" t="s">
        <v>62</v>
      </c>
      <c r="U81" s="527">
        <v>1</v>
      </c>
      <c r="V81" s="538">
        <f t="shared" si="30"/>
        <v>2727</v>
      </c>
    </row>
    <row r="82" spans="1:22">
      <c r="A82" s="521">
        <f t="shared" si="0"/>
        <v>59</v>
      </c>
      <c r="B82" s="536">
        <v>37100</v>
      </c>
      <c r="C82" s="537" t="s">
        <v>197</v>
      </c>
      <c r="D82" s="524">
        <v>20930435</v>
      </c>
      <c r="E82" s="524">
        <v>0</v>
      </c>
      <c r="F82" s="524">
        <v>0</v>
      </c>
      <c r="G82" s="525">
        <f t="shared" si="25"/>
        <v>20930435</v>
      </c>
      <c r="I82" s="526">
        <v>3.5200000000000002E-2</v>
      </c>
      <c r="J82" s="525">
        <f t="shared" si="26"/>
        <v>736751</v>
      </c>
      <c r="L82" s="524">
        <v>725848</v>
      </c>
      <c r="M82" s="524">
        <v>0</v>
      </c>
      <c r="N82" s="525">
        <f t="shared" si="27"/>
        <v>725848</v>
      </c>
      <c r="O82" s="524">
        <v>0</v>
      </c>
      <c r="P82" s="524">
        <v>0</v>
      </c>
      <c r="Q82" s="525">
        <f t="shared" si="28"/>
        <v>725848</v>
      </c>
      <c r="S82" s="525">
        <f t="shared" si="29"/>
        <v>10903</v>
      </c>
      <c r="T82" s="443" t="s">
        <v>62</v>
      </c>
      <c r="U82" s="527">
        <v>1</v>
      </c>
      <c r="V82" s="538">
        <f t="shared" si="30"/>
        <v>10903</v>
      </c>
    </row>
    <row r="83" spans="1:22">
      <c r="A83" s="521">
        <f t="shared" ref="A83:A106" si="31">A82+1</f>
        <v>60</v>
      </c>
      <c r="B83" s="536">
        <v>37300</v>
      </c>
      <c r="C83" s="537" t="s">
        <v>198</v>
      </c>
      <c r="D83" s="529">
        <v>5722632</v>
      </c>
      <c r="E83" s="529">
        <v>0</v>
      </c>
      <c r="F83" s="529">
        <v>0</v>
      </c>
      <c r="G83" s="530">
        <f t="shared" si="25"/>
        <v>5722632</v>
      </c>
      <c r="I83" s="526">
        <v>3.5200000000000002E-2</v>
      </c>
      <c r="J83" s="530">
        <f t="shared" si="26"/>
        <v>201437</v>
      </c>
      <c r="L83" s="529">
        <v>197478</v>
      </c>
      <c r="M83" s="529">
        <v>0</v>
      </c>
      <c r="N83" s="530">
        <f t="shared" si="27"/>
        <v>197478</v>
      </c>
      <c r="O83" s="529">
        <v>0</v>
      </c>
      <c r="P83" s="529">
        <v>0</v>
      </c>
      <c r="Q83" s="530">
        <f t="shared" si="28"/>
        <v>197478</v>
      </c>
      <c r="S83" s="530">
        <f t="shared" si="29"/>
        <v>3959</v>
      </c>
      <c r="T83" s="443" t="s">
        <v>62</v>
      </c>
      <c r="U83" s="527">
        <v>1</v>
      </c>
      <c r="V83" s="543">
        <f t="shared" si="30"/>
        <v>3959</v>
      </c>
    </row>
    <row r="84" spans="1:22">
      <c r="A84" s="521">
        <f t="shared" si="31"/>
        <v>61</v>
      </c>
      <c r="B84" s="889" t="s">
        <v>199</v>
      </c>
      <c r="C84" s="869"/>
      <c r="D84" s="534">
        <f>SUM(D67:D83)</f>
        <v>1223397011</v>
      </c>
      <c r="E84" s="534">
        <f>SUM(E67:E83)</f>
        <v>0</v>
      </c>
      <c r="F84" s="534">
        <f>SUM(F67:F83)</f>
        <v>0</v>
      </c>
      <c r="G84" s="534">
        <f>SUM(G67:G83)</f>
        <v>1223397011</v>
      </c>
      <c r="J84" s="534">
        <f>SUM(J67:J83)</f>
        <v>42978400</v>
      </c>
      <c r="L84" s="534">
        <f t="shared" ref="L84:Q84" si="32">SUM(L67:L83)</f>
        <v>41318812</v>
      </c>
      <c r="M84" s="534">
        <f t="shared" si="32"/>
        <v>0</v>
      </c>
      <c r="N84" s="534">
        <f t="shared" si="32"/>
        <v>41318812</v>
      </c>
      <c r="O84" s="534">
        <f t="shared" si="32"/>
        <v>0</v>
      </c>
      <c r="P84" s="534">
        <f t="shared" si="32"/>
        <v>0</v>
      </c>
      <c r="Q84" s="534">
        <f t="shared" si="32"/>
        <v>41318812</v>
      </c>
      <c r="S84" s="534">
        <f>SUM(S67:S83)</f>
        <v>1659588</v>
      </c>
      <c r="V84" s="539">
        <f>SUM(V67:V83)</f>
        <v>1659588</v>
      </c>
    </row>
    <row r="85" spans="1:22">
      <c r="A85" s="521"/>
    </row>
    <row r="86" spans="1:22">
      <c r="A86" s="521"/>
      <c r="B86" s="886" t="s">
        <v>200</v>
      </c>
      <c r="C86" s="869"/>
    </row>
    <row r="87" spans="1:22">
      <c r="A87" s="521">
        <v>62</v>
      </c>
      <c r="B87" s="536">
        <v>38900</v>
      </c>
      <c r="C87" s="537" t="s">
        <v>166</v>
      </c>
      <c r="D87" s="524">
        <v>2098943</v>
      </c>
      <c r="E87" s="524">
        <v>0</v>
      </c>
      <c r="F87" s="524">
        <v>0</v>
      </c>
      <c r="G87" s="525">
        <f t="shared" ref="G87:G105" si="33">D87+F87+E87</f>
        <v>2098943</v>
      </c>
      <c r="I87" s="526">
        <v>0</v>
      </c>
      <c r="J87" s="525">
        <f t="shared" ref="J87:J105" si="34">ROUND(G87*I87,0)</f>
        <v>0</v>
      </c>
      <c r="L87" s="524">
        <v>0</v>
      </c>
      <c r="M87" s="524">
        <v>0</v>
      </c>
      <c r="N87" s="525">
        <f t="shared" ref="N87:N105" si="35">L87+M87</f>
        <v>0</v>
      </c>
      <c r="O87" s="524">
        <v>0</v>
      </c>
      <c r="P87" s="524">
        <v>0</v>
      </c>
      <c r="Q87" s="525">
        <f t="shared" ref="Q87:Q105" si="36">N87+P87+O87</f>
        <v>0</v>
      </c>
      <c r="S87" s="525">
        <f t="shared" ref="S87:S105" si="37">J87-Q87</f>
        <v>0</v>
      </c>
      <c r="T87" s="443" t="s">
        <v>158</v>
      </c>
      <c r="U87" s="527">
        <v>1</v>
      </c>
      <c r="V87" s="538">
        <f t="shared" ref="V87:V105" si="38">U87*S87</f>
        <v>0</v>
      </c>
    </row>
    <row r="88" spans="1:22">
      <c r="A88" s="521">
        <f t="shared" si="31"/>
        <v>63</v>
      </c>
      <c r="B88" s="536">
        <v>38910</v>
      </c>
      <c r="C88" s="537" t="s">
        <v>168</v>
      </c>
      <c r="D88" s="524">
        <v>35748</v>
      </c>
      <c r="E88" s="524">
        <v>0</v>
      </c>
      <c r="F88" s="524">
        <v>0</v>
      </c>
      <c r="G88" s="525">
        <f t="shared" si="33"/>
        <v>35748</v>
      </c>
      <c r="I88" s="526">
        <v>1.5900000000000001E-2</v>
      </c>
      <c r="J88" s="525">
        <f t="shared" si="34"/>
        <v>568</v>
      </c>
      <c r="L88" s="524">
        <v>568</v>
      </c>
      <c r="M88" s="524">
        <v>0</v>
      </c>
      <c r="N88" s="525">
        <f t="shared" si="35"/>
        <v>568</v>
      </c>
      <c r="O88" s="524">
        <v>0</v>
      </c>
      <c r="P88" s="524">
        <v>0</v>
      </c>
      <c r="Q88" s="525">
        <f t="shared" si="36"/>
        <v>568</v>
      </c>
      <c r="S88" s="525">
        <f t="shared" si="37"/>
        <v>0</v>
      </c>
      <c r="T88" s="443" t="s">
        <v>158</v>
      </c>
      <c r="U88" s="527">
        <v>1</v>
      </c>
      <c r="V88" s="538">
        <f t="shared" si="38"/>
        <v>0</v>
      </c>
    </row>
    <row r="89" spans="1:22">
      <c r="A89" s="521">
        <f t="shared" si="31"/>
        <v>64</v>
      </c>
      <c r="B89" s="536">
        <v>39000</v>
      </c>
      <c r="C89" s="537" t="s">
        <v>179</v>
      </c>
      <c r="D89" s="524">
        <v>28738308</v>
      </c>
      <c r="E89" s="524">
        <v>0</v>
      </c>
      <c r="F89" s="524">
        <v>0</v>
      </c>
      <c r="G89" s="525">
        <f t="shared" si="33"/>
        <v>28738308</v>
      </c>
      <c r="I89" s="526">
        <v>3.9699999999999999E-2</v>
      </c>
      <c r="J89" s="525">
        <f t="shared" si="34"/>
        <v>1140911</v>
      </c>
      <c r="L89" s="524">
        <v>1133370</v>
      </c>
      <c r="M89" s="524">
        <v>0</v>
      </c>
      <c r="N89" s="525">
        <f t="shared" si="35"/>
        <v>1133370</v>
      </c>
      <c r="O89" s="524">
        <v>0</v>
      </c>
      <c r="P89" s="524">
        <v>0</v>
      </c>
      <c r="Q89" s="525">
        <f t="shared" si="36"/>
        <v>1133370</v>
      </c>
      <c r="S89" s="525">
        <f t="shared" si="37"/>
        <v>7541</v>
      </c>
      <c r="T89" s="443" t="s">
        <v>158</v>
      </c>
      <c r="U89" s="527">
        <v>1</v>
      </c>
      <c r="V89" s="538">
        <f t="shared" si="38"/>
        <v>7541</v>
      </c>
    </row>
    <row r="90" spans="1:22">
      <c r="A90" s="521">
        <f t="shared" si="31"/>
        <v>65</v>
      </c>
      <c r="B90" s="536">
        <v>39100</v>
      </c>
      <c r="C90" s="537" t="s">
        <v>201</v>
      </c>
      <c r="D90" s="524">
        <v>2518121</v>
      </c>
      <c r="E90" s="524">
        <v>-26032</v>
      </c>
      <c r="F90" s="524">
        <v>0</v>
      </c>
      <c r="G90" s="525">
        <f t="shared" si="33"/>
        <v>2492089</v>
      </c>
      <c r="I90" s="526">
        <v>3.2000000000000001E-2</v>
      </c>
      <c r="J90" s="525">
        <f t="shared" si="34"/>
        <v>79747</v>
      </c>
      <c r="L90" s="524">
        <v>95526</v>
      </c>
      <c r="M90" s="524">
        <v>0</v>
      </c>
      <c r="N90" s="525">
        <f t="shared" si="35"/>
        <v>95526</v>
      </c>
      <c r="O90" s="524">
        <v>-739</v>
      </c>
      <c r="P90" s="524">
        <v>0</v>
      </c>
      <c r="Q90" s="525">
        <f t="shared" si="36"/>
        <v>94787</v>
      </c>
      <c r="S90" s="525">
        <f t="shared" si="37"/>
        <v>-15040</v>
      </c>
      <c r="T90" s="443" t="s">
        <v>158</v>
      </c>
      <c r="U90" s="527">
        <v>1</v>
      </c>
      <c r="V90" s="538">
        <f t="shared" si="38"/>
        <v>-15040</v>
      </c>
    </row>
    <row r="91" spans="1:22">
      <c r="A91" s="521">
        <f t="shared" si="31"/>
        <v>66</v>
      </c>
      <c r="B91" s="536">
        <v>39111</v>
      </c>
      <c r="C91" s="537" t="s">
        <v>458</v>
      </c>
      <c r="D91" s="524">
        <v>2678</v>
      </c>
      <c r="E91" s="315"/>
      <c r="F91" s="524">
        <v>0</v>
      </c>
      <c r="G91" s="525">
        <f t="shared" si="33"/>
        <v>2678</v>
      </c>
      <c r="I91" s="526">
        <v>3.2000000000000001E-2</v>
      </c>
      <c r="J91" s="525">
        <f t="shared" si="34"/>
        <v>86</v>
      </c>
      <c r="L91" s="524">
        <v>10563</v>
      </c>
      <c r="M91" s="524">
        <v>0</v>
      </c>
      <c r="N91" s="525">
        <f t="shared" si="35"/>
        <v>10563</v>
      </c>
      <c r="O91" s="524">
        <v>0</v>
      </c>
      <c r="P91" s="524">
        <v>0</v>
      </c>
      <c r="Q91" s="525">
        <f t="shared" si="36"/>
        <v>10563</v>
      </c>
      <c r="S91" s="525">
        <f t="shared" si="37"/>
        <v>-10477</v>
      </c>
      <c r="T91" s="443" t="s">
        <v>158</v>
      </c>
      <c r="U91" s="527">
        <v>1</v>
      </c>
      <c r="V91" s="538">
        <f t="shared" si="38"/>
        <v>-10477</v>
      </c>
    </row>
    <row r="92" spans="1:22">
      <c r="A92" s="521">
        <f t="shared" si="31"/>
        <v>67</v>
      </c>
      <c r="B92" s="536">
        <v>39200</v>
      </c>
      <c r="C92" s="537" t="s">
        <v>202</v>
      </c>
      <c r="D92" s="524">
        <v>24068506</v>
      </c>
      <c r="E92" s="524">
        <v>0</v>
      </c>
      <c r="F92" s="524">
        <v>0</v>
      </c>
      <c r="G92" s="525">
        <f t="shared" si="33"/>
        <v>24068506</v>
      </c>
      <c r="I92" s="526">
        <v>3.5200000000000002E-2</v>
      </c>
      <c r="J92" s="525">
        <f t="shared" si="34"/>
        <v>847211</v>
      </c>
      <c r="L92" s="524">
        <v>844927</v>
      </c>
      <c r="M92" s="524">
        <v>0</v>
      </c>
      <c r="N92" s="525">
        <f t="shared" si="35"/>
        <v>844927</v>
      </c>
      <c r="O92" s="524">
        <v>0</v>
      </c>
      <c r="P92" s="524">
        <v>0</v>
      </c>
      <c r="Q92" s="525">
        <f t="shared" si="36"/>
        <v>844927</v>
      </c>
      <c r="S92" s="525">
        <f t="shared" si="37"/>
        <v>2284</v>
      </c>
      <c r="T92" s="443" t="s">
        <v>158</v>
      </c>
      <c r="U92" s="527">
        <v>1</v>
      </c>
      <c r="V92" s="538">
        <f t="shared" si="38"/>
        <v>2284</v>
      </c>
    </row>
    <row r="93" spans="1:22">
      <c r="A93" s="521">
        <f t="shared" si="31"/>
        <v>68</v>
      </c>
      <c r="B93" s="536">
        <v>39300</v>
      </c>
      <c r="C93" s="537" t="s">
        <v>203</v>
      </c>
      <c r="D93" s="524">
        <v>442608</v>
      </c>
      <c r="E93" s="524">
        <v>0</v>
      </c>
      <c r="F93" s="524">
        <v>0</v>
      </c>
      <c r="G93" s="525">
        <f t="shared" si="33"/>
        <v>442608</v>
      </c>
      <c r="I93" s="526">
        <v>4.1500000000000002E-2</v>
      </c>
      <c r="J93" s="525">
        <f t="shared" si="34"/>
        <v>18368</v>
      </c>
      <c r="L93" s="524">
        <v>21474</v>
      </c>
      <c r="M93" s="524">
        <v>0</v>
      </c>
      <c r="N93" s="525">
        <f t="shared" si="35"/>
        <v>21474</v>
      </c>
      <c r="O93" s="524">
        <v>0</v>
      </c>
      <c r="P93" s="524">
        <v>0</v>
      </c>
      <c r="Q93" s="525">
        <f t="shared" si="36"/>
        <v>21474</v>
      </c>
      <c r="S93" s="525">
        <f t="shared" si="37"/>
        <v>-3106</v>
      </c>
      <c r="T93" s="443" t="s">
        <v>158</v>
      </c>
      <c r="U93" s="527">
        <v>1</v>
      </c>
      <c r="V93" s="538">
        <f t="shared" si="38"/>
        <v>-3106</v>
      </c>
    </row>
    <row r="94" spans="1:22">
      <c r="A94" s="521">
        <f t="shared" si="31"/>
        <v>69</v>
      </c>
      <c r="B94" s="536">
        <v>39400</v>
      </c>
      <c r="C94" s="537" t="s">
        <v>204</v>
      </c>
      <c r="D94" s="524">
        <v>8352221</v>
      </c>
      <c r="E94" s="524">
        <v>0</v>
      </c>
      <c r="F94" s="524">
        <v>0</v>
      </c>
      <c r="G94" s="525">
        <f t="shared" si="33"/>
        <v>8352221</v>
      </c>
      <c r="I94" s="526">
        <v>4.2000000000000003E-2</v>
      </c>
      <c r="J94" s="525">
        <f t="shared" si="34"/>
        <v>350793</v>
      </c>
      <c r="L94" s="524">
        <v>336968</v>
      </c>
      <c r="M94" s="524">
        <v>0</v>
      </c>
      <c r="N94" s="525">
        <f t="shared" si="35"/>
        <v>336968</v>
      </c>
      <c r="O94" s="524">
        <v>0</v>
      </c>
      <c r="P94" s="524">
        <v>0</v>
      </c>
      <c r="Q94" s="525">
        <f t="shared" si="36"/>
        <v>336968</v>
      </c>
      <c r="S94" s="525">
        <f t="shared" si="37"/>
        <v>13825</v>
      </c>
      <c r="T94" s="443" t="s">
        <v>158</v>
      </c>
      <c r="U94" s="527">
        <v>1</v>
      </c>
      <c r="V94" s="538">
        <f t="shared" si="38"/>
        <v>13825</v>
      </c>
    </row>
    <row r="95" spans="1:22">
      <c r="A95" s="521">
        <f t="shared" si="31"/>
        <v>70</v>
      </c>
      <c r="B95" s="536">
        <v>39500</v>
      </c>
      <c r="C95" s="537" t="s">
        <v>205</v>
      </c>
      <c r="D95" s="524">
        <v>225704</v>
      </c>
      <c r="E95" s="524">
        <v>0</v>
      </c>
      <c r="F95" s="524">
        <v>0</v>
      </c>
      <c r="G95" s="525">
        <f t="shared" si="33"/>
        <v>225704</v>
      </c>
      <c r="I95" s="526">
        <v>5.7599999999999998E-2</v>
      </c>
      <c r="J95" s="525">
        <f t="shared" si="34"/>
        <v>13001</v>
      </c>
      <c r="L95" s="524">
        <v>13001</v>
      </c>
      <c r="M95" s="524">
        <v>0</v>
      </c>
      <c r="N95" s="525">
        <f t="shared" si="35"/>
        <v>13001</v>
      </c>
      <c r="O95" s="524">
        <v>0</v>
      </c>
      <c r="P95" s="524">
        <v>0</v>
      </c>
      <c r="Q95" s="525">
        <f t="shared" si="36"/>
        <v>13001</v>
      </c>
      <c r="S95" s="525">
        <f t="shared" si="37"/>
        <v>0</v>
      </c>
      <c r="T95" s="443" t="s">
        <v>158</v>
      </c>
      <c r="U95" s="527">
        <v>1</v>
      </c>
      <c r="V95" s="538">
        <f t="shared" si="38"/>
        <v>0</v>
      </c>
    </row>
    <row r="96" spans="1:22">
      <c r="A96" s="521">
        <f t="shared" si="31"/>
        <v>71</v>
      </c>
      <c r="B96" s="536">
        <v>39600</v>
      </c>
      <c r="C96" s="537" t="s">
        <v>206</v>
      </c>
      <c r="D96" s="524">
        <v>2221245</v>
      </c>
      <c r="E96" s="524">
        <v>0</v>
      </c>
      <c r="F96" s="524">
        <v>0</v>
      </c>
      <c r="G96" s="525">
        <f t="shared" si="33"/>
        <v>2221245</v>
      </c>
      <c r="I96" s="526">
        <v>5.4300000000000001E-2</v>
      </c>
      <c r="J96" s="525">
        <f t="shared" si="34"/>
        <v>120614</v>
      </c>
      <c r="L96" s="524">
        <v>120614</v>
      </c>
      <c r="M96" s="524">
        <v>0</v>
      </c>
      <c r="N96" s="525">
        <f t="shared" si="35"/>
        <v>120614</v>
      </c>
      <c r="O96" s="524">
        <v>0</v>
      </c>
      <c r="P96" s="524">
        <v>0</v>
      </c>
      <c r="Q96" s="525">
        <f t="shared" si="36"/>
        <v>120614</v>
      </c>
      <c r="S96" s="525">
        <f t="shared" si="37"/>
        <v>0</v>
      </c>
      <c r="T96" s="443" t="s">
        <v>158</v>
      </c>
      <c r="U96" s="527">
        <v>1</v>
      </c>
      <c r="V96" s="538">
        <f t="shared" si="38"/>
        <v>0</v>
      </c>
    </row>
    <row r="97" spans="1:23">
      <c r="A97" s="521">
        <f t="shared" si="31"/>
        <v>72</v>
      </c>
      <c r="B97" s="536">
        <v>39700</v>
      </c>
      <c r="C97" s="537" t="s">
        <v>207</v>
      </c>
      <c r="D97" s="524">
        <v>0</v>
      </c>
      <c r="E97" s="524">
        <v>0</v>
      </c>
      <c r="F97" s="524">
        <v>0</v>
      </c>
      <c r="G97" s="525">
        <f t="shared" si="33"/>
        <v>0</v>
      </c>
      <c r="I97" s="526">
        <v>5.6599999999999998E-2</v>
      </c>
      <c r="J97" s="525">
        <f t="shared" si="34"/>
        <v>0</v>
      </c>
      <c r="L97" s="524">
        <v>1700967</v>
      </c>
      <c r="M97" s="524">
        <v>0</v>
      </c>
      <c r="N97" s="525">
        <f t="shared" si="35"/>
        <v>1700967</v>
      </c>
      <c r="O97" s="524">
        <v>0</v>
      </c>
      <c r="P97" s="524">
        <v>0</v>
      </c>
      <c r="Q97" s="525">
        <f t="shared" si="36"/>
        <v>1700967</v>
      </c>
      <c r="S97" s="525">
        <f t="shared" si="37"/>
        <v>-1700967</v>
      </c>
      <c r="T97" s="443" t="s">
        <v>158</v>
      </c>
      <c r="U97" s="527">
        <v>1</v>
      </c>
      <c r="V97" s="538">
        <f t="shared" si="38"/>
        <v>-1700967</v>
      </c>
    </row>
    <row r="98" spans="1:23">
      <c r="A98" s="521">
        <f t="shared" si="31"/>
        <v>73</v>
      </c>
      <c r="B98" s="536">
        <v>39710</v>
      </c>
      <c r="C98" s="537" t="s">
        <v>685</v>
      </c>
      <c r="D98" s="524">
        <v>1313417</v>
      </c>
      <c r="E98" s="524">
        <v>0</v>
      </c>
      <c r="F98" s="524">
        <v>0</v>
      </c>
      <c r="G98" s="525">
        <f t="shared" si="33"/>
        <v>1313417</v>
      </c>
      <c r="I98" s="526">
        <v>3.2000000000000001E-2</v>
      </c>
      <c r="J98" s="525">
        <f t="shared" si="34"/>
        <v>42029</v>
      </c>
      <c r="L98" s="524">
        <v>14001</v>
      </c>
      <c r="M98" s="524">
        <v>0</v>
      </c>
      <c r="N98" s="525">
        <f t="shared" si="35"/>
        <v>14001</v>
      </c>
      <c r="O98" s="524">
        <v>0</v>
      </c>
      <c r="P98" s="524">
        <v>0</v>
      </c>
      <c r="Q98" s="525">
        <f t="shared" si="36"/>
        <v>14001</v>
      </c>
      <c r="S98" s="525">
        <f t="shared" si="37"/>
        <v>28028</v>
      </c>
      <c r="T98" s="443" t="s">
        <v>158</v>
      </c>
      <c r="U98" s="527">
        <v>1</v>
      </c>
      <c r="V98" s="538">
        <f t="shared" si="38"/>
        <v>28028</v>
      </c>
    </row>
    <row r="99" spans="1:23">
      <c r="A99" s="521">
        <f t="shared" si="31"/>
        <v>74</v>
      </c>
      <c r="B99" s="536">
        <v>39716</v>
      </c>
      <c r="C99" s="537" t="s">
        <v>208</v>
      </c>
      <c r="D99" s="524">
        <v>0</v>
      </c>
      <c r="E99" s="524">
        <v>0</v>
      </c>
      <c r="F99" s="524">
        <v>0</v>
      </c>
      <c r="G99" s="525">
        <f t="shared" si="33"/>
        <v>0</v>
      </c>
      <c r="I99" s="526">
        <v>5.6599999999999998E-2</v>
      </c>
      <c r="J99" s="525">
        <f t="shared" si="34"/>
        <v>0</v>
      </c>
      <c r="L99" s="524">
        <v>56785</v>
      </c>
      <c r="M99" s="524">
        <v>0</v>
      </c>
      <c r="N99" s="525">
        <f t="shared" si="35"/>
        <v>56785</v>
      </c>
      <c r="O99" s="524">
        <v>0</v>
      </c>
      <c r="P99" s="524">
        <v>0</v>
      </c>
      <c r="Q99" s="525">
        <f t="shared" si="36"/>
        <v>56785</v>
      </c>
      <c r="S99" s="525">
        <f t="shared" si="37"/>
        <v>-56785</v>
      </c>
      <c r="T99" s="443" t="s">
        <v>158</v>
      </c>
      <c r="U99" s="527">
        <v>1</v>
      </c>
      <c r="V99" s="538">
        <f t="shared" si="38"/>
        <v>-56785</v>
      </c>
    </row>
    <row r="100" spans="1:23">
      <c r="A100" s="521">
        <f t="shared" si="31"/>
        <v>75</v>
      </c>
      <c r="B100" s="536">
        <v>39721</v>
      </c>
      <c r="C100" s="537" t="s">
        <v>686</v>
      </c>
      <c r="D100" s="524">
        <v>7038488</v>
      </c>
      <c r="E100" s="524">
        <v>0</v>
      </c>
      <c r="F100" s="524">
        <v>0</v>
      </c>
      <c r="G100" s="525">
        <f t="shared" si="33"/>
        <v>7038488</v>
      </c>
      <c r="I100" s="526">
        <v>6.6699999999999995E-2</v>
      </c>
      <c r="J100" s="525">
        <f t="shared" si="34"/>
        <v>469467</v>
      </c>
      <c r="L100" s="524">
        <v>156489</v>
      </c>
      <c r="M100" s="524">
        <v>0</v>
      </c>
      <c r="N100" s="525">
        <f t="shared" si="35"/>
        <v>156489</v>
      </c>
      <c r="O100" s="524">
        <v>0</v>
      </c>
      <c r="P100" s="524">
        <v>0</v>
      </c>
      <c r="Q100" s="525">
        <f t="shared" si="36"/>
        <v>156489</v>
      </c>
      <c r="S100" s="525">
        <f t="shared" si="37"/>
        <v>312978</v>
      </c>
      <c r="T100" s="443" t="s">
        <v>158</v>
      </c>
      <c r="U100" s="527">
        <v>1</v>
      </c>
      <c r="V100" s="538">
        <f t="shared" si="38"/>
        <v>312978</v>
      </c>
    </row>
    <row r="101" spans="1:23">
      <c r="A101" s="521">
        <f t="shared" si="31"/>
        <v>76</v>
      </c>
      <c r="B101" s="536">
        <v>39721</v>
      </c>
      <c r="C101" s="537" t="s">
        <v>687</v>
      </c>
      <c r="D101" s="524">
        <v>4553053</v>
      </c>
      <c r="E101" s="524">
        <v>0</v>
      </c>
      <c r="F101" s="524">
        <v>0</v>
      </c>
      <c r="G101" s="525">
        <f t="shared" si="33"/>
        <v>4553053</v>
      </c>
      <c r="I101" s="526">
        <v>0.1</v>
      </c>
      <c r="J101" s="525">
        <f t="shared" si="34"/>
        <v>455305</v>
      </c>
      <c r="L101" s="524">
        <v>151768</v>
      </c>
      <c r="M101" s="524">
        <v>0</v>
      </c>
      <c r="N101" s="525">
        <f t="shared" si="35"/>
        <v>151768</v>
      </c>
      <c r="O101" s="524">
        <v>0</v>
      </c>
      <c r="P101" s="524">
        <v>0</v>
      </c>
      <c r="Q101" s="525">
        <f t="shared" si="36"/>
        <v>151768</v>
      </c>
      <c r="S101" s="525">
        <f t="shared" si="37"/>
        <v>303537</v>
      </c>
      <c r="T101" s="443" t="s">
        <v>158</v>
      </c>
      <c r="U101" s="527">
        <v>1</v>
      </c>
      <c r="V101" s="538">
        <f t="shared" si="38"/>
        <v>303537</v>
      </c>
    </row>
    <row r="102" spans="1:23">
      <c r="A102" s="521">
        <f t="shared" si="31"/>
        <v>77</v>
      </c>
      <c r="B102" s="536">
        <v>39721</v>
      </c>
      <c r="C102" s="537" t="s">
        <v>688</v>
      </c>
      <c r="D102" s="524">
        <v>44745209</v>
      </c>
      <c r="E102" s="524">
        <v>0</v>
      </c>
      <c r="F102" s="524">
        <v>-4031043</v>
      </c>
      <c r="G102" s="525">
        <f t="shared" si="33"/>
        <v>40714166</v>
      </c>
      <c r="I102" s="526">
        <v>0.2</v>
      </c>
      <c r="J102" s="525">
        <f t="shared" si="34"/>
        <v>8142833</v>
      </c>
      <c r="L102" s="524">
        <v>2582642</v>
      </c>
      <c r="M102" s="524">
        <v>-788025</v>
      </c>
      <c r="N102" s="525">
        <f t="shared" si="35"/>
        <v>1794617</v>
      </c>
      <c r="O102" s="524">
        <v>0</v>
      </c>
      <c r="P102" s="524">
        <f>-M102</f>
        <v>788025</v>
      </c>
      <c r="Q102" s="525">
        <f t="shared" si="36"/>
        <v>2582642</v>
      </c>
      <c r="S102" s="525">
        <f t="shared" si="37"/>
        <v>5560191</v>
      </c>
      <c r="T102" s="443" t="s">
        <v>158</v>
      </c>
      <c r="U102" s="527">
        <v>1</v>
      </c>
      <c r="V102" s="538">
        <f t="shared" si="38"/>
        <v>5560191</v>
      </c>
    </row>
    <row r="103" spans="1:23">
      <c r="A103" s="521">
        <f t="shared" si="31"/>
        <v>78</v>
      </c>
      <c r="B103" s="536">
        <v>39730</v>
      </c>
      <c r="C103" s="537" t="s">
        <v>207</v>
      </c>
      <c r="D103" s="524">
        <v>45280549</v>
      </c>
      <c r="E103" s="524">
        <v>0</v>
      </c>
      <c r="F103" s="524">
        <v>0</v>
      </c>
      <c r="G103" s="525">
        <f t="shared" si="33"/>
        <v>45280549</v>
      </c>
      <c r="I103" s="526">
        <v>5.6599999999999998E-2</v>
      </c>
      <c r="J103" s="525">
        <f t="shared" si="34"/>
        <v>2562879</v>
      </c>
      <c r="L103" s="524">
        <v>857810</v>
      </c>
      <c r="M103" s="524">
        <v>0</v>
      </c>
      <c r="N103" s="525">
        <f t="shared" si="35"/>
        <v>857810</v>
      </c>
      <c r="O103" s="524">
        <v>0</v>
      </c>
      <c r="P103" s="524">
        <v>0</v>
      </c>
      <c r="Q103" s="525">
        <f t="shared" si="36"/>
        <v>857810</v>
      </c>
      <c r="S103" s="525">
        <f t="shared" si="37"/>
        <v>1705069</v>
      </c>
      <c r="T103" s="443" t="s">
        <v>158</v>
      </c>
      <c r="U103" s="527">
        <v>1</v>
      </c>
      <c r="V103" s="538">
        <f t="shared" si="38"/>
        <v>1705069</v>
      </c>
    </row>
    <row r="104" spans="1:23">
      <c r="A104" s="521">
        <f t="shared" si="31"/>
        <v>79</v>
      </c>
      <c r="B104" s="536">
        <v>39800</v>
      </c>
      <c r="C104" s="537" t="s">
        <v>209</v>
      </c>
      <c r="D104" s="524">
        <v>2154748</v>
      </c>
      <c r="E104" s="524">
        <v>-726</v>
      </c>
      <c r="F104" s="524">
        <v>0</v>
      </c>
      <c r="G104" s="525">
        <f t="shared" si="33"/>
        <v>2154022</v>
      </c>
      <c r="I104" s="526">
        <v>6.7299999999999999E-2</v>
      </c>
      <c r="J104" s="525">
        <f>ROUND(G104*I104,0)</f>
        <v>144966</v>
      </c>
      <c r="L104" s="524">
        <v>154551</v>
      </c>
      <c r="M104" s="524">
        <v>0</v>
      </c>
      <c r="N104" s="525">
        <f t="shared" si="35"/>
        <v>154551</v>
      </c>
      <c r="O104" s="524">
        <v>-21</v>
      </c>
      <c r="P104" s="524">
        <v>0</v>
      </c>
      <c r="Q104" s="525">
        <f t="shared" si="36"/>
        <v>154530</v>
      </c>
      <c r="S104" s="525">
        <f t="shared" si="37"/>
        <v>-9564</v>
      </c>
      <c r="T104" s="443" t="s">
        <v>158</v>
      </c>
      <c r="U104" s="527">
        <v>1</v>
      </c>
      <c r="V104" s="538">
        <f t="shared" si="38"/>
        <v>-9564</v>
      </c>
    </row>
    <row r="105" spans="1:23">
      <c r="A105" s="521">
        <f t="shared" si="31"/>
        <v>80</v>
      </c>
      <c r="B105" s="536">
        <v>39919</v>
      </c>
      <c r="C105" s="537" t="s">
        <v>210</v>
      </c>
      <c r="D105" s="529">
        <v>158819</v>
      </c>
      <c r="E105" s="529">
        <v>0</v>
      </c>
      <c r="F105" s="529">
        <v>-158819</v>
      </c>
      <c r="G105" s="525">
        <f t="shared" si="33"/>
        <v>0</v>
      </c>
      <c r="H105" s="419"/>
      <c r="I105" s="544">
        <v>0</v>
      </c>
      <c r="J105" s="530">
        <f t="shared" si="34"/>
        <v>0</v>
      </c>
      <c r="K105" s="545"/>
      <c r="L105" s="529">
        <v>0</v>
      </c>
      <c r="M105" s="529">
        <v>0</v>
      </c>
      <c r="N105" s="525">
        <f t="shared" si="35"/>
        <v>0</v>
      </c>
      <c r="O105" s="529">
        <v>0</v>
      </c>
      <c r="P105" s="529">
        <v>0</v>
      </c>
      <c r="Q105" s="525">
        <f t="shared" si="36"/>
        <v>0</v>
      </c>
      <c r="R105" s="545"/>
      <c r="S105" s="525">
        <f t="shared" si="37"/>
        <v>0</v>
      </c>
      <c r="T105" s="443" t="s">
        <v>158</v>
      </c>
      <c r="U105" s="527">
        <v>1</v>
      </c>
      <c r="V105" s="538">
        <f t="shared" si="38"/>
        <v>0</v>
      </c>
      <c r="W105" s="419"/>
    </row>
    <row r="106" spans="1:23">
      <c r="A106" s="521">
        <f t="shared" si="31"/>
        <v>81</v>
      </c>
      <c r="B106" s="889" t="s">
        <v>211</v>
      </c>
      <c r="C106" s="869"/>
      <c r="D106" s="534">
        <f>SUM(D87:D105)</f>
        <v>173948365</v>
      </c>
      <c r="E106" s="534">
        <f>SUM(E87:E105)</f>
        <v>-26758</v>
      </c>
      <c r="F106" s="534">
        <f>SUM(F87:F105)</f>
        <v>-4189862</v>
      </c>
      <c r="G106" s="534">
        <f>SUM(G87:G105)</f>
        <v>169731745</v>
      </c>
      <c r="J106" s="534">
        <f>SUM(J87:J105)</f>
        <v>14388778</v>
      </c>
      <c r="L106" s="534">
        <f t="shared" ref="L106:Q106" si="39">SUM(L87:L105)</f>
        <v>8252024</v>
      </c>
      <c r="M106" s="534">
        <f t="shared" si="39"/>
        <v>-788025</v>
      </c>
      <c r="N106" s="534">
        <f t="shared" si="39"/>
        <v>7463999</v>
      </c>
      <c r="O106" s="534">
        <f t="shared" si="39"/>
        <v>-760</v>
      </c>
      <c r="P106" s="534">
        <f t="shared" si="39"/>
        <v>788025</v>
      </c>
      <c r="Q106" s="534">
        <f t="shared" si="39"/>
        <v>8251264</v>
      </c>
      <c r="S106" s="534">
        <f>SUM(S87:S105)</f>
        <v>6137514</v>
      </c>
      <c r="V106" s="539">
        <f>SUM(V87:V105)</f>
        <v>6137514</v>
      </c>
    </row>
    <row r="107" spans="1:23">
      <c r="A107" s="521"/>
    </row>
    <row r="108" spans="1:23">
      <c r="A108" s="521">
        <v>82</v>
      </c>
      <c r="B108" s="546" t="s">
        <v>212</v>
      </c>
      <c r="D108" s="540">
        <f>+D84+D106+D15+D64+D46</f>
        <v>3652564734</v>
      </c>
      <c r="E108" s="540">
        <f>+E84+E106+E15+E64+E46</f>
        <v>-329513451</v>
      </c>
      <c r="F108" s="540">
        <f>+F84+F106+F15+F64+F46</f>
        <v>-38231387</v>
      </c>
      <c r="G108" s="540">
        <f>+G84+G106+G15+G64+G46</f>
        <v>3284819896</v>
      </c>
      <c r="J108" s="540">
        <f>+J84+J106+J15+J64+J46</f>
        <v>112475842</v>
      </c>
      <c r="L108" s="540">
        <f t="shared" ref="L108:Q108" si="40">+L84+L106+L15+L64+L46</f>
        <v>119220272</v>
      </c>
      <c r="M108" s="540">
        <f t="shared" si="40"/>
        <v>-788025</v>
      </c>
      <c r="N108" s="540">
        <f t="shared" si="40"/>
        <v>118432247</v>
      </c>
      <c r="O108" s="540">
        <f t="shared" si="40"/>
        <v>-9355670</v>
      </c>
      <c r="P108" s="540">
        <f t="shared" si="40"/>
        <v>-543185</v>
      </c>
      <c r="Q108" s="540">
        <f t="shared" si="40"/>
        <v>108533392</v>
      </c>
      <c r="S108" s="540">
        <f>+S84+S106+S15+S64+S46</f>
        <v>3942450</v>
      </c>
    </row>
    <row r="109" spans="1:23">
      <c r="A109" s="521"/>
    </row>
    <row r="110" spans="1:23" ht="13.5" thickBot="1">
      <c r="A110" s="521">
        <v>83</v>
      </c>
      <c r="B110" s="889" t="s">
        <v>213</v>
      </c>
      <c r="C110" s="869"/>
      <c r="D110" s="869"/>
      <c r="E110" s="869"/>
      <c r="F110" s="869"/>
      <c r="G110" s="869"/>
      <c r="V110" s="547">
        <f>+V84+V106+V15+V64+V46</f>
        <v>3942450</v>
      </c>
    </row>
    <row r="111" spans="1:23" ht="13.5" thickTop="1">
      <c r="A111" s="521"/>
      <c r="V111" s="420"/>
    </row>
    <row r="112" spans="1:23" ht="26">
      <c r="A112" s="521"/>
      <c r="B112" s="892" t="s">
        <v>689</v>
      </c>
      <c r="C112" s="872"/>
      <c r="D112" s="872"/>
      <c r="G112" s="886" t="s">
        <v>484</v>
      </c>
      <c r="H112" s="869"/>
      <c r="I112" s="869"/>
      <c r="J112" s="869"/>
      <c r="K112" s="869"/>
      <c r="L112" s="869"/>
      <c r="M112" s="869"/>
      <c r="N112" s="417" t="s">
        <v>485</v>
      </c>
      <c r="O112" s="417" t="s">
        <v>486</v>
      </c>
    </row>
    <row r="113" spans="1:15">
      <c r="A113" s="521">
        <v>84</v>
      </c>
      <c r="B113" s="893" t="s">
        <v>214</v>
      </c>
      <c r="C113" s="869"/>
      <c r="D113" s="521">
        <f>D108</f>
        <v>3652564734</v>
      </c>
      <c r="G113" s="894" t="s">
        <v>215</v>
      </c>
      <c r="H113" s="894"/>
      <c r="I113" s="894"/>
      <c r="J113" s="894"/>
      <c r="K113" s="894"/>
      <c r="L113" s="894"/>
      <c r="M113" s="894"/>
      <c r="N113" s="314">
        <f>N108-N43</f>
        <v>117101037</v>
      </c>
      <c r="O113" s="548">
        <f>J108</f>
        <v>112475842</v>
      </c>
    </row>
    <row r="114" spans="1:15">
      <c r="A114" s="521">
        <f t="shared" ref="A114:A119" si="41">A113+1</f>
        <v>85</v>
      </c>
      <c r="B114" s="893" t="s">
        <v>216</v>
      </c>
      <c r="C114" s="869"/>
      <c r="D114" s="549">
        <v>5106810</v>
      </c>
      <c r="G114" s="894" t="s">
        <v>217</v>
      </c>
      <c r="H114" s="894"/>
      <c r="I114" s="894"/>
      <c r="J114" s="894"/>
      <c r="K114" s="894"/>
      <c r="L114" s="894"/>
      <c r="M114" s="894"/>
      <c r="N114" s="314">
        <v>38616</v>
      </c>
      <c r="O114" s="548">
        <f>N114</f>
        <v>38616</v>
      </c>
    </row>
    <row r="115" spans="1:15">
      <c r="A115" s="521">
        <f t="shared" si="41"/>
        <v>86</v>
      </c>
      <c r="B115" s="893" t="s">
        <v>218</v>
      </c>
      <c r="C115" s="869"/>
      <c r="D115" s="430">
        <v>289887</v>
      </c>
      <c r="G115" s="894" t="s">
        <v>219</v>
      </c>
      <c r="H115" s="894"/>
      <c r="I115" s="894"/>
      <c r="J115" s="894"/>
      <c r="K115" s="894"/>
      <c r="L115" s="894"/>
      <c r="M115" s="894"/>
      <c r="N115" s="314">
        <v>-2010677</v>
      </c>
      <c r="O115" s="550">
        <v>0</v>
      </c>
    </row>
    <row r="116" spans="1:15" ht="13.5" thickBot="1">
      <c r="A116" s="521">
        <f t="shared" si="41"/>
        <v>87</v>
      </c>
      <c r="B116" s="893" t="s">
        <v>220</v>
      </c>
      <c r="C116" s="869"/>
      <c r="D116" s="551">
        <f>SUM(D113:D115)</f>
        <v>3657961431</v>
      </c>
      <c r="G116" s="894" t="s">
        <v>221</v>
      </c>
      <c r="H116" s="894"/>
      <c r="I116" s="894"/>
      <c r="J116" s="894"/>
      <c r="K116" s="894"/>
      <c r="L116" s="894"/>
      <c r="M116" s="894"/>
      <c r="N116" s="314">
        <v>214595</v>
      </c>
      <c r="O116" s="552">
        <v>0</v>
      </c>
    </row>
    <row r="117" spans="1:15" ht="13.5" thickTop="1">
      <c r="A117" s="521">
        <f t="shared" si="41"/>
        <v>88</v>
      </c>
      <c r="D117" s="418"/>
      <c r="G117" s="894" t="s">
        <v>692</v>
      </c>
      <c r="H117" s="894"/>
      <c r="I117" s="894"/>
      <c r="J117" s="894"/>
      <c r="K117" s="894"/>
      <c r="L117" s="894"/>
      <c r="M117" s="894"/>
      <c r="N117" s="314">
        <v>8055027</v>
      </c>
      <c r="O117" s="550">
        <v>0</v>
      </c>
    </row>
    <row r="118" spans="1:15">
      <c r="A118" s="521">
        <f t="shared" si="41"/>
        <v>89</v>
      </c>
      <c r="G118" s="894" t="s">
        <v>487</v>
      </c>
      <c r="H118" s="894"/>
      <c r="I118" s="894"/>
      <c r="J118" s="894"/>
      <c r="K118" s="894"/>
      <c r="L118" s="894"/>
      <c r="M118" s="894"/>
      <c r="N118" s="314">
        <f>P106</f>
        <v>788025</v>
      </c>
      <c r="O118" s="550">
        <f>+'W28'!F11</f>
        <v>865888.68400000001</v>
      </c>
    </row>
    <row r="119" spans="1:15">
      <c r="A119" s="521">
        <f t="shared" si="41"/>
        <v>90</v>
      </c>
      <c r="G119" s="894" t="s">
        <v>488</v>
      </c>
      <c r="H119" s="894"/>
      <c r="I119" s="894"/>
      <c r="J119" s="894"/>
      <c r="K119" s="894"/>
      <c r="L119" s="894"/>
      <c r="M119" s="894"/>
      <c r="N119" s="430">
        <v>1797037</v>
      </c>
      <c r="O119" s="553">
        <f>+'W38'!F9</f>
        <v>113368.78</v>
      </c>
    </row>
    <row r="120" spans="1:15" ht="13.5" thickBot="1">
      <c r="A120" s="521"/>
      <c r="G120" s="894" t="s">
        <v>222</v>
      </c>
      <c r="H120" s="872"/>
      <c r="I120" s="872"/>
      <c r="J120" s="872"/>
      <c r="K120" s="872"/>
      <c r="L120" s="872"/>
      <c r="M120" s="872"/>
      <c r="N120" s="554">
        <f>SUM(N113:N119)</f>
        <v>125983660</v>
      </c>
      <c r="O120" s="554">
        <f>SUM(O113:O119)</f>
        <v>113493715.464</v>
      </c>
    </row>
    <row r="121" spans="1:15" ht="13.5" thickTop="1">
      <c r="A121" s="521"/>
      <c r="L121" s="315" t="s">
        <v>690</v>
      </c>
      <c r="M121" s="557">
        <v>125983659.73999999</v>
      </c>
      <c r="N121" s="418"/>
      <c r="O121" s="558"/>
    </row>
    <row r="122" spans="1:15">
      <c r="A122" s="521"/>
      <c r="L122" s="315" t="s">
        <v>691</v>
      </c>
      <c r="M122" s="559">
        <f>+N120-M121</f>
        <v>0.26000000536441803</v>
      </c>
      <c r="N122" s="560"/>
      <c r="O122" s="561"/>
    </row>
    <row r="123" spans="1:15">
      <c r="A123" s="521"/>
      <c r="N123" s="560"/>
      <c r="O123" s="561"/>
    </row>
    <row r="124" spans="1:15">
      <c r="A124" s="521"/>
      <c r="B124" s="894" t="s">
        <v>223</v>
      </c>
      <c r="C124" s="872"/>
      <c r="D124" s="872"/>
      <c r="E124" s="872"/>
      <c r="F124" s="872"/>
      <c r="G124" s="872"/>
      <c r="H124" s="872"/>
      <c r="I124" s="872"/>
      <c r="J124" s="872"/>
      <c r="K124" s="872"/>
      <c r="L124" s="872"/>
      <c r="M124" s="872"/>
      <c r="N124" s="872"/>
    </row>
    <row r="125" spans="1:15">
      <c r="A125" s="521"/>
      <c r="B125" s="894" t="s">
        <v>380</v>
      </c>
      <c r="C125" s="872"/>
      <c r="D125" s="872"/>
      <c r="E125" s="872"/>
      <c r="F125" s="872"/>
      <c r="G125" s="872"/>
      <c r="H125" s="872"/>
      <c r="I125" s="872"/>
      <c r="J125" s="872"/>
      <c r="K125" s="872"/>
      <c r="L125" s="872"/>
      <c r="M125" s="872"/>
      <c r="N125" s="872"/>
    </row>
    <row r="126" spans="1:15">
      <c r="A126" s="521"/>
      <c r="B126" s="894" t="s">
        <v>224</v>
      </c>
      <c r="C126" s="872"/>
      <c r="D126" s="872"/>
      <c r="E126" s="872"/>
      <c r="F126" s="872"/>
      <c r="G126" s="872"/>
      <c r="H126" s="872"/>
      <c r="I126" s="872"/>
      <c r="J126" s="872"/>
      <c r="K126" s="872"/>
      <c r="L126" s="872"/>
      <c r="M126" s="872"/>
      <c r="N126" s="872"/>
    </row>
    <row r="127" spans="1:15">
      <c r="A127" s="521"/>
      <c r="B127" s="89"/>
      <c r="C127" s="562" t="s">
        <v>381</v>
      </c>
      <c r="D127" s="563">
        <f>F106-F100</f>
        <v>-4189862</v>
      </c>
      <c r="E127" s="89"/>
      <c r="F127" s="89"/>
      <c r="G127" s="89"/>
      <c r="H127" s="89"/>
      <c r="I127" s="89"/>
      <c r="J127" s="89"/>
      <c r="K127" s="89"/>
      <c r="L127" s="89"/>
      <c r="M127" s="89"/>
      <c r="N127" s="194"/>
    </row>
    <row r="128" spans="1:15">
      <c r="A128" s="521"/>
      <c r="B128" s="89"/>
      <c r="C128" s="562" t="s">
        <v>382</v>
      </c>
      <c r="D128" s="563">
        <f>P106-P100</f>
        <v>788025</v>
      </c>
      <c r="E128" s="89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3">
      <c r="A129" s="521"/>
    </row>
    <row r="130" spans="1:3">
      <c r="A130" s="521"/>
      <c r="B130" s="419" t="s">
        <v>33</v>
      </c>
      <c r="C130" s="555" t="s">
        <v>592</v>
      </c>
    </row>
    <row r="131" spans="1:3">
      <c r="A131" s="521"/>
    </row>
    <row r="132" spans="1:3">
      <c r="A132" s="521"/>
    </row>
  </sheetData>
  <mergeCells count="37">
    <mergeCell ref="B116:C116"/>
    <mergeCell ref="G116:M116"/>
    <mergeCell ref="B126:N126"/>
    <mergeCell ref="G117:M117"/>
    <mergeCell ref="G118:M118"/>
    <mergeCell ref="G119:M119"/>
    <mergeCell ref="G120:M120"/>
    <mergeCell ref="B124:N124"/>
    <mergeCell ref="B125:N125"/>
    <mergeCell ref="B113:C113"/>
    <mergeCell ref="G113:M113"/>
    <mergeCell ref="B114:C114"/>
    <mergeCell ref="G114:M114"/>
    <mergeCell ref="B115:C115"/>
    <mergeCell ref="G115:M115"/>
    <mergeCell ref="B106:C106"/>
    <mergeCell ref="B110:G110"/>
    <mergeCell ref="B112:D112"/>
    <mergeCell ref="G112:M112"/>
    <mergeCell ref="B3:R3"/>
    <mergeCell ref="B4:Q4"/>
    <mergeCell ref="B1:Q1"/>
    <mergeCell ref="B86:C86"/>
    <mergeCell ref="T7:U7"/>
    <mergeCell ref="B9:C9"/>
    <mergeCell ref="B15:C15"/>
    <mergeCell ref="B18:C18"/>
    <mergeCell ref="B20:C20"/>
    <mergeCell ref="B33:C33"/>
    <mergeCell ref="B46:C46"/>
    <mergeCell ref="B48:C48"/>
    <mergeCell ref="B64:C64"/>
    <mergeCell ref="B66:C66"/>
    <mergeCell ref="B84:C84"/>
    <mergeCell ref="D6:G6"/>
    <mergeCell ref="I6:V6"/>
    <mergeCell ref="B2:Q2"/>
  </mergeCells>
  <pageMargins left="0.75" right="0.75" top="1" bottom="1" header="0.5" footer="0.5"/>
  <pageSetup scale="43" fitToHeight="2" orientation="landscape" r:id="rId1"/>
  <headerFooter>
    <oddHeader>&amp;C&amp;"Times New Roman,Regular"&amp;10Kentucky Power Company
Annualization of Depreciation Expense (Excluding ARO Depreciation) at Existing Rates
Test Year Ended May 31, 2025
W37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D54-F849-4569-ADBD-74EF7167CB36}">
  <sheetPr>
    <pageSetUpPr fitToPage="1"/>
  </sheetPr>
  <dimension ref="A1:J51"/>
  <sheetViews>
    <sheetView zoomScaleNormal="100" workbookViewId="0">
      <selection activeCell="G15" sqref="G15"/>
    </sheetView>
  </sheetViews>
  <sheetFormatPr defaultColWidth="9.1796875" defaultRowHeight="13"/>
  <cols>
    <col min="1" max="2" width="9.1796875" style="1"/>
    <col min="3" max="3" width="30.54296875" style="1" bestFit="1" customWidth="1"/>
    <col min="4" max="4" width="9.1796875" style="1"/>
    <col min="5" max="5" width="13.7265625" style="1" customWidth="1"/>
    <col min="6" max="6" width="9.1796875" style="1"/>
    <col min="7" max="7" width="13.26953125" style="1" customWidth="1"/>
    <col min="8" max="8" width="13" style="1" customWidth="1"/>
    <col min="9" max="9" width="18.7265625" style="1" customWidth="1"/>
    <col min="10" max="10" width="9.1796875" style="1"/>
    <col min="11" max="11" width="14" style="1" customWidth="1"/>
    <col min="12" max="16384" width="9.1796875" style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835" t="s">
        <v>0</v>
      </c>
      <c r="C2" s="835"/>
      <c r="D2" s="835"/>
      <c r="E2" s="835"/>
      <c r="F2" s="835"/>
      <c r="G2" s="835"/>
      <c r="H2" s="835"/>
      <c r="I2" s="115"/>
      <c r="J2" s="115"/>
    </row>
    <row r="3" spans="1:10">
      <c r="A3" s="115"/>
      <c r="B3" s="836" t="s">
        <v>355</v>
      </c>
      <c r="C3" s="836"/>
      <c r="D3" s="836"/>
      <c r="E3" s="836"/>
      <c r="F3" s="836"/>
      <c r="G3" s="836"/>
      <c r="H3" s="836"/>
      <c r="I3" s="115"/>
      <c r="J3" s="115"/>
    </row>
    <row r="4" spans="1:10">
      <c r="A4" s="115"/>
      <c r="B4" s="835" t="s">
        <v>588</v>
      </c>
      <c r="C4" s="835"/>
      <c r="D4" s="835"/>
      <c r="E4" s="835"/>
      <c r="F4" s="835"/>
      <c r="G4" s="835"/>
      <c r="H4" s="835"/>
      <c r="I4" s="115"/>
      <c r="J4" s="115"/>
    </row>
    <row r="5" spans="1:10">
      <c r="B5" s="838" t="s">
        <v>507</v>
      </c>
      <c r="C5" s="838"/>
      <c r="D5" s="838"/>
      <c r="E5" s="838"/>
      <c r="F5" s="838"/>
      <c r="G5" s="838"/>
      <c r="H5" s="838"/>
    </row>
    <row r="7" spans="1:10" ht="52">
      <c r="A7" s="116" t="s">
        <v>1</v>
      </c>
      <c r="B7" s="837" t="s">
        <v>2</v>
      </c>
      <c r="C7" s="837"/>
      <c r="D7" s="837"/>
      <c r="E7" s="116" t="s">
        <v>3</v>
      </c>
      <c r="F7" s="116"/>
      <c r="G7" s="116" t="s">
        <v>4</v>
      </c>
      <c r="H7" s="116" t="s">
        <v>5</v>
      </c>
      <c r="I7" s="116" t="s">
        <v>6</v>
      </c>
      <c r="J7" s="115"/>
    </row>
    <row r="8" spans="1:10">
      <c r="A8" s="117"/>
      <c r="B8" s="117"/>
      <c r="C8" s="117"/>
      <c r="D8" s="115"/>
      <c r="E8" s="118"/>
      <c r="F8" s="119"/>
      <c r="G8" s="119"/>
      <c r="H8" s="119"/>
      <c r="I8" s="120"/>
      <c r="J8" s="115"/>
    </row>
    <row r="9" spans="1:10">
      <c r="A9" s="115"/>
      <c r="B9" s="115"/>
      <c r="C9" s="115"/>
      <c r="D9" s="115"/>
      <c r="E9" s="121"/>
      <c r="F9" s="115"/>
      <c r="G9" s="115"/>
      <c r="H9" s="115"/>
      <c r="I9" s="122"/>
      <c r="J9" s="115"/>
    </row>
    <row r="10" spans="1:10">
      <c r="A10" s="115"/>
      <c r="B10" s="123" t="s">
        <v>249</v>
      </c>
      <c r="C10" s="123"/>
      <c r="D10" s="115"/>
      <c r="G10" s="115"/>
      <c r="H10" s="115"/>
      <c r="I10" s="124"/>
      <c r="J10" s="115"/>
    </row>
    <row r="11" spans="1:10" ht="13.5" thickBot="1">
      <c r="A11" s="117">
        <v>1</v>
      </c>
      <c r="B11" s="117" t="s">
        <v>7</v>
      </c>
      <c r="C11" s="115" t="s">
        <v>326</v>
      </c>
      <c r="D11" s="115"/>
      <c r="E11" s="131">
        <v>145034.32593183615</v>
      </c>
      <c r="G11" s="115" t="s">
        <v>8</v>
      </c>
      <c r="H11" s="130">
        <v>1</v>
      </c>
      <c r="I11" s="128">
        <f>E11</f>
        <v>145034.32593183615</v>
      </c>
      <c r="J11" s="126" t="s">
        <v>253</v>
      </c>
    </row>
    <row r="12" spans="1:10" ht="13.5" thickTop="1">
      <c r="I12" s="132"/>
    </row>
    <row r="15" spans="1:10">
      <c r="A15" s="1" t="s">
        <v>724</v>
      </c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5">
    <mergeCell ref="B2:H2"/>
    <mergeCell ref="B3:H3"/>
    <mergeCell ref="B7:D7"/>
    <mergeCell ref="B5:H5"/>
    <mergeCell ref="B4:H4"/>
  </mergeCells>
  <pageMargins left="0.7" right="0.7" top="0.75" bottom="0.75" header="0.3" footer="0.3"/>
  <pageSetup scale="6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46AC-4861-4FB0-B395-53AE45AF6856}">
  <sheetPr>
    <pageSetUpPr fitToPage="1"/>
  </sheetPr>
  <dimension ref="A1:F17"/>
  <sheetViews>
    <sheetView showRuler="0" zoomScale="120" zoomScaleNormal="120" workbookViewId="0">
      <selection activeCell="B7" sqref="B7"/>
    </sheetView>
  </sheetViews>
  <sheetFormatPr defaultColWidth="13.1796875" defaultRowHeight="13"/>
  <cols>
    <col min="1" max="1" width="7.81640625" style="389" bestFit="1" customWidth="1"/>
    <col min="2" max="2" width="50" style="389" bestFit="1" customWidth="1"/>
    <col min="3" max="3" width="3.453125" style="389" customWidth="1"/>
    <col min="4" max="4" width="7.7265625" style="389" bestFit="1" customWidth="1"/>
    <col min="5" max="5" width="3.453125" style="389" customWidth="1"/>
    <col min="6" max="6" width="8.453125" style="389" bestFit="1" customWidth="1"/>
    <col min="7" max="7" width="13.81640625" style="389" customWidth="1"/>
    <col min="8" max="16384" width="13.1796875" style="389"/>
  </cols>
  <sheetData>
    <row r="1" spans="1:6">
      <c r="F1" s="422" t="s">
        <v>51</v>
      </c>
    </row>
    <row r="2" spans="1:6">
      <c r="A2" s="866" t="s">
        <v>0</v>
      </c>
      <c r="B2" s="867"/>
      <c r="C2" s="867"/>
      <c r="D2" s="867"/>
      <c r="E2" s="867"/>
      <c r="F2" s="867"/>
    </row>
    <row r="3" spans="1:6">
      <c r="A3" s="866" t="s">
        <v>383</v>
      </c>
      <c r="B3" s="867"/>
      <c r="C3" s="867"/>
      <c r="D3" s="867"/>
      <c r="E3" s="867"/>
      <c r="F3" s="867"/>
    </row>
    <row r="4" spans="1:6">
      <c r="A4" s="866" t="s">
        <v>591</v>
      </c>
      <c r="B4" s="867"/>
      <c r="C4" s="867"/>
      <c r="D4" s="867"/>
      <c r="E4" s="867"/>
      <c r="F4" s="867"/>
    </row>
    <row r="5" spans="1:6">
      <c r="A5" s="895" t="s">
        <v>498</v>
      </c>
      <c r="B5" s="867"/>
      <c r="C5" s="867"/>
      <c r="D5" s="867"/>
      <c r="E5" s="867"/>
      <c r="F5" s="867"/>
    </row>
    <row r="7" spans="1:6" ht="39">
      <c r="A7" s="417" t="s">
        <v>10</v>
      </c>
      <c r="B7" s="417" t="s">
        <v>11</v>
      </c>
      <c r="D7" s="417" t="s">
        <v>12</v>
      </c>
      <c r="F7" s="417" t="s">
        <v>13</v>
      </c>
    </row>
    <row r="9" spans="1:6" ht="26">
      <c r="A9" s="564">
        <v>1</v>
      </c>
      <c r="B9" s="555" t="s">
        <v>226</v>
      </c>
      <c r="D9" s="565">
        <v>403.1</v>
      </c>
      <c r="F9" s="189">
        <v>113368.78</v>
      </c>
    </row>
    <row r="11" spans="1:6">
      <c r="A11" s="564">
        <v>2</v>
      </c>
      <c r="B11" s="555" t="s">
        <v>896</v>
      </c>
      <c r="F11" s="566">
        <v>1</v>
      </c>
    </row>
    <row r="12" spans="1:6">
      <c r="B12" s="555" t="s">
        <v>51</v>
      </c>
      <c r="F12" s="567"/>
    </row>
    <row r="13" spans="1:6" ht="26.5" thickBot="1">
      <c r="A13" s="564">
        <f>+A11+1</f>
        <v>3</v>
      </c>
      <c r="B13" s="555" t="s">
        <v>227</v>
      </c>
      <c r="F13" s="568">
        <f>F9*F11</f>
        <v>113368.78</v>
      </c>
    </row>
    <row r="14" spans="1:6" ht="13.5" thickTop="1">
      <c r="F14" s="569"/>
    </row>
    <row r="16" spans="1:6">
      <c r="A16" s="419" t="s">
        <v>33</v>
      </c>
      <c r="B16" s="419" t="s">
        <v>590</v>
      </c>
    </row>
    <row r="17" s="389" customFormat="1"/>
  </sheetData>
  <mergeCells count="4">
    <mergeCell ref="A2:F2"/>
    <mergeCell ref="A3:F3"/>
    <mergeCell ref="A4:F4"/>
    <mergeCell ref="A5:F5"/>
  </mergeCells>
  <pageMargins left="0.75" right="0.75" top="1" bottom="1" header="0.5" footer="0.5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7404-C570-434B-AAEC-0CC65A657B75}">
  <sheetPr>
    <pageSetUpPr fitToPage="1"/>
  </sheetPr>
  <dimension ref="A1:F17"/>
  <sheetViews>
    <sheetView showRuler="0" zoomScale="120" zoomScaleNormal="120" workbookViewId="0">
      <selection activeCell="B21" sqref="B21"/>
    </sheetView>
  </sheetViews>
  <sheetFormatPr defaultColWidth="13.1796875" defaultRowHeight="13"/>
  <cols>
    <col min="1" max="1" width="7.81640625" style="389" bestFit="1" customWidth="1"/>
    <col min="2" max="2" width="47.453125" style="389" bestFit="1" customWidth="1"/>
    <col min="3" max="3" width="3.453125" style="389" customWidth="1"/>
    <col min="4" max="4" width="7.7265625" style="389" bestFit="1" customWidth="1"/>
    <col min="5" max="5" width="3.453125" style="389" customWidth="1"/>
    <col min="6" max="6" width="8.453125" style="389" bestFit="1" customWidth="1"/>
    <col min="7" max="7" width="10.453125" style="389" customWidth="1"/>
    <col min="8" max="16384" width="13.1796875" style="389"/>
  </cols>
  <sheetData>
    <row r="1" spans="1:6">
      <c r="F1" s="419" t="s">
        <v>51</v>
      </c>
    </row>
    <row r="2" spans="1:6">
      <c r="B2" s="866" t="s">
        <v>0</v>
      </c>
      <c r="C2" s="866"/>
      <c r="D2" s="866"/>
      <c r="E2" s="866"/>
      <c r="F2" s="866"/>
    </row>
    <row r="3" spans="1:6">
      <c r="B3" s="866" t="s">
        <v>384</v>
      </c>
      <c r="C3" s="866"/>
      <c r="D3" s="866"/>
      <c r="E3" s="866"/>
      <c r="F3" s="866"/>
    </row>
    <row r="4" spans="1:6">
      <c r="B4" s="866" t="s">
        <v>591</v>
      </c>
      <c r="C4" s="866"/>
      <c r="D4" s="866"/>
      <c r="E4" s="866"/>
      <c r="F4" s="866"/>
    </row>
    <row r="5" spans="1:6">
      <c r="B5" s="866" t="s">
        <v>499</v>
      </c>
      <c r="C5" s="866"/>
      <c r="D5" s="866"/>
      <c r="E5" s="866"/>
      <c r="F5" s="866"/>
    </row>
    <row r="7" spans="1:6" ht="39">
      <c r="A7" s="417" t="s">
        <v>10</v>
      </c>
      <c r="B7" s="417" t="s">
        <v>11</v>
      </c>
      <c r="D7" s="417" t="s">
        <v>12</v>
      </c>
      <c r="F7" s="417" t="s">
        <v>13</v>
      </c>
    </row>
    <row r="9" spans="1:6" ht="26.5" thickBot="1">
      <c r="A9" s="564">
        <v>1</v>
      </c>
      <c r="B9" s="194" t="s">
        <v>897</v>
      </c>
      <c r="D9" s="570" t="s">
        <v>228</v>
      </c>
      <c r="F9" s="571">
        <v>124566.65</v>
      </c>
    </row>
    <row r="10" spans="1:6" ht="13.5" thickTop="1">
      <c r="B10" s="89"/>
      <c r="F10" s="572"/>
    </row>
    <row r="11" spans="1:6">
      <c r="A11" s="564">
        <v>2</v>
      </c>
      <c r="B11" s="194" t="s">
        <v>59</v>
      </c>
      <c r="F11" s="573">
        <v>1</v>
      </c>
    </row>
    <row r="12" spans="1:6">
      <c r="B12" s="89"/>
      <c r="F12" s="410"/>
    </row>
    <row r="13" spans="1:6" ht="26.5" thickBot="1">
      <c r="A13" s="564">
        <f>+A11+1</f>
        <v>3</v>
      </c>
      <c r="B13" s="194" t="s">
        <v>898</v>
      </c>
      <c r="F13" s="574">
        <f>F9*F11</f>
        <v>124566.65</v>
      </c>
    </row>
    <row r="14" spans="1:6" ht="13.5" thickTop="1">
      <c r="F14" s="418"/>
    </row>
    <row r="16" spans="1:6">
      <c r="A16" s="419" t="s">
        <v>33</v>
      </c>
      <c r="B16" s="419" t="s">
        <v>590</v>
      </c>
    </row>
    <row r="17" s="389" customFormat="1"/>
  </sheetData>
  <mergeCells count="4">
    <mergeCell ref="B2:F2"/>
    <mergeCell ref="B3:F3"/>
    <mergeCell ref="B4:F4"/>
    <mergeCell ref="B5:F5"/>
  </mergeCells>
  <pageMargins left="0.75" right="0.75" top="1" bottom="1" header="0.5" footer="0.5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219A-309A-448E-BCAA-1525350DE8FC}">
  <sheetPr>
    <pageSetUpPr fitToPage="1"/>
  </sheetPr>
  <dimension ref="A1:I26"/>
  <sheetViews>
    <sheetView zoomScale="130" zoomScaleNormal="130" zoomScaleSheetLayoutView="90" workbookViewId="0">
      <selection activeCell="C21" sqref="C21"/>
    </sheetView>
  </sheetViews>
  <sheetFormatPr defaultColWidth="8.7265625" defaultRowHeight="13"/>
  <cols>
    <col min="1" max="1" width="4.453125" style="145" bestFit="1" customWidth="1"/>
    <col min="2" max="2" width="28.54296875" style="145" bestFit="1" customWidth="1"/>
    <col min="3" max="3" width="12.453125" style="145" bestFit="1" customWidth="1"/>
    <col min="4" max="4" width="11.1796875" style="145" bestFit="1" customWidth="1"/>
    <col min="5" max="5" width="7.453125" style="145" bestFit="1" customWidth="1"/>
    <col min="6" max="16384" width="8.7265625" style="145"/>
  </cols>
  <sheetData>
    <row r="1" spans="1:9">
      <c r="A1" s="896" t="s">
        <v>0</v>
      </c>
      <c r="B1" s="896"/>
      <c r="C1" s="896"/>
      <c r="D1" s="896"/>
      <c r="E1" s="575"/>
      <c r="F1" s="575"/>
      <c r="G1" s="575"/>
      <c r="H1" s="575"/>
      <c r="I1" s="575"/>
    </row>
    <row r="2" spans="1:9">
      <c r="A2" s="897" t="s">
        <v>349</v>
      </c>
      <c r="B2" s="897"/>
      <c r="C2" s="897"/>
      <c r="D2" s="897"/>
      <c r="E2" s="576"/>
      <c r="F2" s="576"/>
      <c r="G2" s="576"/>
      <c r="H2" s="576"/>
      <c r="I2" s="576"/>
    </row>
    <row r="3" spans="1:9">
      <c r="A3" s="897" t="s">
        <v>350</v>
      </c>
      <c r="B3" s="897"/>
      <c r="C3" s="897"/>
      <c r="D3" s="897"/>
      <c r="E3" s="576"/>
      <c r="F3" s="576"/>
      <c r="G3" s="576"/>
      <c r="H3" s="576"/>
      <c r="I3" s="576"/>
    </row>
    <row r="4" spans="1:9">
      <c r="A4" s="897" t="s">
        <v>599</v>
      </c>
      <c r="B4" s="897"/>
      <c r="C4" s="897"/>
      <c r="D4" s="897"/>
      <c r="E4" s="576"/>
      <c r="F4" s="576"/>
      <c r="G4" s="576"/>
      <c r="H4" s="576"/>
      <c r="I4" s="576"/>
    </row>
    <row r="5" spans="1:9">
      <c r="A5" s="897" t="s">
        <v>230</v>
      </c>
      <c r="B5" s="897"/>
      <c r="C5" s="897"/>
      <c r="D5" s="897"/>
      <c r="E5" s="576"/>
      <c r="F5" s="576"/>
      <c r="G5" s="576"/>
      <c r="H5" s="576"/>
      <c r="I5" s="576"/>
    </row>
    <row r="7" spans="1:9" ht="26">
      <c r="A7" s="577" t="s">
        <v>10</v>
      </c>
      <c r="B7" s="577" t="s">
        <v>11</v>
      </c>
      <c r="C7" s="577" t="s">
        <v>12</v>
      </c>
      <c r="D7" s="578" t="s">
        <v>13</v>
      </c>
    </row>
    <row r="9" spans="1:9">
      <c r="A9" s="282">
        <v>1</v>
      </c>
      <c r="B9" s="145" t="s">
        <v>351</v>
      </c>
      <c r="D9" s="147">
        <v>952810.46</v>
      </c>
    </row>
    <row r="10" spans="1:9">
      <c r="A10" s="282"/>
    </row>
    <row r="11" spans="1:9">
      <c r="A11" s="282">
        <v>2</v>
      </c>
      <c r="B11" s="145" t="s">
        <v>352</v>
      </c>
      <c r="D11" s="147">
        <v>1067339.18</v>
      </c>
    </row>
    <row r="12" spans="1:9">
      <c r="A12" s="282"/>
    </row>
    <row r="13" spans="1:9">
      <c r="A13" s="282">
        <v>3</v>
      </c>
      <c r="B13" s="145" t="s">
        <v>139</v>
      </c>
      <c r="D13" s="151">
        <f>D11-D9</f>
        <v>114528.71999999997</v>
      </c>
    </row>
    <row r="14" spans="1:9">
      <c r="A14" s="282"/>
    </row>
    <row r="15" spans="1:9">
      <c r="A15" s="282">
        <v>4</v>
      </c>
      <c r="B15" s="145" t="s">
        <v>353</v>
      </c>
      <c r="D15" s="580">
        <v>1</v>
      </c>
    </row>
    <row r="16" spans="1:9">
      <c r="A16" s="282"/>
    </row>
    <row r="17" spans="1:5" ht="13.5" thickBot="1">
      <c r="A17" s="282">
        <v>5</v>
      </c>
      <c r="B17" s="145" t="s">
        <v>354</v>
      </c>
      <c r="C17" s="282">
        <v>9280006</v>
      </c>
      <c r="D17" s="284">
        <f>D13</f>
        <v>114528.71999999997</v>
      </c>
      <c r="E17" s="145" t="s">
        <v>922</v>
      </c>
    </row>
    <row r="18" spans="1:5" ht="13.5" thickTop="1"/>
    <row r="19" spans="1:5">
      <c r="B19" s="579" t="s">
        <v>953</v>
      </c>
    </row>
    <row r="26" spans="1:5">
      <c r="C26" s="581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9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AE2-CF25-4EBB-ABA8-67A73C251208}">
  <sheetPr>
    <pageSetUpPr fitToPage="1"/>
  </sheetPr>
  <dimension ref="A1:L39"/>
  <sheetViews>
    <sheetView showRuler="0" zoomScaleNormal="100" workbookViewId="0">
      <selection activeCell="B17" sqref="B17"/>
    </sheetView>
  </sheetViews>
  <sheetFormatPr defaultColWidth="13.1796875" defaultRowHeight="13"/>
  <cols>
    <col min="1" max="1" width="7.81640625" style="389" bestFit="1" customWidth="1"/>
    <col min="2" max="2" width="45.453125" style="389" bestFit="1" customWidth="1"/>
    <col min="3" max="3" width="3.54296875" style="389" customWidth="1"/>
    <col min="4" max="4" width="12.453125" style="389" bestFit="1" customWidth="1"/>
    <col min="5" max="5" width="3.54296875" style="389" customWidth="1"/>
    <col min="6" max="6" width="11.81640625" style="389" bestFit="1" customWidth="1"/>
    <col min="7" max="7" width="3.54296875" style="389" customWidth="1"/>
    <col min="8" max="8" width="9" style="389" bestFit="1" customWidth="1"/>
    <col min="9" max="9" width="3.54296875" style="389" customWidth="1"/>
    <col min="10" max="10" width="5.81640625" style="389" bestFit="1" customWidth="1"/>
    <col min="11" max="11" width="3.453125" style="389" customWidth="1"/>
    <col min="12" max="12" width="16.1796875" style="389" customWidth="1"/>
    <col min="13" max="13" width="12.81640625" style="389" customWidth="1"/>
    <col min="14" max="16384" width="13.1796875" style="389"/>
  </cols>
  <sheetData>
    <row r="1" spans="1:12">
      <c r="A1" s="893" t="s">
        <v>51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</row>
    <row r="2" spans="1:12">
      <c r="A2" s="866" t="s">
        <v>0</v>
      </c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</row>
    <row r="3" spans="1:12">
      <c r="A3" s="866" t="s">
        <v>229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</row>
    <row r="4" spans="1:12">
      <c r="A4" s="866" t="s">
        <v>591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</row>
    <row r="5" spans="1:12">
      <c r="A5" s="866" t="s">
        <v>305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</row>
    <row r="7" spans="1:12" ht="39">
      <c r="A7" s="417" t="s">
        <v>10</v>
      </c>
      <c r="B7" s="417" t="s">
        <v>11</v>
      </c>
      <c r="D7" s="417" t="s">
        <v>12</v>
      </c>
      <c r="F7" s="417" t="s">
        <v>13</v>
      </c>
      <c r="H7" s="417" t="s">
        <v>14</v>
      </c>
      <c r="J7" s="417" t="s">
        <v>15</v>
      </c>
      <c r="L7" s="417" t="s">
        <v>16</v>
      </c>
    </row>
    <row r="9" spans="1:12">
      <c r="A9" s="409">
        <v>1</v>
      </c>
      <c r="B9" s="194" t="s">
        <v>693</v>
      </c>
      <c r="F9" s="582">
        <v>166213540</v>
      </c>
    </row>
    <row r="10" spans="1:12">
      <c r="B10" s="89"/>
      <c r="F10" s="315"/>
    </row>
    <row r="11" spans="1:12">
      <c r="A11" s="409">
        <v>2</v>
      </c>
      <c r="B11" s="194" t="s">
        <v>231</v>
      </c>
      <c r="F11" s="582">
        <v>129958014</v>
      </c>
      <c r="H11" s="419"/>
    </row>
    <row r="12" spans="1:12">
      <c r="A12" s="417" t="s">
        <v>51</v>
      </c>
      <c r="B12" s="89"/>
      <c r="F12" s="89"/>
      <c r="H12" s="419"/>
    </row>
    <row r="13" spans="1:12">
      <c r="A13" s="409">
        <v>3</v>
      </c>
      <c r="B13" s="194" t="s">
        <v>232</v>
      </c>
      <c r="F13" s="583">
        <f>+'[2]2 P1'!$K$17</f>
        <v>7.5740000000000002E-2</v>
      </c>
      <c r="H13" s="419"/>
    </row>
    <row r="14" spans="1:12">
      <c r="A14" s="417" t="s">
        <v>51</v>
      </c>
      <c r="B14" s="89"/>
      <c r="F14" s="412"/>
    </row>
    <row r="15" spans="1:12">
      <c r="A15" s="409">
        <v>4</v>
      </c>
      <c r="B15" s="194" t="s">
        <v>233</v>
      </c>
      <c r="F15" s="584">
        <f>F11*F13</f>
        <v>9843019.9803599995</v>
      </c>
      <c r="H15" s="417" t="s">
        <v>158</v>
      </c>
      <c r="J15" s="585">
        <v>1</v>
      </c>
      <c r="L15" s="584">
        <f>F15*J15</f>
        <v>9843019.9803599995</v>
      </c>
    </row>
    <row r="16" spans="1:12">
      <c r="A16" s="417" t="s">
        <v>51</v>
      </c>
      <c r="B16" s="89"/>
      <c r="J16" s="89"/>
    </row>
    <row r="17" spans="1:12">
      <c r="A17" s="409">
        <v>5</v>
      </c>
      <c r="B17" s="194" t="s">
        <v>694</v>
      </c>
      <c r="F17" s="586">
        <v>5902570</v>
      </c>
      <c r="H17" s="417" t="s">
        <v>158</v>
      </c>
      <c r="J17" s="585">
        <v>1</v>
      </c>
      <c r="L17" s="587">
        <f>F17*J17</f>
        <v>5902570</v>
      </c>
    </row>
    <row r="18" spans="1:12">
      <c r="B18" s="89"/>
      <c r="F18" s="410"/>
      <c r="L18" s="410"/>
    </row>
    <row r="19" spans="1:12" ht="13.5" thickBot="1">
      <c r="A19" s="409">
        <v>6</v>
      </c>
      <c r="B19" s="194" t="s">
        <v>234</v>
      </c>
      <c r="D19" s="288" t="s">
        <v>235</v>
      </c>
      <c r="F19" s="588">
        <f>F15-F17</f>
        <v>3940449.9803599995</v>
      </c>
      <c r="L19" s="588">
        <f>L15-L17</f>
        <v>3940449.9803599995</v>
      </c>
    </row>
    <row r="20" spans="1:12" ht="13.5" thickTop="1">
      <c r="B20" s="89"/>
      <c r="F20" s="572"/>
      <c r="L20" s="572"/>
    </row>
    <row r="21" spans="1:12">
      <c r="B21" s="89"/>
    </row>
    <row r="22" spans="1:12">
      <c r="B22" s="315" t="s">
        <v>483</v>
      </c>
      <c r="F22" s="589">
        <f>F9-F11</f>
        <v>36255526</v>
      </c>
    </row>
    <row r="24" spans="1:12">
      <c r="A24" s="417" t="s">
        <v>33</v>
      </c>
      <c r="B24" s="315" t="s">
        <v>590</v>
      </c>
    </row>
    <row r="33" s="389" customFormat="1"/>
    <row r="34" s="389" customFormat="1"/>
    <row r="35" s="389" customFormat="1"/>
    <row r="36" s="389" customFormat="1"/>
    <row r="37" s="389" customFormat="1"/>
    <row r="38" s="389" customFormat="1"/>
    <row r="39" s="389" customFormat="1"/>
  </sheetData>
  <mergeCells count="5">
    <mergeCell ref="A1:L1"/>
    <mergeCell ref="A2:L2"/>
    <mergeCell ref="A3:L3"/>
    <mergeCell ref="A4:L4"/>
    <mergeCell ref="A5:L5"/>
  </mergeCells>
  <pageMargins left="0.75" right="0.75" top="1" bottom="1" header="0.5" footer="0.5"/>
  <pageSetup scale="7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DD14-AF5E-45EF-A2D2-E8C6203CFD1B}">
  <sheetPr>
    <pageSetUpPr fitToPage="1"/>
  </sheetPr>
  <dimension ref="A1:E19"/>
  <sheetViews>
    <sheetView zoomScale="120" zoomScaleNormal="120" workbookViewId="0">
      <selection activeCell="B7" sqref="B7"/>
    </sheetView>
  </sheetViews>
  <sheetFormatPr defaultColWidth="9.1796875" defaultRowHeight="13"/>
  <cols>
    <col min="1" max="1" width="4.26953125" style="590" bestFit="1" customWidth="1"/>
    <col min="2" max="2" width="44.26953125" style="590" bestFit="1" customWidth="1"/>
    <col min="3" max="3" width="4.1796875" style="590" bestFit="1" customWidth="1"/>
    <col min="4" max="4" width="10.453125" style="590" bestFit="1" customWidth="1"/>
    <col min="5" max="16384" width="9.1796875" style="590"/>
  </cols>
  <sheetData>
    <row r="1" spans="1:5">
      <c r="A1" s="595" t="s">
        <v>0</v>
      </c>
      <c r="B1" s="596"/>
      <c r="C1" s="595"/>
      <c r="D1" s="595"/>
    </row>
    <row r="2" spans="1:5">
      <c r="A2" s="595" t="s">
        <v>343</v>
      </c>
      <c r="B2" s="596"/>
      <c r="C2" s="595"/>
      <c r="D2" s="595"/>
    </row>
    <row r="3" spans="1:5">
      <c r="A3" s="595" t="s">
        <v>616</v>
      </c>
      <c r="B3" s="596"/>
      <c r="C3" s="595"/>
      <c r="D3" s="595"/>
    </row>
    <row r="4" spans="1:5">
      <c r="A4" s="595"/>
      <c r="B4" s="595" t="s">
        <v>236</v>
      </c>
      <c r="C4" s="595"/>
      <c r="D4" s="595"/>
    </row>
    <row r="7" spans="1:5" ht="39">
      <c r="A7" s="597" t="s">
        <v>479</v>
      </c>
      <c r="B7" s="597" t="s">
        <v>117</v>
      </c>
      <c r="C7" s="598"/>
      <c r="D7" s="599" t="s">
        <v>480</v>
      </c>
    </row>
    <row r="8" spans="1:5">
      <c r="A8" s="600" t="s">
        <v>99</v>
      </c>
      <c r="B8" s="600" t="s">
        <v>100</v>
      </c>
      <c r="C8" s="601" t="s">
        <v>923</v>
      </c>
      <c r="D8" s="602" t="s">
        <v>102</v>
      </c>
    </row>
    <row r="9" spans="1:5">
      <c r="A9" s="600"/>
      <c r="B9" s="600"/>
      <c r="C9" s="601"/>
      <c r="D9" s="602"/>
    </row>
    <row r="10" spans="1:5" ht="39">
      <c r="A10" s="603">
        <v>1</v>
      </c>
      <c r="B10" s="604" t="s">
        <v>617</v>
      </c>
      <c r="C10" s="605"/>
      <c r="D10" s="605">
        <v>15412942.52</v>
      </c>
    </row>
    <row r="11" spans="1:5">
      <c r="A11" s="362"/>
      <c r="B11" s="362"/>
      <c r="C11" s="605"/>
      <c r="D11" s="605"/>
    </row>
    <row r="12" spans="1:5" ht="39">
      <c r="A12" s="603">
        <v>2</v>
      </c>
      <c r="B12" s="606" t="s">
        <v>618</v>
      </c>
      <c r="C12" s="605"/>
      <c r="D12" s="607">
        <v>11150129.163333334</v>
      </c>
    </row>
    <row r="13" spans="1:5">
      <c r="A13" s="362"/>
      <c r="B13" s="362"/>
      <c r="C13" s="605"/>
      <c r="D13" s="608"/>
    </row>
    <row r="14" spans="1:5">
      <c r="A14" s="603">
        <v>3</v>
      </c>
      <c r="B14" s="362" t="s">
        <v>481</v>
      </c>
      <c r="C14" s="605"/>
      <c r="D14" s="605">
        <f>D10-D12</f>
        <v>4262813.3566666655</v>
      </c>
      <c r="E14" s="591"/>
    </row>
    <row r="15" spans="1:5">
      <c r="D15" s="592"/>
    </row>
    <row r="16" spans="1:5" ht="13.5" thickBot="1">
      <c r="A16" s="593">
        <v>4</v>
      </c>
      <c r="B16" s="590" t="s">
        <v>482</v>
      </c>
      <c r="C16" s="609">
        <v>1</v>
      </c>
      <c r="D16" s="594">
        <f>D14*C16</f>
        <v>4262813.3566666655</v>
      </c>
    </row>
    <row r="17" spans="2:2" ht="13.5" thickTop="1"/>
    <row r="19" spans="2:2">
      <c r="B19" s="590" t="s">
        <v>726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49DA-7FB3-4A15-A6DF-23082BAD4CBF}">
  <sheetPr>
    <pageSetUpPr fitToPage="1"/>
  </sheetPr>
  <dimension ref="A1:F23"/>
  <sheetViews>
    <sheetView zoomScaleNormal="100" workbookViewId="0">
      <selection sqref="A1:F23"/>
    </sheetView>
  </sheetViews>
  <sheetFormatPr defaultColWidth="8.7265625" defaultRowHeight="13"/>
  <cols>
    <col min="1" max="1" width="1.81640625" style="172" bestFit="1" customWidth="1"/>
    <col min="2" max="2" width="53.54296875" style="172" bestFit="1" customWidth="1"/>
    <col min="3" max="3" width="6" style="172" customWidth="1"/>
    <col min="4" max="4" width="10.1796875" style="172" bestFit="1" customWidth="1"/>
    <col min="5" max="5" width="3.26953125" style="172" customWidth="1"/>
    <col min="6" max="6" width="6" style="172" bestFit="1" customWidth="1"/>
    <col min="7" max="16384" width="8.7265625" style="172"/>
  </cols>
  <sheetData>
    <row r="1" spans="1:6">
      <c r="B1" s="870" t="s">
        <v>329</v>
      </c>
      <c r="C1" s="870"/>
      <c r="D1" s="870"/>
      <c r="E1" s="870"/>
      <c r="F1" s="870"/>
    </row>
    <row r="2" spans="1:6">
      <c r="B2" s="870" t="s">
        <v>338</v>
      </c>
      <c r="C2" s="870"/>
      <c r="D2" s="870"/>
      <c r="E2" s="870"/>
    </row>
    <row r="3" spans="1:6">
      <c r="B3" s="870" t="s">
        <v>619</v>
      </c>
      <c r="C3" s="870"/>
      <c r="D3" s="870"/>
      <c r="E3" s="870"/>
    </row>
    <row r="4" spans="1:6">
      <c r="B4" s="870" t="s">
        <v>583</v>
      </c>
      <c r="C4" s="870"/>
      <c r="D4" s="870"/>
      <c r="E4" s="870"/>
    </row>
    <row r="6" spans="1:6">
      <c r="D6" s="610"/>
    </row>
    <row r="7" spans="1:6">
      <c r="D7" s="610"/>
    </row>
    <row r="8" spans="1:6">
      <c r="D8" s="610"/>
    </row>
    <row r="9" spans="1:6">
      <c r="B9" s="226" t="s">
        <v>331</v>
      </c>
      <c r="D9" s="610" t="s">
        <v>212</v>
      </c>
    </row>
    <row r="10" spans="1:6">
      <c r="B10" s="172" t="s">
        <v>339</v>
      </c>
      <c r="D10" s="610" t="s">
        <v>333</v>
      </c>
    </row>
    <row r="12" spans="1:6">
      <c r="A12" s="178">
        <v>1</v>
      </c>
      <c r="B12" s="172" t="s">
        <v>340</v>
      </c>
      <c r="D12" s="9">
        <v>55851.049000000028</v>
      </c>
    </row>
    <row r="13" spans="1:6">
      <c r="A13" s="178"/>
      <c r="D13" s="611"/>
    </row>
    <row r="14" spans="1:6">
      <c r="A14" s="178">
        <v>2</v>
      </c>
      <c r="B14" s="172" t="s">
        <v>341</v>
      </c>
      <c r="D14" s="612">
        <v>55851.049000000028</v>
      </c>
    </row>
    <row r="15" spans="1:6">
      <c r="A15" s="178"/>
      <c r="D15" s="611"/>
    </row>
    <row r="16" spans="1:6">
      <c r="A16" s="178">
        <v>3</v>
      </c>
      <c r="B16" s="172" t="s">
        <v>336</v>
      </c>
      <c r="D16" s="613">
        <f>D14-D12</f>
        <v>0</v>
      </c>
    </row>
    <row r="17" spans="1:4">
      <c r="A17" s="178"/>
      <c r="D17" s="611"/>
    </row>
    <row r="18" spans="1:4">
      <c r="A18" s="178">
        <v>4</v>
      </c>
      <c r="B18" s="172" t="s">
        <v>342</v>
      </c>
      <c r="D18" s="614">
        <v>0.98599999999999999</v>
      </c>
    </row>
    <row r="19" spans="1:4">
      <c r="A19" s="178"/>
      <c r="D19" s="611"/>
    </row>
    <row r="20" spans="1:4" ht="13.5" thickBot="1">
      <c r="A20" s="178">
        <v>5</v>
      </c>
      <c r="B20" s="226" t="str">
        <f>B2</f>
        <v>SALES AND USE TAX ADJUSTMENT</v>
      </c>
      <c r="D20" s="615">
        <f>ROUND(D16*D18,0)</f>
        <v>0</v>
      </c>
    </row>
    <row r="21" spans="1:4" ht="13.5" thickTop="1"/>
    <row r="23" spans="1:4">
      <c r="B23" s="172" t="s">
        <v>726</v>
      </c>
    </row>
  </sheetData>
  <mergeCells count="4">
    <mergeCell ref="B4:E4"/>
    <mergeCell ref="B1:F1"/>
    <mergeCell ref="B2:E2"/>
    <mergeCell ref="B3:E3"/>
  </mergeCells>
  <pageMargins left="0.75" right="0.5" top="0.5" bottom="0.5" header="0.5" footer="0.5"/>
  <pageSetup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78EC-7044-4869-BF3C-C11BF079B6EA}">
  <sheetPr>
    <pageSetUpPr fitToPage="1"/>
  </sheetPr>
  <dimension ref="A1:E22"/>
  <sheetViews>
    <sheetView zoomScale="120" zoomScaleNormal="120" workbookViewId="0">
      <selection sqref="A1:E22"/>
    </sheetView>
  </sheetViews>
  <sheetFormatPr defaultColWidth="8.7265625" defaultRowHeight="13"/>
  <cols>
    <col min="1" max="1" width="1.81640625" style="172" bestFit="1" customWidth="1"/>
    <col min="2" max="2" width="60.7265625" style="172" bestFit="1" customWidth="1"/>
    <col min="3" max="3" width="6" style="172" customWidth="1"/>
    <col min="4" max="4" width="10.54296875" style="172" bestFit="1" customWidth="1"/>
    <col min="5" max="5" width="3.26953125" style="172" customWidth="1"/>
    <col min="6" max="6" width="6" style="172" bestFit="1" customWidth="1"/>
    <col min="7" max="16384" width="8.7265625" style="172"/>
  </cols>
  <sheetData>
    <row r="1" spans="1:5">
      <c r="B1" s="870" t="s">
        <v>329</v>
      </c>
      <c r="C1" s="870"/>
      <c r="D1" s="870"/>
      <c r="E1" s="870"/>
    </row>
    <row r="2" spans="1:5">
      <c r="B2" s="870" t="s">
        <v>330</v>
      </c>
      <c r="C2" s="870"/>
      <c r="D2" s="870"/>
      <c r="E2" s="870"/>
    </row>
    <row r="3" spans="1:5">
      <c r="B3" s="870" t="s">
        <v>450</v>
      </c>
      <c r="C3" s="870"/>
      <c r="D3" s="870"/>
      <c r="E3" s="870"/>
    </row>
    <row r="4" spans="1:5">
      <c r="B4" s="870" t="s">
        <v>924</v>
      </c>
      <c r="C4" s="870"/>
      <c r="D4" s="870"/>
      <c r="E4" s="870"/>
    </row>
    <row r="6" spans="1:5">
      <c r="D6" s="610"/>
    </row>
    <row r="7" spans="1:5">
      <c r="B7" s="226" t="s">
        <v>331</v>
      </c>
      <c r="D7" s="610"/>
    </row>
    <row r="8" spans="1:5">
      <c r="B8" s="172" t="s">
        <v>332</v>
      </c>
      <c r="D8" s="610" t="s">
        <v>212</v>
      </c>
    </row>
    <row r="9" spans="1:5">
      <c r="D9" s="610" t="s">
        <v>333</v>
      </c>
    </row>
    <row r="11" spans="1:5">
      <c r="A11" s="178">
        <v>1</v>
      </c>
      <c r="B11" s="172" t="s">
        <v>334</v>
      </c>
      <c r="D11" s="9">
        <v>5475377.7300000004</v>
      </c>
    </row>
    <row r="12" spans="1:5">
      <c r="A12" s="178"/>
      <c r="D12" s="611"/>
    </row>
    <row r="13" spans="1:5">
      <c r="A13" s="178">
        <v>2</v>
      </c>
      <c r="B13" s="172" t="s">
        <v>335</v>
      </c>
      <c r="D13" s="612">
        <v>6684032.7000000002</v>
      </c>
    </row>
    <row r="14" spans="1:5">
      <c r="A14" s="178"/>
      <c r="D14" s="611"/>
    </row>
    <row r="15" spans="1:5">
      <c r="A15" s="178">
        <v>3</v>
      </c>
      <c r="B15" s="172" t="s">
        <v>336</v>
      </c>
      <c r="D15" s="613">
        <f>D13-D11</f>
        <v>1208654.9699999997</v>
      </c>
    </row>
    <row r="16" spans="1:5">
      <c r="A16" s="178"/>
      <c r="D16" s="611"/>
    </row>
    <row r="17" spans="1:4">
      <c r="A17" s="178">
        <v>4</v>
      </c>
      <c r="B17" s="172" t="s">
        <v>337</v>
      </c>
      <c r="D17" s="617">
        <v>0.98499999999999999</v>
      </c>
    </row>
    <row r="18" spans="1:4">
      <c r="A18" s="178"/>
      <c r="D18" s="611"/>
    </row>
    <row r="19" spans="1:4" ht="13.5" thickBot="1">
      <c r="A19" s="178">
        <v>5</v>
      </c>
      <c r="B19" s="226" t="str">
        <f>B2</f>
        <v>STATE BUSINESS &amp; OCCUPATION TAX ADJUSTMENT</v>
      </c>
      <c r="D19" s="616">
        <f>ROUND(D15*D17,0)</f>
        <v>1190525</v>
      </c>
    </row>
    <row r="20" spans="1:4" ht="13.5" thickTop="1"/>
    <row r="22" spans="1:4">
      <c r="B22" s="172" t="s">
        <v>726</v>
      </c>
    </row>
  </sheetData>
  <mergeCells count="4">
    <mergeCell ref="B4:E4"/>
    <mergeCell ref="B1:E1"/>
    <mergeCell ref="B2:E2"/>
    <mergeCell ref="B3:E3"/>
  </mergeCells>
  <pageMargins left="0.75" right="0.5" top="0.5" bottom="0.5" header="0.5" footer="0.5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D28A-3234-4705-9ED5-FEB2E76532C3}">
  <sheetPr>
    <pageSetUpPr fitToPage="1"/>
  </sheetPr>
  <dimension ref="A1:M53"/>
  <sheetViews>
    <sheetView showRuler="0" zoomScale="120" zoomScaleNormal="120" workbookViewId="0">
      <selection activeCell="B20" sqref="B20"/>
    </sheetView>
  </sheetViews>
  <sheetFormatPr defaultColWidth="13.7265625" defaultRowHeight="13"/>
  <cols>
    <col min="1" max="1" width="7.81640625" style="172" bestFit="1" customWidth="1"/>
    <col min="2" max="2" width="52.1796875" style="172" bestFit="1" customWidth="1"/>
    <col min="3" max="3" width="1.26953125" style="172" customWidth="1"/>
    <col min="4" max="4" width="12.453125" style="172" bestFit="1" customWidth="1"/>
    <col min="5" max="5" width="1.26953125" style="172" customWidth="1"/>
    <col min="6" max="6" width="10.81640625" style="172" bestFit="1" customWidth="1"/>
    <col min="7" max="7" width="1.26953125" style="172" customWidth="1"/>
    <col min="8" max="8" width="14.453125" style="172" bestFit="1" customWidth="1"/>
    <col min="9" max="9" width="1.26953125" style="172" customWidth="1"/>
    <col min="10" max="10" width="5.81640625" style="172" bestFit="1" customWidth="1"/>
    <col min="11" max="11" width="1.26953125" style="172" customWidth="1"/>
    <col min="12" max="12" width="16.1796875" style="172" bestFit="1" customWidth="1"/>
    <col min="13" max="16384" width="13.7265625" style="172"/>
  </cols>
  <sheetData>
    <row r="1" spans="1:13">
      <c r="B1" s="844" t="s">
        <v>0</v>
      </c>
      <c r="C1" s="844"/>
      <c r="D1" s="844"/>
      <c r="E1" s="844"/>
      <c r="F1" s="844"/>
      <c r="G1" s="844"/>
      <c r="H1" s="844"/>
      <c r="I1" s="844"/>
      <c r="J1" s="844"/>
    </row>
    <row r="2" spans="1:13">
      <c r="B2" s="898" t="s">
        <v>731</v>
      </c>
      <c r="C2" s="898"/>
      <c r="D2" s="898"/>
      <c r="E2" s="898"/>
      <c r="F2" s="898"/>
      <c r="G2" s="898"/>
      <c r="H2" s="898"/>
      <c r="I2" s="898"/>
      <c r="J2" s="898"/>
    </row>
    <row r="3" spans="1:13">
      <c r="B3" s="844" t="s">
        <v>591</v>
      </c>
      <c r="C3" s="844"/>
      <c r="D3" s="844"/>
      <c r="E3" s="844"/>
      <c r="F3" s="844"/>
      <c r="G3" s="844"/>
      <c r="H3" s="844"/>
      <c r="I3" s="844"/>
      <c r="J3" s="844"/>
    </row>
    <row r="4" spans="1:13">
      <c r="A4" s="270"/>
      <c r="B4" s="844" t="s">
        <v>500</v>
      </c>
      <c r="C4" s="845"/>
      <c r="D4" s="845"/>
      <c r="E4" s="845"/>
      <c r="F4" s="845"/>
      <c r="G4" s="845"/>
      <c r="H4" s="845"/>
      <c r="I4" s="845"/>
      <c r="J4" s="845"/>
    </row>
    <row r="7" spans="1:13" ht="39">
      <c r="A7" s="423" t="s">
        <v>10</v>
      </c>
      <c r="B7" s="423" t="s">
        <v>11</v>
      </c>
      <c r="C7" s="618"/>
      <c r="D7" s="423" t="s">
        <v>12</v>
      </c>
      <c r="E7" s="618"/>
      <c r="F7" s="423" t="s">
        <v>13</v>
      </c>
      <c r="G7" s="618"/>
      <c r="H7" s="423" t="s">
        <v>14</v>
      </c>
      <c r="I7" s="618"/>
      <c r="J7" s="423" t="s">
        <v>15</v>
      </c>
      <c r="K7" s="618"/>
      <c r="L7" s="619" t="s">
        <v>16</v>
      </c>
      <c r="M7" s="424"/>
    </row>
    <row r="8" spans="1:13">
      <c r="A8" s="620">
        <v>1</v>
      </c>
      <c r="B8" s="426" t="s">
        <v>733</v>
      </c>
      <c r="D8" s="620">
        <v>501</v>
      </c>
      <c r="F8" s="264">
        <v>9341867.5099999998</v>
      </c>
      <c r="H8" s="425"/>
      <c r="L8" s="621"/>
    </row>
    <row r="9" spans="1:13">
      <c r="A9" s="188">
        <v>2</v>
      </c>
      <c r="B9" s="270" t="s">
        <v>734</v>
      </c>
      <c r="D9" s="188">
        <v>501</v>
      </c>
      <c r="F9" s="264">
        <v>10554065.16</v>
      </c>
      <c r="L9" s="622"/>
    </row>
    <row r="10" spans="1:13">
      <c r="A10" s="188">
        <v>3</v>
      </c>
      <c r="B10" s="195" t="s">
        <v>139</v>
      </c>
      <c r="D10" s="188">
        <v>501</v>
      </c>
      <c r="F10" s="623">
        <f>F8-F9</f>
        <v>-1212197.6500000004</v>
      </c>
      <c r="G10" s="191"/>
      <c r="H10" s="173"/>
      <c r="I10" s="191"/>
      <c r="L10" s="621"/>
    </row>
    <row r="11" spans="1:13">
      <c r="A11" s="173"/>
    </row>
    <row r="12" spans="1:13" ht="13.5" thickBot="1">
      <c r="A12" s="188">
        <v>4</v>
      </c>
      <c r="B12" s="624" t="s">
        <v>762</v>
      </c>
      <c r="D12" s="188">
        <v>501</v>
      </c>
      <c r="F12" s="623">
        <v>1212197.6499999999</v>
      </c>
      <c r="H12" s="172" t="s">
        <v>237</v>
      </c>
      <c r="J12" s="625">
        <v>1</v>
      </c>
      <c r="L12" s="495">
        <f>+F12*J12</f>
        <v>1212197.6499999999</v>
      </c>
    </row>
    <row r="13" spans="1:13" ht="13.5" thickTop="1">
      <c r="L13" s="272"/>
    </row>
    <row r="15" spans="1:13">
      <c r="A15" s="191" t="s">
        <v>33</v>
      </c>
      <c r="B15" s="191" t="s">
        <v>732</v>
      </c>
      <c r="M15" s="623"/>
    </row>
    <row r="27" spans="2:2">
      <c r="B27" s="270"/>
    </row>
    <row r="33" s="172" customFormat="1"/>
    <row r="34" s="172" customFormat="1"/>
    <row r="35" s="172" customFormat="1"/>
    <row r="36" s="172" customFormat="1"/>
    <row r="37" s="172" customFormat="1"/>
    <row r="38" s="172" customFormat="1"/>
    <row r="39" s="172" customFormat="1"/>
    <row r="40" s="172" customFormat="1"/>
    <row r="41" s="172" customFormat="1"/>
    <row r="42" s="172" customFormat="1"/>
    <row r="43" s="172" customFormat="1"/>
    <row r="44" s="172" customFormat="1"/>
    <row r="45" s="172" customFormat="1"/>
    <row r="46" s="172" customFormat="1"/>
    <row r="47" s="172" customFormat="1"/>
    <row r="48" s="172" customFormat="1"/>
    <row r="49" s="172" customFormat="1"/>
    <row r="50" s="172" customFormat="1"/>
    <row r="51" s="172" customFormat="1"/>
    <row r="52" s="172" customFormat="1"/>
    <row r="53" s="172" customFormat="1"/>
  </sheetData>
  <mergeCells count="4">
    <mergeCell ref="B1:J1"/>
    <mergeCell ref="B2:J2"/>
    <mergeCell ref="B3:J3"/>
    <mergeCell ref="B4:J4"/>
  </mergeCells>
  <pageMargins left="0.75" right="0.75" top="1" bottom="1" header="0.5" footer="0.5"/>
  <pageSetup scale="6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96EC-08EF-4B8C-844D-BD376B091241}">
  <sheetPr>
    <pageSetUpPr fitToPage="1"/>
  </sheetPr>
  <dimension ref="A1:M13"/>
  <sheetViews>
    <sheetView workbookViewId="0">
      <selection activeCell="C20" sqref="C20"/>
    </sheetView>
  </sheetViews>
  <sheetFormatPr defaultColWidth="8.1796875" defaultRowHeight="13"/>
  <cols>
    <col min="1" max="1" width="7.81640625" style="89" bestFit="1" customWidth="1"/>
    <col min="2" max="2" width="45.1796875" style="89" bestFit="1" customWidth="1"/>
    <col min="3" max="3" width="8.1796875" style="89"/>
    <col min="4" max="4" width="7.7265625" style="89" bestFit="1" customWidth="1"/>
    <col min="5" max="5" width="8.1796875" style="89"/>
    <col min="6" max="6" width="11" style="89" bestFit="1" customWidth="1"/>
    <col min="7" max="7" width="8.1796875" style="89"/>
    <col min="8" max="8" width="8" style="89" bestFit="1" customWidth="1"/>
    <col min="9" max="9" width="8.1796875" style="89"/>
    <col min="10" max="10" width="5.81640625" style="89" bestFit="1" customWidth="1"/>
    <col min="11" max="11" width="8.1796875" style="89"/>
    <col min="12" max="12" width="11" style="89" bestFit="1" customWidth="1"/>
    <col min="13" max="16384" width="8.1796875" style="89"/>
  </cols>
  <sheetData>
    <row r="1" spans="1:13">
      <c r="B1" s="843" t="s">
        <v>0</v>
      </c>
      <c r="C1" s="876"/>
      <c r="D1" s="876"/>
      <c r="E1" s="876"/>
      <c r="F1" s="876"/>
      <c r="G1" s="876"/>
      <c r="H1" s="876"/>
      <c r="I1" s="876"/>
      <c r="J1" s="876"/>
    </row>
    <row r="2" spans="1:13">
      <c r="B2" s="899" t="s">
        <v>629</v>
      </c>
      <c r="C2" s="899"/>
      <c r="D2" s="899"/>
      <c r="E2" s="899"/>
      <c r="F2" s="899"/>
      <c r="G2" s="899"/>
      <c r="H2" s="899"/>
      <c r="I2" s="899"/>
      <c r="J2" s="899"/>
    </row>
    <row r="3" spans="1:13">
      <c r="B3" s="843" t="s">
        <v>591</v>
      </c>
      <c r="C3" s="876"/>
      <c r="D3" s="876"/>
      <c r="E3" s="876"/>
      <c r="F3" s="876"/>
      <c r="G3" s="876"/>
      <c r="H3" s="876"/>
      <c r="I3" s="876"/>
      <c r="J3" s="876"/>
    </row>
    <row r="4" spans="1:13">
      <c r="B4" s="843" t="s">
        <v>501</v>
      </c>
      <c r="C4" s="876"/>
      <c r="D4" s="876"/>
      <c r="E4" s="876"/>
      <c r="F4" s="876"/>
      <c r="G4" s="876"/>
      <c r="H4" s="876"/>
      <c r="I4" s="876"/>
      <c r="J4" s="876"/>
    </row>
    <row r="7" spans="1:13" ht="52">
      <c r="A7" s="626" t="s">
        <v>10</v>
      </c>
      <c r="B7" s="626" t="s">
        <v>11</v>
      </c>
      <c r="C7" s="466"/>
      <c r="D7" s="626" t="s">
        <v>12</v>
      </c>
      <c r="E7" s="466"/>
      <c r="F7" s="626" t="s">
        <v>13</v>
      </c>
      <c r="G7" s="466"/>
      <c r="H7" s="626" t="s">
        <v>14</v>
      </c>
      <c r="I7" s="466"/>
      <c r="J7" s="626" t="s">
        <v>15</v>
      </c>
      <c r="K7" s="466"/>
      <c r="L7" s="626" t="s">
        <v>16</v>
      </c>
      <c r="M7" s="468"/>
    </row>
    <row r="8" spans="1:13" ht="26">
      <c r="A8" s="627">
        <v>1</v>
      </c>
      <c r="B8" s="437" t="s">
        <v>652</v>
      </c>
      <c r="D8" s="627">
        <v>926</v>
      </c>
      <c r="F8" s="493">
        <v>-1689276</v>
      </c>
      <c r="H8" s="470" t="s">
        <v>237</v>
      </c>
      <c r="J8" s="630">
        <v>1</v>
      </c>
      <c r="L8" s="481">
        <f>F8*J8</f>
        <v>-1689276</v>
      </c>
    </row>
    <row r="10" spans="1:13" ht="13.5" thickBot="1">
      <c r="A10" s="427">
        <v>2</v>
      </c>
      <c r="B10" s="288" t="s">
        <v>653</v>
      </c>
      <c r="F10" s="628">
        <f>+F8</f>
        <v>-1689276</v>
      </c>
      <c r="L10" s="628">
        <f>+L8</f>
        <v>-1689276</v>
      </c>
    </row>
    <row r="11" spans="1:13" ht="13.5" thickTop="1">
      <c r="F11" s="629"/>
      <c r="L11" s="629"/>
    </row>
    <row r="13" spans="1:13">
      <c r="A13" s="315" t="s">
        <v>33</v>
      </c>
      <c r="B13" s="315" t="s">
        <v>590</v>
      </c>
    </row>
  </sheetData>
  <mergeCells count="4">
    <mergeCell ref="B1:J1"/>
    <mergeCell ref="B2:J2"/>
    <mergeCell ref="B3:J3"/>
    <mergeCell ref="B4:J4"/>
  </mergeCells>
  <pageMargins left="0.7" right="0.7" top="0.75" bottom="0.75" header="0.3" footer="0.3"/>
  <pageSetup scale="6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4D20-A398-4BB3-918C-29F834918F1A}">
  <sheetPr>
    <pageSetUpPr fitToPage="1"/>
  </sheetPr>
  <dimension ref="A1:M13"/>
  <sheetViews>
    <sheetView workbookViewId="0">
      <selection activeCell="B16" sqref="B16"/>
    </sheetView>
  </sheetViews>
  <sheetFormatPr defaultColWidth="13.7265625" defaultRowHeight="13"/>
  <cols>
    <col min="1" max="1" width="7.81640625" style="89" bestFit="1" customWidth="1"/>
    <col min="2" max="2" width="61.54296875" style="89" bestFit="1" customWidth="1"/>
    <col min="3" max="3" width="1.81640625" style="89" customWidth="1"/>
    <col min="4" max="4" width="12.453125" style="89" bestFit="1" customWidth="1"/>
    <col min="5" max="5" width="1.81640625" style="89" customWidth="1"/>
    <col min="6" max="6" width="9.1796875" style="89" bestFit="1" customWidth="1"/>
    <col min="7" max="7" width="1.81640625" style="89" customWidth="1"/>
    <col min="8" max="8" width="9" style="89" bestFit="1" customWidth="1"/>
    <col min="9" max="9" width="1.81640625" style="89" customWidth="1"/>
    <col min="10" max="10" width="5.81640625" style="89" bestFit="1" customWidth="1"/>
    <col min="11" max="11" width="1.81640625" style="89" customWidth="1"/>
    <col min="12" max="12" width="11.1796875" style="89" bestFit="1" customWidth="1"/>
    <col min="13" max="16384" width="13.7265625" style="89"/>
  </cols>
  <sheetData>
    <row r="1" spans="1:13">
      <c r="A1" s="843" t="s">
        <v>0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</row>
    <row r="2" spans="1:13">
      <c r="A2" s="899" t="s">
        <v>655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</row>
    <row r="3" spans="1:13">
      <c r="A3" s="843" t="s">
        <v>591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</row>
    <row r="4" spans="1:13">
      <c r="A4" s="843" t="s">
        <v>906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</row>
    <row r="7" spans="1:13" ht="52">
      <c r="A7" s="626" t="s">
        <v>10</v>
      </c>
      <c r="B7" s="626" t="s">
        <v>11</v>
      </c>
      <c r="C7" s="466"/>
      <c r="D7" s="626" t="s">
        <v>12</v>
      </c>
      <c r="E7" s="466"/>
      <c r="F7" s="626" t="s">
        <v>13</v>
      </c>
      <c r="G7" s="466"/>
      <c r="H7" s="626" t="s">
        <v>14</v>
      </c>
      <c r="I7" s="466"/>
      <c r="J7" s="626" t="s">
        <v>15</v>
      </c>
      <c r="K7" s="466"/>
      <c r="L7" s="626" t="s">
        <v>16</v>
      </c>
      <c r="M7" s="468"/>
    </row>
    <row r="8" spans="1:13">
      <c r="A8" s="627">
        <v>1</v>
      </c>
      <c r="B8" s="631" t="s">
        <v>656</v>
      </c>
      <c r="D8" s="632">
        <v>926</v>
      </c>
      <c r="F8" s="633">
        <v>1689276</v>
      </c>
      <c r="H8" s="634" t="s">
        <v>237</v>
      </c>
      <c r="J8" s="630">
        <v>1</v>
      </c>
      <c r="L8" s="633">
        <f>F8*J8</f>
        <v>1689276</v>
      </c>
    </row>
    <row r="9" spans="1:13">
      <c r="A9" s="427">
        <v>2</v>
      </c>
      <c r="B9" s="288" t="s">
        <v>460</v>
      </c>
      <c r="L9" s="635" t="s">
        <v>657</v>
      </c>
    </row>
    <row r="10" spans="1:13" ht="13.5" thickBot="1">
      <c r="A10" s="427">
        <v>3</v>
      </c>
      <c r="B10" s="458" t="s">
        <v>658</v>
      </c>
      <c r="L10" s="636">
        <f>L8/12</f>
        <v>140773</v>
      </c>
    </row>
    <row r="11" spans="1:13" ht="13.5" thickTop="1">
      <c r="L11" s="629"/>
    </row>
    <row r="13" spans="1:13">
      <c r="A13" s="315" t="s">
        <v>33</v>
      </c>
      <c r="B13" s="315" t="s">
        <v>590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329F-E075-429C-81C4-210CF740F326}">
  <dimension ref="A1:J15"/>
  <sheetViews>
    <sheetView zoomScaleNormal="100" workbookViewId="0">
      <selection activeCell="B5" sqref="B5:H5"/>
    </sheetView>
  </sheetViews>
  <sheetFormatPr defaultColWidth="8.7265625" defaultRowHeight="13"/>
  <cols>
    <col min="1" max="2" width="8.7265625" style="145"/>
    <col min="3" max="3" width="30.54296875" style="145" bestFit="1" customWidth="1"/>
    <col min="4" max="4" width="8.7265625" style="145"/>
    <col min="5" max="5" width="14.54296875" style="145" bestFit="1" customWidth="1"/>
    <col min="6" max="6" width="8.7265625" style="145"/>
    <col min="7" max="7" width="13.26953125" style="145" customWidth="1"/>
    <col min="8" max="8" width="13" style="145" customWidth="1"/>
    <col min="9" max="9" width="18.7265625" style="145" customWidth="1"/>
    <col min="10" max="10" width="8.7265625" style="145"/>
    <col min="11" max="11" width="14" style="145" customWidth="1"/>
    <col min="12" max="16384" width="8.7265625" style="145"/>
  </cols>
  <sheetData>
    <row r="1" spans="1:10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>
      <c r="A2" s="133"/>
      <c r="B2" s="839" t="s">
        <v>0</v>
      </c>
      <c r="C2" s="839"/>
      <c r="D2" s="839"/>
      <c r="E2" s="839"/>
      <c r="F2" s="839"/>
      <c r="G2" s="839"/>
      <c r="H2" s="839"/>
      <c r="I2" s="133"/>
      <c r="J2" s="133"/>
    </row>
    <row r="3" spans="1:10">
      <c r="A3" s="133"/>
      <c r="B3" s="840" t="s">
        <v>344</v>
      </c>
      <c r="C3" s="840"/>
      <c r="D3" s="840"/>
      <c r="E3" s="840"/>
      <c r="F3" s="840"/>
      <c r="G3" s="840"/>
      <c r="H3" s="840"/>
      <c r="I3" s="133"/>
      <c r="J3" s="133"/>
    </row>
    <row r="4" spans="1:10">
      <c r="A4" s="133"/>
      <c r="B4" s="839" t="s">
        <v>588</v>
      </c>
      <c r="C4" s="839"/>
      <c r="D4" s="839"/>
      <c r="E4" s="839"/>
      <c r="F4" s="839"/>
      <c r="G4" s="839"/>
      <c r="H4" s="839"/>
      <c r="I4" s="133"/>
      <c r="J4" s="133"/>
    </row>
    <row r="5" spans="1:10">
      <c r="B5" s="839" t="s">
        <v>495</v>
      </c>
      <c r="C5" s="839"/>
      <c r="D5" s="839"/>
      <c r="E5" s="839"/>
      <c r="F5" s="839"/>
      <c r="G5" s="839"/>
      <c r="H5" s="839"/>
    </row>
    <row r="6" spans="1:10">
      <c r="I6" s="146"/>
    </row>
    <row r="7" spans="1:10" ht="52">
      <c r="A7" s="134" t="s">
        <v>1</v>
      </c>
      <c r="B7" s="841" t="s">
        <v>2</v>
      </c>
      <c r="C7" s="841"/>
      <c r="D7" s="841"/>
      <c r="E7" s="134" t="s">
        <v>3</v>
      </c>
      <c r="F7" s="134"/>
      <c r="G7" s="134" t="s">
        <v>4</v>
      </c>
      <c r="H7" s="134" t="s">
        <v>5</v>
      </c>
      <c r="I7" s="134" t="s">
        <v>6</v>
      </c>
      <c r="J7" s="133"/>
    </row>
    <row r="8" spans="1:10">
      <c r="A8" s="135"/>
      <c r="B8" s="135"/>
      <c r="C8" s="135"/>
      <c r="D8" s="133"/>
      <c r="E8" s="136"/>
      <c r="F8" s="137"/>
      <c r="G8" s="137"/>
      <c r="H8" s="137"/>
      <c r="I8" s="138"/>
      <c r="J8" s="133"/>
    </row>
    <row r="9" spans="1:10">
      <c r="A9" s="133"/>
      <c r="B9" s="133"/>
      <c r="C9" s="133"/>
      <c r="D9" s="133"/>
      <c r="E9" s="139"/>
      <c r="F9" s="133"/>
      <c r="G9" s="133"/>
      <c r="H9" s="133"/>
      <c r="I9" s="140"/>
      <c r="J9" s="133"/>
    </row>
    <row r="10" spans="1:10">
      <c r="A10" s="133"/>
      <c r="B10" s="141" t="s">
        <v>326</v>
      </c>
      <c r="C10" s="141"/>
      <c r="D10" s="133"/>
      <c r="G10" s="133"/>
      <c r="H10" s="133"/>
      <c r="I10" s="142"/>
      <c r="J10" s="133"/>
    </row>
    <row r="11" spans="1:10" ht="13.5" thickBot="1">
      <c r="A11" s="135">
        <v>1</v>
      </c>
      <c r="B11" s="135" t="s">
        <v>7</v>
      </c>
      <c r="C11" s="133" t="s">
        <v>326</v>
      </c>
      <c r="D11" s="133"/>
      <c r="E11" s="147">
        <v>2712449.39</v>
      </c>
      <c r="G11" s="133" t="s">
        <v>8</v>
      </c>
      <c r="H11" s="143">
        <v>1</v>
      </c>
      <c r="I11" s="128">
        <f>E11</f>
        <v>2712449.39</v>
      </c>
      <c r="J11" s="144" t="s">
        <v>253</v>
      </c>
    </row>
    <row r="12" spans="1:10" ht="13.5" thickTop="1">
      <c r="I12" s="146"/>
    </row>
    <row r="15" spans="1:10">
      <c r="A15" s="145" t="s">
        <v>724</v>
      </c>
    </row>
  </sheetData>
  <mergeCells count="5">
    <mergeCell ref="B2:H2"/>
    <mergeCell ref="B3:H3"/>
    <mergeCell ref="B7:D7"/>
    <mergeCell ref="B4:H4"/>
    <mergeCell ref="B5:H5"/>
  </mergeCells>
  <pageMargins left="0.7" right="0.7" top="0.75" bottom="0.75" header="0.3" footer="0.3"/>
  <pageSetup scale="61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4D9A-D859-4CFC-85AD-2085DEA721D7}">
  <sheetPr>
    <pageSetUpPr fitToPage="1"/>
  </sheetPr>
  <dimension ref="A1:S112"/>
  <sheetViews>
    <sheetView zoomScale="90" zoomScaleNormal="90" workbookViewId="0">
      <selection activeCell="B1" sqref="B1:K1"/>
    </sheetView>
  </sheetViews>
  <sheetFormatPr defaultColWidth="13.7265625" defaultRowHeight="13"/>
  <cols>
    <col min="1" max="2" width="7.7265625" style="89" bestFit="1" customWidth="1"/>
    <col min="3" max="3" width="28.453125" style="89" bestFit="1" customWidth="1"/>
    <col min="4" max="4" width="19.81640625" style="89" bestFit="1" customWidth="1"/>
    <col min="5" max="5" width="19.54296875" style="89" bestFit="1" customWidth="1"/>
    <col min="6" max="6" width="17.1796875" style="89" bestFit="1" customWidth="1"/>
    <col min="7" max="7" width="19.81640625" style="89" bestFit="1" customWidth="1"/>
    <col min="8" max="8" width="1.26953125" style="89" customWidth="1"/>
    <col min="9" max="9" width="11.7265625" style="89" bestFit="1" customWidth="1"/>
    <col min="10" max="10" width="17.81640625" style="89" bestFit="1" customWidth="1"/>
    <col min="11" max="11" width="1.26953125" style="89" customWidth="1"/>
    <col min="12" max="13" width="11.81640625" style="89" bestFit="1" customWidth="1"/>
    <col min="14" max="14" width="1.26953125" style="89" customWidth="1"/>
    <col min="15" max="15" width="10.453125" style="89" bestFit="1" customWidth="1"/>
    <col min="16" max="16" width="1.26953125" style="89" customWidth="1"/>
    <col min="17" max="17" width="10.54296875" style="89" bestFit="1" customWidth="1"/>
    <col min="18" max="18" width="5.453125" style="89" bestFit="1" customWidth="1"/>
    <col min="19" max="19" width="10.453125" style="1" bestFit="1" customWidth="1"/>
    <col min="20" max="16384" width="13.7265625" style="89"/>
  </cols>
  <sheetData>
    <row r="1" spans="1:19">
      <c r="B1" s="843"/>
      <c r="C1" s="876"/>
      <c r="D1" s="876"/>
      <c r="E1" s="876"/>
      <c r="F1" s="876"/>
      <c r="G1" s="876"/>
      <c r="H1" s="876"/>
      <c r="I1" s="876"/>
      <c r="J1" s="876"/>
      <c r="K1" s="876"/>
    </row>
    <row r="3" spans="1:19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N3" s="443"/>
      <c r="O3" s="443"/>
      <c r="Q3" s="443"/>
      <c r="R3" s="443"/>
      <c r="S3" s="637"/>
    </row>
    <row r="4" spans="1:19">
      <c r="A4" s="315"/>
      <c r="B4" s="315"/>
      <c r="C4" s="315"/>
      <c r="D4" s="900" t="s">
        <v>679</v>
      </c>
      <c r="E4" s="900"/>
      <c r="F4" s="900"/>
      <c r="G4" s="900"/>
      <c r="H4" s="315"/>
      <c r="I4" s="900" t="s">
        <v>142</v>
      </c>
      <c r="J4" s="900"/>
      <c r="K4" s="900"/>
      <c r="L4" s="900"/>
      <c r="M4" s="872"/>
      <c r="N4" s="900"/>
      <c r="O4" s="900"/>
      <c r="P4" s="872"/>
      <c r="Q4" s="900"/>
      <c r="R4" s="900"/>
      <c r="S4" s="900"/>
    </row>
    <row r="5" spans="1:19" ht="52">
      <c r="A5" s="635" t="s">
        <v>10</v>
      </c>
      <c r="B5" s="635" t="s">
        <v>143</v>
      </c>
      <c r="C5" s="635" t="s">
        <v>117</v>
      </c>
      <c r="D5" s="517" t="s">
        <v>679</v>
      </c>
      <c r="E5" s="517" t="s">
        <v>144</v>
      </c>
      <c r="F5" s="517" t="s">
        <v>697</v>
      </c>
      <c r="G5" s="517" t="s">
        <v>680</v>
      </c>
      <c r="H5" s="315"/>
      <c r="I5" s="517" t="s">
        <v>146</v>
      </c>
      <c r="J5" s="517" t="s">
        <v>956</v>
      </c>
      <c r="K5" s="470"/>
      <c r="L5" s="517" t="s">
        <v>698</v>
      </c>
      <c r="M5" s="517" t="s">
        <v>699</v>
      </c>
      <c r="N5" s="470"/>
      <c r="O5" s="517" t="s">
        <v>139</v>
      </c>
      <c r="Q5" s="901" t="s">
        <v>153</v>
      </c>
      <c r="R5" s="901"/>
      <c r="S5" s="638" t="s">
        <v>154</v>
      </c>
    </row>
    <row r="6" spans="1:19">
      <c r="A6" s="470"/>
      <c r="B6" s="470"/>
      <c r="C6" s="470"/>
      <c r="D6" s="470"/>
      <c r="E6" s="470"/>
      <c r="F6" s="470"/>
      <c r="G6" s="470"/>
      <c r="H6" s="443"/>
      <c r="I6" s="470"/>
      <c r="J6" s="437"/>
      <c r="K6" s="315"/>
      <c r="L6" s="437"/>
      <c r="M6" s="437"/>
      <c r="N6" s="270"/>
      <c r="O6" s="437"/>
      <c r="Q6" s="470"/>
      <c r="R6" s="470"/>
      <c r="S6" s="639"/>
    </row>
    <row r="7" spans="1:19">
      <c r="A7" s="640"/>
      <c r="B7" s="892" t="s">
        <v>156</v>
      </c>
      <c r="C7" s="892"/>
      <c r="D7" s="315"/>
      <c r="E7" s="315"/>
      <c r="F7" s="315"/>
      <c r="G7" s="315"/>
      <c r="H7" s="315"/>
      <c r="I7" s="443"/>
      <c r="J7" s="315"/>
      <c r="K7" s="315"/>
      <c r="L7" s="315"/>
      <c r="N7" s="315"/>
      <c r="O7" s="315"/>
      <c r="Q7" s="443"/>
      <c r="R7" s="443"/>
      <c r="S7" s="637"/>
    </row>
    <row r="8" spans="1:19">
      <c r="A8" s="640">
        <f t="shared" ref="A8:A71" si="0">A7+1</f>
        <v>1</v>
      </c>
      <c r="B8" s="536">
        <v>30200</v>
      </c>
      <c r="C8" s="537" t="s">
        <v>157</v>
      </c>
      <c r="D8" s="524">
        <v>52919</v>
      </c>
      <c r="E8" s="524">
        <v>0</v>
      </c>
      <c r="F8" s="524">
        <v>0</v>
      </c>
      <c r="G8" s="524">
        <f>D8+F8+E8</f>
        <v>52919</v>
      </c>
      <c r="H8" s="315"/>
      <c r="I8" s="526">
        <v>0</v>
      </c>
      <c r="J8" s="524">
        <f>ROUND(G8*I8,0)</f>
        <v>0</v>
      </c>
      <c r="K8" s="315"/>
      <c r="L8" s="526">
        <v>0</v>
      </c>
      <c r="M8" s="524">
        <f>+G8*L8</f>
        <v>0</v>
      </c>
      <c r="N8" s="315"/>
      <c r="O8" s="524">
        <f>+M8-J8</f>
        <v>0</v>
      </c>
      <c r="Q8" s="443" t="s">
        <v>158</v>
      </c>
      <c r="R8" s="527">
        <v>1</v>
      </c>
      <c r="S8" s="641">
        <f>R8*O8</f>
        <v>0</v>
      </c>
    </row>
    <row r="9" spans="1:19">
      <c r="A9" s="640">
        <f t="shared" si="0"/>
        <v>2</v>
      </c>
      <c r="B9" s="443"/>
      <c r="C9" s="537" t="s">
        <v>700</v>
      </c>
      <c r="D9" s="524">
        <v>0</v>
      </c>
      <c r="E9" s="524">
        <v>0</v>
      </c>
      <c r="F9" s="524">
        <v>0</v>
      </c>
      <c r="G9" s="524">
        <f>D9+F9+E9</f>
        <v>0</v>
      </c>
      <c r="H9" s="315"/>
      <c r="I9" s="526">
        <v>6.6699999999999995E-2</v>
      </c>
      <c r="J9" s="524">
        <f>ROUND(G9*I9,0)</f>
        <v>0</v>
      </c>
      <c r="K9" s="315"/>
      <c r="L9" s="526">
        <v>0</v>
      </c>
      <c r="M9" s="524">
        <f>+G9*L9</f>
        <v>0</v>
      </c>
      <c r="N9" s="315"/>
      <c r="O9" s="524">
        <f>+M9-J9</f>
        <v>0</v>
      </c>
      <c r="Q9" s="443" t="s">
        <v>158</v>
      </c>
      <c r="R9" s="527">
        <v>1</v>
      </c>
      <c r="S9" s="641">
        <f>R9*O9</f>
        <v>0</v>
      </c>
    </row>
    <row r="10" spans="1:19">
      <c r="A10" s="640">
        <f t="shared" si="0"/>
        <v>3</v>
      </c>
      <c r="B10" s="443"/>
      <c r="C10" s="537" t="s">
        <v>701</v>
      </c>
      <c r="D10" s="524">
        <v>0</v>
      </c>
      <c r="E10" s="524">
        <v>0</v>
      </c>
      <c r="F10" s="524">
        <v>0</v>
      </c>
      <c r="G10" s="524">
        <f>D10+F10+E10</f>
        <v>0</v>
      </c>
      <c r="H10" s="315"/>
      <c r="I10" s="526">
        <v>0.1</v>
      </c>
      <c r="J10" s="524">
        <f>ROUND(G10*I10,0)</f>
        <v>0</v>
      </c>
      <c r="K10" s="315"/>
      <c r="L10" s="526">
        <v>0</v>
      </c>
      <c r="M10" s="524">
        <f>+G10*L10</f>
        <v>0</v>
      </c>
      <c r="N10" s="315"/>
      <c r="O10" s="524">
        <f>+M10-J10</f>
        <v>0</v>
      </c>
      <c r="Q10" s="443" t="s">
        <v>158</v>
      </c>
      <c r="R10" s="527">
        <v>1</v>
      </c>
      <c r="S10" s="641">
        <f>R10*O10</f>
        <v>0</v>
      </c>
    </row>
    <row r="11" spans="1:19">
      <c r="A11" s="640">
        <f t="shared" si="0"/>
        <v>4</v>
      </c>
      <c r="B11" s="443"/>
      <c r="C11" s="537" t="s">
        <v>702</v>
      </c>
      <c r="D11" s="529">
        <v>0</v>
      </c>
      <c r="E11" s="529">
        <v>0</v>
      </c>
      <c r="F11" s="529">
        <v>0</v>
      </c>
      <c r="G11" s="529">
        <f>D11+F11+E11</f>
        <v>0</v>
      </c>
      <c r="H11" s="315"/>
      <c r="I11" s="526">
        <v>0.2</v>
      </c>
      <c r="J11" s="529">
        <f>ROUND(G11*I11,0)</f>
        <v>0</v>
      </c>
      <c r="K11" s="315"/>
      <c r="L11" s="526">
        <v>0</v>
      </c>
      <c r="M11" s="529">
        <f>+G11*L11</f>
        <v>0</v>
      </c>
      <c r="N11" s="315"/>
      <c r="O11" s="529">
        <f>+M11-J11</f>
        <v>0</v>
      </c>
      <c r="Q11" s="443" t="s">
        <v>158</v>
      </c>
      <c r="R11" s="527">
        <v>1</v>
      </c>
      <c r="S11" s="642">
        <f>R11*O11</f>
        <v>0</v>
      </c>
    </row>
    <row r="12" spans="1:19">
      <c r="A12" s="640">
        <f t="shared" si="0"/>
        <v>5</v>
      </c>
      <c r="B12" s="536">
        <v>30300</v>
      </c>
      <c r="C12" s="537" t="s">
        <v>162</v>
      </c>
      <c r="D12" s="643">
        <f>SUM(D9:D11)</f>
        <v>0</v>
      </c>
      <c r="E12" s="643">
        <f>SUM(E9:E11)</f>
        <v>0</v>
      </c>
      <c r="F12" s="643">
        <f>SUM(F9:F11)</f>
        <v>0</v>
      </c>
      <c r="G12" s="643">
        <f>SUM(G9:G11)</f>
        <v>0</v>
      </c>
      <c r="H12" s="315"/>
      <c r="I12" s="315"/>
      <c r="J12" s="643">
        <f>SUM(J9:J11)</f>
        <v>0</v>
      </c>
      <c r="K12" s="315"/>
      <c r="L12" s="315"/>
      <c r="M12" s="643">
        <f>SUM(M9:M11)</f>
        <v>0</v>
      </c>
      <c r="N12" s="315"/>
      <c r="O12" s="643">
        <f>O9+O10+O11</f>
        <v>0</v>
      </c>
      <c r="Q12" s="443" t="s">
        <v>158</v>
      </c>
      <c r="R12" s="527">
        <v>1</v>
      </c>
      <c r="S12" s="644">
        <f>S9+S10+S11</f>
        <v>0</v>
      </c>
    </row>
    <row r="13" spans="1:19">
      <c r="A13" s="640">
        <f t="shared" si="0"/>
        <v>6</v>
      </c>
      <c r="B13" s="902" t="s">
        <v>163</v>
      </c>
      <c r="C13" s="902"/>
      <c r="D13" s="645">
        <f>D8+D12</f>
        <v>52919</v>
      </c>
      <c r="E13" s="645">
        <f>E8+E12</f>
        <v>0</v>
      </c>
      <c r="F13" s="645">
        <f>F8+F12</f>
        <v>0</v>
      </c>
      <c r="G13" s="645">
        <f>G8+G12</f>
        <v>52919</v>
      </c>
      <c r="H13" s="474"/>
      <c r="I13" s="443"/>
      <c r="J13" s="645">
        <f>J8+J12</f>
        <v>0</v>
      </c>
      <c r="K13" s="474"/>
      <c r="L13" s="443"/>
      <c r="M13" s="645">
        <f>M8+M12</f>
        <v>0</v>
      </c>
      <c r="N13" s="474"/>
      <c r="O13" s="645">
        <f>O8+O12</f>
        <v>0</v>
      </c>
      <c r="Q13" s="498"/>
      <c r="R13" s="498"/>
      <c r="S13" s="646">
        <f>S8+S12</f>
        <v>0</v>
      </c>
    </row>
    <row r="14" spans="1:19">
      <c r="A14" s="640"/>
      <c r="B14" s="443"/>
      <c r="C14" s="443"/>
      <c r="D14" s="443"/>
      <c r="E14" s="443"/>
      <c r="F14" s="443"/>
      <c r="G14" s="443"/>
      <c r="H14" s="443"/>
      <c r="I14" s="443"/>
      <c r="J14" s="315"/>
      <c r="K14" s="315"/>
      <c r="L14" s="443"/>
      <c r="N14" s="270"/>
      <c r="O14" s="270"/>
      <c r="Q14" s="443"/>
      <c r="R14" s="443"/>
      <c r="S14" s="637"/>
    </row>
    <row r="15" spans="1:19">
      <c r="A15" s="640"/>
      <c r="B15" s="443"/>
      <c r="C15" s="443"/>
      <c r="D15" s="443"/>
      <c r="E15" s="443"/>
      <c r="F15" s="443"/>
      <c r="G15" s="443"/>
      <c r="H15" s="443"/>
      <c r="I15" s="443"/>
      <c r="J15" s="315"/>
      <c r="K15" s="315"/>
      <c r="L15" s="443"/>
      <c r="N15" s="315"/>
      <c r="O15" s="315"/>
      <c r="Q15" s="443"/>
      <c r="R15" s="443"/>
      <c r="S15" s="637"/>
    </row>
    <row r="16" spans="1:19">
      <c r="A16" s="640"/>
      <c r="B16" s="892" t="s">
        <v>164</v>
      </c>
      <c r="C16" s="892"/>
      <c r="D16" s="315"/>
      <c r="E16" s="315"/>
      <c r="F16" s="315"/>
      <c r="G16" s="315"/>
      <c r="H16" s="315"/>
      <c r="I16" s="443"/>
      <c r="J16" s="315"/>
      <c r="K16" s="315"/>
      <c r="L16" s="443"/>
      <c r="N16" s="315"/>
      <c r="O16" s="315"/>
      <c r="Q16" s="443"/>
      <c r="R16" s="443"/>
      <c r="S16" s="637"/>
    </row>
    <row r="17" spans="1:19">
      <c r="A17" s="640"/>
      <c r="B17" s="647"/>
      <c r="C17" s="315"/>
      <c r="D17" s="315"/>
      <c r="E17" s="315"/>
      <c r="F17" s="315"/>
      <c r="G17" s="315"/>
      <c r="H17" s="315"/>
      <c r="I17" s="443"/>
      <c r="J17" s="315"/>
      <c r="K17" s="315"/>
      <c r="L17" s="443"/>
      <c r="N17" s="315"/>
      <c r="O17" s="315"/>
      <c r="Q17" s="443"/>
      <c r="R17" s="443"/>
      <c r="S17" s="637"/>
    </row>
    <row r="18" spans="1:19">
      <c r="A18" s="640"/>
      <c r="B18" s="892" t="s">
        <v>165</v>
      </c>
      <c r="C18" s="892"/>
      <c r="D18" s="315"/>
      <c r="E18" s="315"/>
      <c r="F18" s="315"/>
      <c r="G18" s="315"/>
      <c r="H18" s="315"/>
      <c r="I18" s="443"/>
      <c r="J18" s="315"/>
      <c r="K18" s="315"/>
      <c r="L18" s="443"/>
      <c r="N18" s="315"/>
      <c r="O18" s="315"/>
      <c r="Q18" s="443"/>
      <c r="R18" s="443"/>
      <c r="S18" s="637"/>
    </row>
    <row r="19" spans="1:19">
      <c r="A19" s="640">
        <f>A13+1</f>
        <v>7</v>
      </c>
      <c r="B19" s="536">
        <v>31000</v>
      </c>
      <c r="C19" s="537" t="s">
        <v>166</v>
      </c>
      <c r="D19" s="524">
        <v>1755762</v>
      </c>
      <c r="E19" s="524">
        <v>0</v>
      </c>
      <c r="F19" s="524">
        <v>0</v>
      </c>
      <c r="G19" s="524">
        <f t="shared" ref="G19:G28" si="1">D19+F19+E19</f>
        <v>1755762</v>
      </c>
      <c r="H19" s="315"/>
      <c r="I19" s="526">
        <v>0</v>
      </c>
      <c r="J19" s="524">
        <f t="shared" ref="J19:J28" si="2">ROUND(G19*I19,0)</f>
        <v>0</v>
      </c>
      <c r="K19" s="315"/>
      <c r="L19" s="526">
        <v>0</v>
      </c>
      <c r="M19" s="524">
        <f t="shared" ref="M19:M28" si="3">+G19*L19</f>
        <v>0</v>
      </c>
      <c r="N19" s="315"/>
      <c r="O19" s="524">
        <f t="shared" ref="O19:O28" si="4">+M19-J19</f>
        <v>0</v>
      </c>
      <c r="Q19" s="443" t="s">
        <v>167</v>
      </c>
      <c r="R19" s="527">
        <v>1</v>
      </c>
      <c r="S19" s="648">
        <f t="shared" ref="S19:S28" si="5">O19*R19</f>
        <v>0</v>
      </c>
    </row>
    <row r="20" spans="1:19">
      <c r="A20" s="640">
        <f t="shared" si="0"/>
        <v>8</v>
      </c>
      <c r="B20" s="536">
        <v>31010</v>
      </c>
      <c r="C20" s="537" t="s">
        <v>168</v>
      </c>
      <c r="D20" s="524">
        <v>5420</v>
      </c>
      <c r="E20" s="524">
        <v>0</v>
      </c>
      <c r="F20" s="524">
        <v>0</v>
      </c>
      <c r="G20" s="524">
        <f t="shared" si="1"/>
        <v>5420</v>
      </c>
      <c r="H20" s="315"/>
      <c r="I20" s="526">
        <v>0</v>
      </c>
      <c r="J20" s="524">
        <f t="shared" si="2"/>
        <v>0</v>
      </c>
      <c r="K20" s="315"/>
      <c r="L20" s="526">
        <v>0</v>
      </c>
      <c r="M20" s="524">
        <f t="shared" si="3"/>
        <v>0</v>
      </c>
      <c r="N20" s="315"/>
      <c r="O20" s="524">
        <f t="shared" si="4"/>
        <v>0</v>
      </c>
      <c r="Q20" s="443" t="s">
        <v>167</v>
      </c>
      <c r="R20" s="527">
        <v>1</v>
      </c>
      <c r="S20" s="648">
        <f t="shared" si="5"/>
        <v>0</v>
      </c>
    </row>
    <row r="21" spans="1:19">
      <c r="A21" s="640">
        <f t="shared" si="0"/>
        <v>9</v>
      </c>
      <c r="B21" s="536">
        <v>31100</v>
      </c>
      <c r="C21" s="537" t="s">
        <v>703</v>
      </c>
      <c r="D21" s="524">
        <v>24670707</v>
      </c>
      <c r="E21" s="524">
        <v>0</v>
      </c>
      <c r="F21" s="524">
        <v>0</v>
      </c>
      <c r="G21" s="524">
        <f t="shared" si="1"/>
        <v>24670707</v>
      </c>
      <c r="H21" s="315"/>
      <c r="I21" s="526">
        <v>3.0599999999999999E-2</v>
      </c>
      <c r="J21" s="524">
        <f t="shared" si="2"/>
        <v>754924</v>
      </c>
      <c r="K21" s="315"/>
      <c r="L21" s="526">
        <v>4.9399999999999999E-2</v>
      </c>
      <c r="M21" s="524">
        <f t="shared" si="3"/>
        <v>1218732.9258000001</v>
      </c>
      <c r="N21" s="315"/>
      <c r="O21" s="524">
        <f t="shared" si="4"/>
        <v>463808.92580000008</v>
      </c>
      <c r="Q21" s="443" t="s">
        <v>167</v>
      </c>
      <c r="R21" s="527">
        <v>1</v>
      </c>
      <c r="S21" s="648">
        <f t="shared" si="5"/>
        <v>463808.92580000008</v>
      </c>
    </row>
    <row r="22" spans="1:19">
      <c r="A22" s="640">
        <f t="shared" si="0"/>
        <v>10</v>
      </c>
      <c r="B22" s="536">
        <v>31200</v>
      </c>
      <c r="C22" s="537" t="s">
        <v>170</v>
      </c>
      <c r="D22" s="524">
        <v>86996528</v>
      </c>
      <c r="E22" s="524">
        <v>0</v>
      </c>
      <c r="F22" s="524">
        <v>0</v>
      </c>
      <c r="G22" s="524">
        <f t="shared" si="1"/>
        <v>86996528</v>
      </c>
      <c r="H22" s="315"/>
      <c r="I22" s="526">
        <v>4.4499999999999998E-2</v>
      </c>
      <c r="J22" s="524">
        <f t="shared" si="2"/>
        <v>3871345</v>
      </c>
      <c r="K22" s="315"/>
      <c r="L22" s="526">
        <v>4.6800000000000001E-2</v>
      </c>
      <c r="M22" s="524">
        <f t="shared" si="3"/>
        <v>4071437.5104</v>
      </c>
      <c r="N22" s="315"/>
      <c r="O22" s="524">
        <f t="shared" si="4"/>
        <v>200092.51040000003</v>
      </c>
      <c r="Q22" s="443" t="s">
        <v>167</v>
      </c>
      <c r="R22" s="527">
        <v>1</v>
      </c>
      <c r="S22" s="648">
        <f t="shared" si="5"/>
        <v>200092.51040000003</v>
      </c>
    </row>
    <row r="23" spans="1:19">
      <c r="A23" s="640">
        <f t="shared" si="0"/>
        <v>11</v>
      </c>
      <c r="B23" s="536">
        <v>31400</v>
      </c>
      <c r="C23" s="537" t="s">
        <v>704</v>
      </c>
      <c r="D23" s="524">
        <v>64463994</v>
      </c>
      <c r="E23" s="524">
        <v>0</v>
      </c>
      <c r="F23" s="524">
        <v>0</v>
      </c>
      <c r="G23" s="524">
        <f t="shared" si="1"/>
        <v>64463994</v>
      </c>
      <c r="H23" s="315"/>
      <c r="I23" s="526">
        <v>2.7799999999999998E-2</v>
      </c>
      <c r="J23" s="524">
        <f t="shared" si="2"/>
        <v>1792099</v>
      </c>
      <c r="K23" s="315"/>
      <c r="L23" s="526">
        <v>3.5400000000000001E-2</v>
      </c>
      <c r="M23" s="524">
        <f t="shared" si="3"/>
        <v>2282025.3876</v>
      </c>
      <c r="N23" s="315"/>
      <c r="O23" s="524">
        <f t="shared" si="4"/>
        <v>489926.38760000002</v>
      </c>
      <c r="Q23" s="443" t="s">
        <v>167</v>
      </c>
      <c r="R23" s="527">
        <v>1</v>
      </c>
      <c r="S23" s="648">
        <f t="shared" si="5"/>
        <v>489926.38760000002</v>
      </c>
    </row>
    <row r="24" spans="1:19">
      <c r="A24" s="640">
        <f t="shared" si="0"/>
        <v>12</v>
      </c>
      <c r="B24" s="536">
        <v>31500</v>
      </c>
      <c r="C24" s="537" t="s">
        <v>172</v>
      </c>
      <c r="D24" s="524">
        <v>8433604</v>
      </c>
      <c r="E24" s="524">
        <v>0</v>
      </c>
      <c r="F24" s="524">
        <v>0</v>
      </c>
      <c r="G24" s="524">
        <f t="shared" si="1"/>
        <v>8433604</v>
      </c>
      <c r="H24" s="315"/>
      <c r="I24" s="526">
        <v>1.77E-2</v>
      </c>
      <c r="J24" s="524">
        <f t="shared" si="2"/>
        <v>149275</v>
      </c>
      <c r="K24" s="315"/>
      <c r="L24" s="526">
        <v>5.4300000000000001E-2</v>
      </c>
      <c r="M24" s="524">
        <f t="shared" si="3"/>
        <v>457944.6972</v>
      </c>
      <c r="N24" s="315"/>
      <c r="O24" s="524">
        <f t="shared" si="4"/>
        <v>308669.6972</v>
      </c>
      <c r="Q24" s="443" t="s">
        <v>167</v>
      </c>
      <c r="R24" s="527">
        <v>1</v>
      </c>
      <c r="S24" s="648">
        <f t="shared" si="5"/>
        <v>308669.6972</v>
      </c>
    </row>
    <row r="25" spans="1:19">
      <c r="A25" s="640">
        <f t="shared" si="0"/>
        <v>13</v>
      </c>
      <c r="B25" s="536">
        <v>31510</v>
      </c>
      <c r="C25" s="537" t="s">
        <v>681</v>
      </c>
      <c r="D25" s="524">
        <v>15590</v>
      </c>
      <c r="E25" s="524">
        <v>0</v>
      </c>
      <c r="F25" s="524">
        <v>0</v>
      </c>
      <c r="G25" s="524">
        <f t="shared" si="1"/>
        <v>15590</v>
      </c>
      <c r="H25" s="315"/>
      <c r="I25" s="526">
        <v>3.2000000000000001E-2</v>
      </c>
      <c r="J25" s="524">
        <f t="shared" si="2"/>
        <v>499</v>
      </c>
      <c r="K25" s="315"/>
      <c r="L25" s="526">
        <v>0.22550000000000001</v>
      </c>
      <c r="M25" s="524">
        <f t="shared" si="3"/>
        <v>3515.5450000000001</v>
      </c>
      <c r="N25" s="315"/>
      <c r="O25" s="524">
        <f t="shared" si="4"/>
        <v>3016.5450000000001</v>
      </c>
      <c r="Q25" s="443" t="s">
        <v>167</v>
      </c>
      <c r="R25" s="527">
        <v>1</v>
      </c>
      <c r="S25" s="648">
        <f t="shared" si="5"/>
        <v>3016.5450000000001</v>
      </c>
    </row>
    <row r="26" spans="1:19">
      <c r="A26" s="640">
        <f t="shared" si="0"/>
        <v>14</v>
      </c>
      <c r="B26" s="536">
        <v>31531</v>
      </c>
      <c r="C26" s="537" t="s">
        <v>682</v>
      </c>
      <c r="D26" s="524">
        <v>54044</v>
      </c>
      <c r="E26" s="524">
        <v>0</v>
      </c>
      <c r="F26" s="524">
        <v>0</v>
      </c>
      <c r="G26" s="524">
        <f t="shared" si="1"/>
        <v>54044</v>
      </c>
      <c r="H26" s="315"/>
      <c r="I26" s="526">
        <v>5.6599999999999998E-2</v>
      </c>
      <c r="J26" s="524">
        <f t="shared" si="2"/>
        <v>3059</v>
      </c>
      <c r="K26" s="315"/>
      <c r="L26" s="526">
        <v>9.1499999999999998E-2</v>
      </c>
      <c r="M26" s="524">
        <f t="shared" si="3"/>
        <v>4945.0259999999998</v>
      </c>
      <c r="N26" s="315"/>
      <c r="O26" s="524">
        <f t="shared" si="4"/>
        <v>1886.0259999999998</v>
      </c>
      <c r="Q26" s="443" t="s">
        <v>167</v>
      </c>
      <c r="R26" s="527">
        <v>1</v>
      </c>
      <c r="S26" s="648">
        <f t="shared" si="5"/>
        <v>1886.0259999999998</v>
      </c>
    </row>
    <row r="27" spans="1:19">
      <c r="A27" s="640">
        <f t="shared" si="0"/>
        <v>15</v>
      </c>
      <c r="B27" s="536">
        <v>31600</v>
      </c>
      <c r="C27" s="537" t="s">
        <v>705</v>
      </c>
      <c r="D27" s="524">
        <v>4414282</v>
      </c>
      <c r="E27" s="524">
        <v>0</v>
      </c>
      <c r="F27" s="524">
        <v>0</v>
      </c>
      <c r="G27" s="524">
        <f t="shared" si="1"/>
        <v>4414282</v>
      </c>
      <c r="H27" s="315"/>
      <c r="I27" s="526">
        <v>2.8199999999999999E-2</v>
      </c>
      <c r="J27" s="524">
        <f t="shared" si="2"/>
        <v>124483</v>
      </c>
      <c r="K27" s="315"/>
      <c r="L27" s="526">
        <v>4.4499999999999998E-2</v>
      </c>
      <c r="M27" s="524">
        <f t="shared" si="3"/>
        <v>196435.549</v>
      </c>
      <c r="N27" s="315"/>
      <c r="O27" s="524">
        <f t="shared" si="4"/>
        <v>71952.548999999999</v>
      </c>
      <c r="Q27" s="443" t="s">
        <v>167</v>
      </c>
      <c r="R27" s="527">
        <v>1</v>
      </c>
      <c r="S27" s="648">
        <f t="shared" si="5"/>
        <v>71952.548999999999</v>
      </c>
    </row>
    <row r="28" spans="1:19">
      <c r="A28" s="640">
        <f t="shared" si="0"/>
        <v>16</v>
      </c>
      <c r="B28" s="536">
        <v>31700</v>
      </c>
      <c r="C28" s="537" t="s">
        <v>174</v>
      </c>
      <c r="D28" s="529">
        <v>6618088</v>
      </c>
      <c r="E28" s="529">
        <v>0</v>
      </c>
      <c r="F28" s="529">
        <f>-D28</f>
        <v>-6618088</v>
      </c>
      <c r="G28" s="529">
        <f t="shared" si="1"/>
        <v>0</v>
      </c>
      <c r="H28" s="315"/>
      <c r="I28" s="443"/>
      <c r="J28" s="529">
        <f t="shared" si="2"/>
        <v>0</v>
      </c>
      <c r="K28" s="649"/>
      <c r="L28" s="443"/>
      <c r="M28" s="529">
        <f t="shared" si="3"/>
        <v>0</v>
      </c>
      <c r="N28" s="649"/>
      <c r="O28" s="529">
        <f t="shared" si="4"/>
        <v>0</v>
      </c>
      <c r="Q28" s="443" t="s">
        <v>167</v>
      </c>
      <c r="R28" s="527">
        <v>1</v>
      </c>
      <c r="S28" s="650">
        <f t="shared" si="5"/>
        <v>0</v>
      </c>
    </row>
    <row r="29" spans="1:19">
      <c r="A29" s="640">
        <f t="shared" si="0"/>
        <v>17</v>
      </c>
      <c r="B29" s="458"/>
      <c r="C29" s="315"/>
      <c r="D29" s="645">
        <f>SUM(D19:D28)</f>
        <v>197428019</v>
      </c>
      <c r="E29" s="645">
        <f>SUM(E19:E28)</f>
        <v>0</v>
      </c>
      <c r="F29" s="645">
        <f>SUM(F19:F28)</f>
        <v>-6618088</v>
      </c>
      <c r="G29" s="645">
        <f>SUM(G19:G28)</f>
        <v>190809931</v>
      </c>
      <c r="H29" s="474"/>
      <c r="I29" s="443"/>
      <c r="J29" s="645">
        <f>SUM(J19:J28)</f>
        <v>6695684</v>
      </c>
      <c r="K29" s="474"/>
      <c r="L29" s="443"/>
      <c r="M29" s="645">
        <f>SUM(M19:M28)</f>
        <v>8235036.6409999998</v>
      </c>
      <c r="N29" s="474"/>
      <c r="O29" s="645">
        <f>SUM(O19:O28)</f>
        <v>1539352.6410000003</v>
      </c>
      <c r="Q29" s="498"/>
      <c r="R29" s="443"/>
      <c r="S29" s="651">
        <f>SUM(S19:S28)</f>
        <v>1539352.6410000003</v>
      </c>
    </row>
    <row r="30" spans="1:19">
      <c r="A30" s="640"/>
      <c r="B30" s="443"/>
      <c r="C30" s="443"/>
      <c r="D30" s="443"/>
      <c r="E30" s="443"/>
      <c r="F30" s="443"/>
      <c r="G30" s="443"/>
      <c r="H30" s="443"/>
      <c r="I30" s="443"/>
      <c r="J30" s="315"/>
      <c r="K30" s="315"/>
      <c r="L30" s="443"/>
      <c r="N30" s="270"/>
      <c r="O30" s="270"/>
      <c r="Q30" s="443"/>
      <c r="R30" s="443"/>
      <c r="S30" s="637"/>
    </row>
    <row r="31" spans="1:19">
      <c r="A31" s="640"/>
      <c r="B31" s="892" t="s">
        <v>175</v>
      </c>
      <c r="C31" s="892"/>
      <c r="D31" s="315"/>
      <c r="E31" s="315"/>
      <c r="F31" s="315"/>
      <c r="G31" s="315"/>
      <c r="H31" s="315"/>
      <c r="I31" s="443"/>
      <c r="J31" s="315"/>
      <c r="K31" s="315"/>
      <c r="L31" s="249"/>
      <c r="N31" s="315"/>
      <c r="O31" s="315"/>
      <c r="Q31" s="443"/>
      <c r="R31" s="443"/>
      <c r="S31" s="637"/>
    </row>
    <row r="32" spans="1:19">
      <c r="A32" s="640">
        <v>18</v>
      </c>
      <c r="B32" s="536">
        <v>31000</v>
      </c>
      <c r="C32" s="537" t="s">
        <v>166</v>
      </c>
      <c r="D32" s="524">
        <v>3224928</v>
      </c>
      <c r="E32" s="524">
        <v>0</v>
      </c>
      <c r="F32" s="524">
        <v>0</v>
      </c>
      <c r="G32" s="524">
        <f t="shared" ref="G32:G41" si="6">D32+F32+E32</f>
        <v>3224928</v>
      </c>
      <c r="H32" s="315"/>
      <c r="I32" s="526">
        <v>0</v>
      </c>
      <c r="J32" s="524">
        <f t="shared" ref="J32:J40" si="7">ROUND(G32*I32,0)</f>
        <v>0</v>
      </c>
      <c r="K32" s="315"/>
      <c r="L32" s="652">
        <v>0</v>
      </c>
      <c r="M32" s="524">
        <f t="shared" ref="M32:M41" si="8">+G32*L32</f>
        <v>0</v>
      </c>
      <c r="N32" s="315"/>
      <c r="O32" s="524">
        <f t="shared" ref="O32:O41" si="9">+M32-J32</f>
        <v>0</v>
      </c>
      <c r="Q32" s="443" t="s">
        <v>167</v>
      </c>
      <c r="R32" s="527">
        <v>1</v>
      </c>
      <c r="S32" s="648">
        <f t="shared" ref="S32:S41" si="10">O32*R32</f>
        <v>0</v>
      </c>
    </row>
    <row r="33" spans="1:19">
      <c r="A33" s="640">
        <f t="shared" si="0"/>
        <v>19</v>
      </c>
      <c r="B33" s="536">
        <v>31100</v>
      </c>
      <c r="C33" s="537" t="s">
        <v>703</v>
      </c>
      <c r="D33" s="524">
        <v>77972066</v>
      </c>
      <c r="E33" s="524">
        <v>-13140601</v>
      </c>
      <c r="F33" s="524">
        <v>0</v>
      </c>
      <c r="G33" s="524">
        <f t="shared" si="6"/>
        <v>64831465</v>
      </c>
      <c r="H33" s="315"/>
      <c r="I33" s="526">
        <v>2.58E-2</v>
      </c>
      <c r="J33" s="524">
        <f t="shared" si="7"/>
        <v>1672652</v>
      </c>
      <c r="K33" s="315"/>
      <c r="L33" s="652">
        <v>2.58E-2</v>
      </c>
      <c r="M33" s="524">
        <f t="shared" si="8"/>
        <v>1672651.797</v>
      </c>
      <c r="N33" s="315"/>
      <c r="O33" s="524">
        <f t="shared" si="9"/>
        <v>-0.2029999999795109</v>
      </c>
      <c r="Q33" s="443" t="s">
        <v>167</v>
      </c>
      <c r="R33" s="527">
        <v>1</v>
      </c>
      <c r="S33" s="648">
        <f t="shared" si="10"/>
        <v>-0.2029999999795109</v>
      </c>
    </row>
    <row r="34" spans="1:19">
      <c r="A34" s="640">
        <f t="shared" si="0"/>
        <v>20</v>
      </c>
      <c r="B34" s="536">
        <v>31200</v>
      </c>
      <c r="C34" s="537" t="s">
        <v>170</v>
      </c>
      <c r="D34" s="524">
        <v>883363493</v>
      </c>
      <c r="E34" s="524">
        <v>-312617572</v>
      </c>
      <c r="F34" s="524">
        <v>0</v>
      </c>
      <c r="G34" s="524">
        <f t="shared" si="6"/>
        <v>570745921</v>
      </c>
      <c r="H34" s="315"/>
      <c r="I34" s="526">
        <v>2.9600000000000001E-2</v>
      </c>
      <c r="J34" s="524">
        <f t="shared" si="7"/>
        <v>16894079</v>
      </c>
      <c r="K34" s="315"/>
      <c r="L34" s="652">
        <v>2.9600000000000001E-2</v>
      </c>
      <c r="M34" s="524">
        <f t="shared" si="8"/>
        <v>16894079.261599999</v>
      </c>
      <c r="N34" s="315"/>
      <c r="O34" s="524">
        <f t="shared" si="9"/>
        <v>0.26159999892115593</v>
      </c>
      <c r="Q34" s="443" t="s">
        <v>167</v>
      </c>
      <c r="R34" s="527">
        <v>1</v>
      </c>
      <c r="S34" s="648">
        <f t="shared" si="10"/>
        <v>0.26159999892115593</v>
      </c>
    </row>
    <row r="35" spans="1:19">
      <c r="A35" s="640">
        <f t="shared" si="0"/>
        <v>21</v>
      </c>
      <c r="B35" s="536">
        <v>31200</v>
      </c>
      <c r="C35" s="537" t="s">
        <v>176</v>
      </c>
      <c r="D35" s="524">
        <v>9345063</v>
      </c>
      <c r="E35" s="524">
        <v>0</v>
      </c>
      <c r="F35" s="524">
        <v>0</v>
      </c>
      <c r="G35" s="524">
        <f t="shared" si="6"/>
        <v>9345063</v>
      </c>
      <c r="H35" s="315"/>
      <c r="I35" s="526">
        <v>0.125</v>
      </c>
      <c r="J35" s="524">
        <f t="shared" si="7"/>
        <v>1168133</v>
      </c>
      <c r="K35" s="315"/>
      <c r="L35" s="652">
        <v>0.125</v>
      </c>
      <c r="M35" s="524">
        <f t="shared" si="8"/>
        <v>1168132.875</v>
      </c>
      <c r="N35" s="315"/>
      <c r="O35" s="524">
        <f t="shared" si="9"/>
        <v>-0.125</v>
      </c>
      <c r="Q35" s="443" t="s">
        <v>167</v>
      </c>
      <c r="R35" s="527">
        <v>1</v>
      </c>
      <c r="S35" s="648">
        <f t="shared" si="10"/>
        <v>-0.125</v>
      </c>
    </row>
    <row r="36" spans="1:19">
      <c r="A36" s="640">
        <f t="shared" si="0"/>
        <v>22</v>
      </c>
      <c r="B36" s="536">
        <v>31400</v>
      </c>
      <c r="C36" s="537" t="s">
        <v>704</v>
      </c>
      <c r="D36" s="524">
        <v>56653979</v>
      </c>
      <c r="E36" s="524">
        <v>-315773</v>
      </c>
      <c r="F36" s="524">
        <v>0</v>
      </c>
      <c r="G36" s="524">
        <f t="shared" si="6"/>
        <v>56338206</v>
      </c>
      <c r="H36" s="315"/>
      <c r="I36" s="526">
        <v>1.67E-2</v>
      </c>
      <c r="J36" s="524">
        <f t="shared" si="7"/>
        <v>940848</v>
      </c>
      <c r="K36" s="315"/>
      <c r="L36" s="652">
        <v>1.67E-2</v>
      </c>
      <c r="M36" s="524">
        <f t="shared" si="8"/>
        <v>940848.04019999993</v>
      </c>
      <c r="N36" s="315"/>
      <c r="O36" s="524">
        <f t="shared" si="9"/>
        <v>4.0199999930337071E-2</v>
      </c>
      <c r="Q36" s="443" t="s">
        <v>167</v>
      </c>
      <c r="R36" s="527">
        <v>1</v>
      </c>
      <c r="S36" s="648">
        <f t="shared" si="10"/>
        <v>4.0199999930337071E-2</v>
      </c>
    </row>
    <row r="37" spans="1:19">
      <c r="A37" s="640">
        <f t="shared" si="0"/>
        <v>23</v>
      </c>
      <c r="B37" s="536">
        <v>31500</v>
      </c>
      <c r="C37" s="537" t="s">
        <v>172</v>
      </c>
      <c r="D37" s="524">
        <v>26368729</v>
      </c>
      <c r="E37" s="524">
        <v>-1553727</v>
      </c>
      <c r="F37" s="524">
        <v>0</v>
      </c>
      <c r="G37" s="524">
        <f t="shared" si="6"/>
        <v>24815002</v>
      </c>
      <c r="H37" s="315"/>
      <c r="I37" s="526">
        <v>1.49E-2</v>
      </c>
      <c r="J37" s="524">
        <f t="shared" si="7"/>
        <v>369744</v>
      </c>
      <c r="K37" s="315"/>
      <c r="L37" s="652">
        <v>1.49E-2</v>
      </c>
      <c r="M37" s="524">
        <f t="shared" si="8"/>
        <v>369743.52980000002</v>
      </c>
      <c r="N37" s="315"/>
      <c r="O37" s="524">
        <f t="shared" si="9"/>
        <v>-0.47019999998155981</v>
      </c>
      <c r="Q37" s="443" t="s">
        <v>167</v>
      </c>
      <c r="R37" s="527">
        <v>1</v>
      </c>
      <c r="S37" s="648">
        <f t="shared" si="10"/>
        <v>-0.47019999998155981</v>
      </c>
    </row>
    <row r="38" spans="1:19">
      <c r="A38" s="640">
        <f t="shared" si="0"/>
        <v>24</v>
      </c>
      <c r="B38" s="536">
        <v>31510</v>
      </c>
      <c r="C38" s="537" t="s">
        <v>681</v>
      </c>
      <c r="D38" s="524">
        <v>25728</v>
      </c>
      <c r="E38" s="315"/>
      <c r="F38" s="524">
        <v>0</v>
      </c>
      <c r="G38" s="524">
        <f t="shared" si="6"/>
        <v>25728</v>
      </c>
      <c r="H38" s="315"/>
      <c r="I38" s="526">
        <v>3.2000000000000001E-2</v>
      </c>
      <c r="J38" s="524">
        <f t="shared" si="7"/>
        <v>823</v>
      </c>
      <c r="K38" s="315"/>
      <c r="L38" s="652">
        <v>3.2000000000000001E-2</v>
      </c>
      <c r="M38" s="524">
        <f t="shared" si="8"/>
        <v>823.29600000000005</v>
      </c>
      <c r="N38" s="315"/>
      <c r="O38" s="524">
        <f t="shared" si="9"/>
        <v>0.29600000000004911</v>
      </c>
      <c r="Q38" s="443" t="s">
        <v>167</v>
      </c>
      <c r="R38" s="527">
        <v>1</v>
      </c>
      <c r="S38" s="648">
        <f t="shared" si="10"/>
        <v>0.29600000000004911</v>
      </c>
    </row>
    <row r="39" spans="1:19">
      <c r="A39" s="640">
        <f t="shared" si="0"/>
        <v>25</v>
      </c>
      <c r="B39" s="536">
        <v>31531</v>
      </c>
      <c r="C39" s="537" t="s">
        <v>682</v>
      </c>
      <c r="D39" s="524">
        <v>83415</v>
      </c>
      <c r="E39" s="315"/>
      <c r="F39" s="524">
        <v>0</v>
      </c>
      <c r="G39" s="524">
        <f t="shared" si="6"/>
        <v>83415</v>
      </c>
      <c r="H39" s="315"/>
      <c r="I39" s="526">
        <v>5.6599999999999998E-2</v>
      </c>
      <c r="J39" s="524">
        <f t="shared" si="7"/>
        <v>4721</v>
      </c>
      <c r="K39" s="315"/>
      <c r="L39" s="652">
        <v>5.6599999999999998E-2</v>
      </c>
      <c r="M39" s="524">
        <f t="shared" si="8"/>
        <v>4721.2889999999998</v>
      </c>
      <c r="N39" s="315"/>
      <c r="O39" s="524">
        <f t="shared" si="9"/>
        <v>0.28899999999975989</v>
      </c>
      <c r="Q39" s="443" t="s">
        <v>167</v>
      </c>
      <c r="R39" s="527">
        <v>1</v>
      </c>
      <c r="S39" s="648">
        <f t="shared" si="10"/>
        <v>0.28899999999975989</v>
      </c>
    </row>
    <row r="40" spans="1:19">
      <c r="A40" s="640">
        <f t="shared" si="0"/>
        <v>26</v>
      </c>
      <c r="B40" s="536">
        <v>31600</v>
      </c>
      <c r="C40" s="537" t="s">
        <v>705</v>
      </c>
      <c r="D40" s="524">
        <v>9887940</v>
      </c>
      <c r="E40" s="524">
        <v>-1859020</v>
      </c>
      <c r="F40" s="524">
        <v>0</v>
      </c>
      <c r="G40" s="524">
        <f t="shared" si="6"/>
        <v>8028920</v>
      </c>
      <c r="H40" s="315"/>
      <c r="I40" s="526">
        <v>2.63E-2</v>
      </c>
      <c r="J40" s="524">
        <f t="shared" si="7"/>
        <v>211161</v>
      </c>
      <c r="K40" s="315"/>
      <c r="L40" s="652">
        <v>2.63E-2</v>
      </c>
      <c r="M40" s="524">
        <f t="shared" si="8"/>
        <v>211160.59599999999</v>
      </c>
      <c r="N40" s="315"/>
      <c r="O40" s="524">
        <f t="shared" si="9"/>
        <v>-0.40400000000954606</v>
      </c>
      <c r="Q40" s="443" t="s">
        <v>167</v>
      </c>
      <c r="R40" s="527">
        <v>1</v>
      </c>
      <c r="S40" s="648">
        <f t="shared" si="10"/>
        <v>-0.40400000000954606</v>
      </c>
    </row>
    <row r="41" spans="1:19">
      <c r="A41" s="640">
        <f t="shared" si="0"/>
        <v>27</v>
      </c>
      <c r="B41" s="536">
        <v>31700</v>
      </c>
      <c r="C41" s="537" t="s">
        <v>174</v>
      </c>
      <c r="D41" s="529">
        <v>27423437</v>
      </c>
      <c r="E41" s="529">
        <v>0</v>
      </c>
      <c r="F41" s="529">
        <f>-D41</f>
        <v>-27423437</v>
      </c>
      <c r="G41" s="529">
        <f t="shared" si="6"/>
        <v>0</v>
      </c>
      <c r="H41" s="315"/>
      <c r="I41" s="443"/>
      <c r="J41" s="529">
        <v>0</v>
      </c>
      <c r="K41" s="649"/>
      <c r="L41" s="249"/>
      <c r="M41" s="529">
        <f t="shared" si="8"/>
        <v>0</v>
      </c>
      <c r="N41" s="649"/>
      <c r="O41" s="529">
        <f t="shared" si="9"/>
        <v>0</v>
      </c>
      <c r="Q41" s="443" t="s">
        <v>167</v>
      </c>
      <c r="R41" s="527">
        <v>1</v>
      </c>
      <c r="S41" s="650">
        <f t="shared" si="10"/>
        <v>0</v>
      </c>
    </row>
    <row r="42" spans="1:19">
      <c r="A42" s="640">
        <v>28</v>
      </c>
      <c r="B42" s="458"/>
      <c r="C42" s="315"/>
      <c r="D42" s="645">
        <f>SUM(D32:D41)</f>
        <v>1094348778</v>
      </c>
      <c r="E42" s="645">
        <f>SUM(E32:E41)</f>
        <v>-329486693</v>
      </c>
      <c r="F42" s="645">
        <f>SUM(F32:F41)</f>
        <v>-27423437</v>
      </c>
      <c r="G42" s="645">
        <f>SUM(G32:G41)</f>
        <v>737438648</v>
      </c>
      <c r="H42" s="474"/>
      <c r="I42" s="443"/>
      <c r="J42" s="645">
        <f>SUM(J32:J41)</f>
        <v>21262161</v>
      </c>
      <c r="K42" s="474"/>
      <c r="L42" s="249"/>
      <c r="M42" s="645">
        <f>SUM(M32:M41)</f>
        <v>21262160.684599999</v>
      </c>
      <c r="N42" s="474"/>
      <c r="O42" s="645">
        <f>SUM(O32:O41)</f>
        <v>-0.31540000111931477</v>
      </c>
      <c r="Q42" s="498"/>
      <c r="R42" s="498"/>
      <c r="S42" s="651">
        <f>SUM(S32:S41)</f>
        <v>-0.31540000111931477</v>
      </c>
    </row>
    <row r="43" spans="1:19">
      <c r="A43" s="640"/>
      <c r="B43" s="458"/>
      <c r="C43" s="315"/>
      <c r="D43" s="474"/>
      <c r="E43" s="474"/>
      <c r="F43" s="474"/>
      <c r="G43" s="474"/>
      <c r="H43" s="474"/>
      <c r="I43" s="443"/>
      <c r="J43" s="474"/>
      <c r="K43" s="474"/>
      <c r="L43" s="249"/>
      <c r="M43" s="474"/>
      <c r="N43" s="474"/>
      <c r="O43" s="474"/>
      <c r="Q43" s="498"/>
      <c r="R43" s="498"/>
      <c r="S43" s="653"/>
    </row>
    <row r="44" spans="1:19">
      <c r="A44" s="640">
        <v>29</v>
      </c>
      <c r="B44" s="902" t="s">
        <v>177</v>
      </c>
      <c r="C44" s="902"/>
      <c r="D44" s="654">
        <f>D42+D29</f>
        <v>1291776797</v>
      </c>
      <c r="E44" s="654">
        <f>E42+E29</f>
        <v>-329486693</v>
      </c>
      <c r="F44" s="654">
        <f>F42+F29</f>
        <v>-34041525</v>
      </c>
      <c r="G44" s="654">
        <f>G42+G29</f>
        <v>928248579</v>
      </c>
      <c r="H44" s="474"/>
      <c r="I44" s="443"/>
      <c r="J44" s="654">
        <f>J42+J29</f>
        <v>27957845</v>
      </c>
      <c r="K44" s="474"/>
      <c r="L44" s="443"/>
      <c r="M44" s="654">
        <f>M42+M29</f>
        <v>29497197.325599998</v>
      </c>
      <c r="N44" s="474"/>
      <c r="O44" s="654">
        <f>O42+O29</f>
        <v>1539352.3255999992</v>
      </c>
      <c r="Q44" s="498"/>
      <c r="R44" s="498"/>
      <c r="S44" s="655">
        <f>S42+S29</f>
        <v>1539352.3255999992</v>
      </c>
    </row>
    <row r="45" spans="1:19">
      <c r="A45" s="640"/>
      <c r="B45" s="443"/>
      <c r="C45" s="443"/>
      <c r="D45" s="443"/>
      <c r="E45" s="443"/>
      <c r="F45" s="443"/>
      <c r="G45" s="443"/>
      <c r="H45" s="443"/>
      <c r="I45" s="443"/>
      <c r="J45" s="315"/>
      <c r="K45" s="315"/>
      <c r="L45" s="443"/>
      <c r="N45" s="315"/>
      <c r="O45" s="315"/>
      <c r="Q45" s="443"/>
      <c r="R45" s="443"/>
      <c r="S45" s="637"/>
    </row>
    <row r="46" spans="1:19">
      <c r="A46" s="640"/>
      <c r="B46" s="892" t="s">
        <v>178</v>
      </c>
      <c r="C46" s="892"/>
      <c r="D46" s="315"/>
      <c r="E46" s="315"/>
      <c r="F46" s="315"/>
      <c r="G46" s="315"/>
      <c r="H46" s="315"/>
      <c r="I46" s="443"/>
      <c r="J46" s="315"/>
      <c r="K46" s="315"/>
      <c r="L46" s="443"/>
      <c r="N46" s="315"/>
      <c r="O46" s="315"/>
      <c r="Q46" s="443"/>
      <c r="R46" s="443"/>
      <c r="S46" s="637"/>
    </row>
    <row r="47" spans="1:19">
      <c r="A47" s="640">
        <f>A44+1</f>
        <v>30</v>
      </c>
      <c r="B47" s="536">
        <v>35000</v>
      </c>
      <c r="C47" s="537" t="s">
        <v>166</v>
      </c>
      <c r="D47" s="524">
        <v>6071984</v>
      </c>
      <c r="E47" s="524">
        <v>0</v>
      </c>
      <c r="F47" s="524">
        <v>0</v>
      </c>
      <c r="G47" s="524">
        <f t="shared" ref="G47:G61" si="11">D47+F47+E47</f>
        <v>6071984</v>
      </c>
      <c r="H47" s="315"/>
      <c r="I47" s="526">
        <v>0</v>
      </c>
      <c r="J47" s="524">
        <f t="shared" ref="J47:J61" si="12">ROUND(G47*I47,0)</f>
        <v>0</v>
      </c>
      <c r="K47" s="315"/>
      <c r="L47" s="526">
        <v>0</v>
      </c>
      <c r="M47" s="524">
        <f t="shared" ref="M47:M61" si="13">+G47*L47</f>
        <v>0</v>
      </c>
      <c r="N47" s="315"/>
      <c r="O47" s="524">
        <f t="shared" ref="O47:O61" si="14">+M47-J47</f>
        <v>0</v>
      </c>
      <c r="Q47" s="443" t="s">
        <v>61</v>
      </c>
      <c r="R47" s="527">
        <v>1</v>
      </c>
      <c r="S47" s="648">
        <f t="shared" ref="S47:S61" si="15">R47*O47</f>
        <v>0</v>
      </c>
    </row>
    <row r="48" spans="1:19">
      <c r="A48" s="640">
        <f t="shared" si="0"/>
        <v>31</v>
      </c>
      <c r="B48" s="536">
        <v>35010</v>
      </c>
      <c r="C48" s="537" t="s">
        <v>168</v>
      </c>
      <c r="D48" s="524">
        <v>40011912</v>
      </c>
      <c r="E48" s="524">
        <v>0</v>
      </c>
      <c r="F48" s="524">
        <v>0</v>
      </c>
      <c r="G48" s="524">
        <f t="shared" si="11"/>
        <v>40011912</v>
      </c>
      <c r="H48" s="315"/>
      <c r="I48" s="526">
        <v>1.44E-2</v>
      </c>
      <c r="J48" s="524">
        <f t="shared" si="12"/>
        <v>576172</v>
      </c>
      <c r="K48" s="315"/>
      <c r="L48" s="526">
        <v>1.43E-2</v>
      </c>
      <c r="M48" s="524">
        <f t="shared" si="13"/>
        <v>572170.34160000004</v>
      </c>
      <c r="N48" s="315"/>
      <c r="O48" s="524">
        <f t="shared" si="14"/>
        <v>-4001.6583999999566</v>
      </c>
      <c r="Q48" s="443" t="s">
        <v>61</v>
      </c>
      <c r="R48" s="527">
        <v>1</v>
      </c>
      <c r="S48" s="648">
        <f t="shared" si="15"/>
        <v>-4001.6583999999566</v>
      </c>
    </row>
    <row r="49" spans="1:19">
      <c r="A49" s="640">
        <f t="shared" si="0"/>
        <v>32</v>
      </c>
      <c r="B49" s="536">
        <v>35120</v>
      </c>
      <c r="C49" s="537" t="s">
        <v>683</v>
      </c>
      <c r="D49" s="524">
        <v>1538091</v>
      </c>
      <c r="E49" s="524">
        <v>0</v>
      </c>
      <c r="F49" s="524">
        <v>0</v>
      </c>
      <c r="G49" s="524">
        <f t="shared" si="11"/>
        <v>1538091</v>
      </c>
      <c r="H49" s="315"/>
      <c r="I49" s="526">
        <v>0.2</v>
      </c>
      <c r="J49" s="524">
        <f t="shared" si="12"/>
        <v>307618</v>
      </c>
      <c r="K49" s="315"/>
      <c r="L49" s="526">
        <v>0.22939999999999999</v>
      </c>
      <c r="M49" s="524">
        <f t="shared" si="13"/>
        <v>352838.07539999997</v>
      </c>
      <c r="N49" s="315"/>
      <c r="O49" s="524">
        <f t="shared" si="14"/>
        <v>45220.075399999972</v>
      </c>
      <c r="Q49" s="443" t="s">
        <v>61</v>
      </c>
      <c r="R49" s="527">
        <v>1</v>
      </c>
      <c r="S49" s="648">
        <f t="shared" si="15"/>
        <v>45220.075399999972</v>
      </c>
    </row>
    <row r="50" spans="1:19">
      <c r="A50" s="640">
        <f t="shared" si="0"/>
        <v>33</v>
      </c>
      <c r="B50" s="536">
        <v>35130</v>
      </c>
      <c r="C50" s="537" t="s">
        <v>207</v>
      </c>
      <c r="D50" s="524">
        <v>304955</v>
      </c>
      <c r="E50" s="524">
        <v>0</v>
      </c>
      <c r="F50" s="524">
        <v>0</v>
      </c>
      <c r="G50" s="524">
        <f t="shared" si="11"/>
        <v>304955</v>
      </c>
      <c r="H50" s="315"/>
      <c r="I50" s="526">
        <v>5.6599999999999998E-2</v>
      </c>
      <c r="J50" s="524">
        <f t="shared" si="12"/>
        <v>17260</v>
      </c>
      <c r="K50" s="315"/>
      <c r="L50" s="526">
        <v>7.0199999999999999E-2</v>
      </c>
      <c r="M50" s="524">
        <f t="shared" si="13"/>
        <v>21407.841</v>
      </c>
      <c r="N50" s="315"/>
      <c r="O50" s="524">
        <f t="shared" si="14"/>
        <v>4147.8410000000003</v>
      </c>
      <c r="Q50" s="443" t="s">
        <v>61</v>
      </c>
      <c r="R50" s="527">
        <v>1</v>
      </c>
      <c r="S50" s="648">
        <f t="shared" si="15"/>
        <v>4147.8410000000003</v>
      </c>
    </row>
    <row r="51" spans="1:19">
      <c r="A51" s="640">
        <f t="shared" si="0"/>
        <v>34</v>
      </c>
      <c r="B51" s="536">
        <v>35200</v>
      </c>
      <c r="C51" s="537" t="s">
        <v>179</v>
      </c>
      <c r="D51" s="524">
        <v>30279599</v>
      </c>
      <c r="E51" s="524">
        <v>0</v>
      </c>
      <c r="F51" s="524">
        <v>0</v>
      </c>
      <c r="G51" s="524">
        <f t="shared" si="11"/>
        <v>30279599</v>
      </c>
      <c r="H51" s="315"/>
      <c r="I51" s="526">
        <v>2.0799999999999999E-2</v>
      </c>
      <c r="J51" s="524">
        <f t="shared" si="12"/>
        <v>629816</v>
      </c>
      <c r="K51" s="315"/>
      <c r="L51" s="526">
        <v>2.3300000000000001E-2</v>
      </c>
      <c r="M51" s="524">
        <f t="shared" si="13"/>
        <v>705514.65670000005</v>
      </c>
      <c r="N51" s="315"/>
      <c r="O51" s="524">
        <f t="shared" si="14"/>
        <v>75698.65670000005</v>
      </c>
      <c r="Q51" s="443" t="s">
        <v>61</v>
      </c>
      <c r="R51" s="527">
        <v>1</v>
      </c>
      <c r="S51" s="648">
        <f t="shared" si="15"/>
        <v>75698.65670000005</v>
      </c>
    </row>
    <row r="52" spans="1:19">
      <c r="A52" s="640">
        <f t="shared" si="0"/>
        <v>35</v>
      </c>
      <c r="B52" s="536">
        <v>35300</v>
      </c>
      <c r="C52" s="537" t="s">
        <v>180</v>
      </c>
      <c r="D52" s="524">
        <v>305515305</v>
      </c>
      <c r="E52" s="524">
        <v>0</v>
      </c>
      <c r="F52" s="524">
        <v>0</v>
      </c>
      <c r="G52" s="524">
        <f t="shared" si="11"/>
        <v>305515305</v>
      </c>
      <c r="H52" s="315"/>
      <c r="I52" s="526">
        <v>2.1499999999999998E-2</v>
      </c>
      <c r="J52" s="524">
        <f t="shared" si="12"/>
        <v>6568579</v>
      </c>
      <c r="K52" s="315"/>
      <c r="L52" s="526">
        <v>2.5899999999999999E-2</v>
      </c>
      <c r="M52" s="524">
        <f t="shared" si="13"/>
        <v>7912846.3994999994</v>
      </c>
      <c r="N52" s="315"/>
      <c r="O52" s="524">
        <f t="shared" si="14"/>
        <v>1344267.3994999994</v>
      </c>
      <c r="Q52" s="443" t="s">
        <v>61</v>
      </c>
      <c r="R52" s="527">
        <v>1</v>
      </c>
      <c r="S52" s="648">
        <f t="shared" si="15"/>
        <v>1344267.3994999994</v>
      </c>
    </row>
    <row r="53" spans="1:19">
      <c r="A53" s="640">
        <f t="shared" si="0"/>
        <v>36</v>
      </c>
      <c r="B53" s="536">
        <v>35316</v>
      </c>
      <c r="C53" s="537" t="s">
        <v>181</v>
      </c>
      <c r="D53" s="524">
        <v>8191172</v>
      </c>
      <c r="E53" s="524">
        <v>0</v>
      </c>
      <c r="F53" s="524">
        <v>0</v>
      </c>
      <c r="G53" s="524">
        <f t="shared" si="11"/>
        <v>8191172</v>
      </c>
      <c r="H53" s="315"/>
      <c r="I53" s="526">
        <v>2.1499999999999998E-2</v>
      </c>
      <c r="J53" s="524">
        <f t="shared" si="12"/>
        <v>176110</v>
      </c>
      <c r="K53" s="315"/>
      <c r="L53" s="526">
        <v>2.5899999999999999E-2</v>
      </c>
      <c r="M53" s="524">
        <f t="shared" si="13"/>
        <v>212151.3548</v>
      </c>
      <c r="N53" s="315"/>
      <c r="O53" s="524">
        <f t="shared" si="14"/>
        <v>36041.354800000001</v>
      </c>
      <c r="Q53" s="443" t="s">
        <v>61</v>
      </c>
      <c r="R53" s="527">
        <v>1</v>
      </c>
      <c r="S53" s="648">
        <f t="shared" si="15"/>
        <v>36041.354800000001</v>
      </c>
    </row>
    <row r="54" spans="1:19">
      <c r="A54" s="640">
        <f t="shared" si="0"/>
        <v>37</v>
      </c>
      <c r="B54" s="536">
        <v>35400</v>
      </c>
      <c r="C54" s="537" t="s">
        <v>182</v>
      </c>
      <c r="D54" s="524">
        <v>124382006</v>
      </c>
      <c r="E54" s="524">
        <v>0</v>
      </c>
      <c r="F54" s="524">
        <v>0</v>
      </c>
      <c r="G54" s="524">
        <f t="shared" si="11"/>
        <v>124382006</v>
      </c>
      <c r="H54" s="315"/>
      <c r="I54" s="526">
        <v>2.6100000000000002E-2</v>
      </c>
      <c r="J54" s="524">
        <f t="shared" si="12"/>
        <v>3246370</v>
      </c>
      <c r="K54" s="315"/>
      <c r="L54" s="526">
        <v>2.0299999999999999E-2</v>
      </c>
      <c r="M54" s="524">
        <f t="shared" si="13"/>
        <v>2524954.7217999999</v>
      </c>
      <c r="N54" s="315"/>
      <c r="O54" s="524">
        <f t="shared" si="14"/>
        <v>-721415.27820000006</v>
      </c>
      <c r="Q54" s="443" t="s">
        <v>61</v>
      </c>
      <c r="R54" s="527">
        <v>1</v>
      </c>
      <c r="S54" s="648">
        <f t="shared" si="15"/>
        <v>-721415.27820000006</v>
      </c>
    </row>
    <row r="55" spans="1:19">
      <c r="A55" s="640">
        <f t="shared" si="0"/>
        <v>38</v>
      </c>
      <c r="B55" s="536">
        <v>35500</v>
      </c>
      <c r="C55" s="537" t="s">
        <v>183</v>
      </c>
      <c r="D55" s="524">
        <v>251460951</v>
      </c>
      <c r="E55" s="524">
        <v>0</v>
      </c>
      <c r="F55" s="524">
        <v>0</v>
      </c>
      <c r="G55" s="524">
        <f t="shared" si="11"/>
        <v>251460951</v>
      </c>
      <c r="H55" s="315"/>
      <c r="I55" s="526">
        <v>3.95E-2</v>
      </c>
      <c r="J55" s="524">
        <f t="shared" si="12"/>
        <v>9932708</v>
      </c>
      <c r="K55" s="315"/>
      <c r="L55" s="526">
        <v>3.0499999999999999E-2</v>
      </c>
      <c r="M55" s="524">
        <f t="shared" si="13"/>
        <v>7669559.0055</v>
      </c>
      <c r="N55" s="315"/>
      <c r="O55" s="524">
        <f t="shared" si="14"/>
        <v>-2263148.9945</v>
      </c>
      <c r="Q55" s="443" t="s">
        <v>61</v>
      </c>
      <c r="R55" s="527">
        <v>1</v>
      </c>
      <c r="S55" s="648">
        <f t="shared" si="15"/>
        <v>-2263148.9945</v>
      </c>
    </row>
    <row r="56" spans="1:19">
      <c r="A56" s="640">
        <f t="shared" si="0"/>
        <v>39</v>
      </c>
      <c r="B56" s="536">
        <v>35600</v>
      </c>
      <c r="C56" s="537" t="s">
        <v>184</v>
      </c>
      <c r="D56" s="524">
        <v>179249661</v>
      </c>
      <c r="E56" s="524">
        <v>0</v>
      </c>
      <c r="F56" s="524">
        <v>0</v>
      </c>
      <c r="G56" s="524">
        <f t="shared" si="11"/>
        <v>179249661</v>
      </c>
      <c r="H56" s="315"/>
      <c r="I56" s="526">
        <v>2.9100000000000001E-2</v>
      </c>
      <c r="J56" s="524">
        <f t="shared" si="12"/>
        <v>5216165</v>
      </c>
      <c r="K56" s="315"/>
      <c r="L56" s="526">
        <v>1.9300000000000001E-2</v>
      </c>
      <c r="M56" s="524">
        <f t="shared" si="13"/>
        <v>3459518.4573000004</v>
      </c>
      <c r="N56" s="315"/>
      <c r="O56" s="524">
        <f t="shared" si="14"/>
        <v>-1756646.5426999996</v>
      </c>
      <c r="Q56" s="443" t="s">
        <v>61</v>
      </c>
      <c r="R56" s="527">
        <v>1</v>
      </c>
      <c r="S56" s="648">
        <f t="shared" si="15"/>
        <v>-1756646.5426999996</v>
      </c>
    </row>
    <row r="57" spans="1:19">
      <c r="A57" s="640">
        <f t="shared" si="0"/>
        <v>40</v>
      </c>
      <c r="B57" s="536">
        <v>35610</v>
      </c>
      <c r="C57" s="537" t="s">
        <v>185</v>
      </c>
      <c r="D57" s="524">
        <v>0</v>
      </c>
      <c r="E57" s="524">
        <v>0</v>
      </c>
      <c r="F57" s="524">
        <v>0</v>
      </c>
      <c r="G57" s="524">
        <f t="shared" si="11"/>
        <v>0</v>
      </c>
      <c r="H57" s="315"/>
      <c r="I57" s="526">
        <v>2.9100000000000001E-2</v>
      </c>
      <c r="J57" s="524">
        <f t="shared" si="12"/>
        <v>0</v>
      </c>
      <c r="K57" s="315"/>
      <c r="L57" s="526">
        <v>1.9300000000000001E-2</v>
      </c>
      <c r="M57" s="524">
        <f t="shared" si="13"/>
        <v>0</v>
      </c>
      <c r="N57" s="315"/>
      <c r="O57" s="524">
        <f t="shared" si="14"/>
        <v>0</v>
      </c>
      <c r="Q57" s="443" t="s">
        <v>61</v>
      </c>
      <c r="R57" s="527">
        <v>1</v>
      </c>
      <c r="S57" s="648">
        <f t="shared" si="15"/>
        <v>0</v>
      </c>
    </row>
    <row r="58" spans="1:19">
      <c r="A58" s="640">
        <f t="shared" si="0"/>
        <v>41</v>
      </c>
      <c r="B58" s="536">
        <v>35616</v>
      </c>
      <c r="C58" s="537" t="s">
        <v>186</v>
      </c>
      <c r="D58" s="524">
        <v>9486654</v>
      </c>
      <c r="E58" s="524">
        <v>0</v>
      </c>
      <c r="F58" s="524">
        <v>0</v>
      </c>
      <c r="G58" s="524">
        <f t="shared" si="11"/>
        <v>9486654</v>
      </c>
      <c r="H58" s="315"/>
      <c r="I58" s="526">
        <v>2.9100000000000001E-2</v>
      </c>
      <c r="J58" s="524">
        <f t="shared" si="12"/>
        <v>276062</v>
      </c>
      <c r="K58" s="315"/>
      <c r="L58" s="526">
        <v>1.9300000000000001E-2</v>
      </c>
      <c r="M58" s="524">
        <f t="shared" si="13"/>
        <v>183092.4222</v>
      </c>
      <c r="N58" s="315"/>
      <c r="O58" s="524">
        <f t="shared" si="14"/>
        <v>-92969.577799999999</v>
      </c>
      <c r="Q58" s="443" t="s">
        <v>61</v>
      </c>
      <c r="R58" s="527">
        <v>1</v>
      </c>
      <c r="S58" s="648">
        <f t="shared" si="15"/>
        <v>-92969.577799999999</v>
      </c>
    </row>
    <row r="59" spans="1:19">
      <c r="A59" s="640">
        <f t="shared" si="0"/>
        <v>42</v>
      </c>
      <c r="B59" s="536">
        <v>35700</v>
      </c>
      <c r="C59" s="537" t="s">
        <v>187</v>
      </c>
      <c r="D59" s="524">
        <v>6283394</v>
      </c>
      <c r="E59" s="524">
        <v>0</v>
      </c>
      <c r="F59" s="524">
        <v>0</v>
      </c>
      <c r="G59" s="524">
        <f t="shared" si="11"/>
        <v>6283394</v>
      </c>
      <c r="H59" s="315"/>
      <c r="I59" s="526">
        <v>2.9899999999999999E-2</v>
      </c>
      <c r="J59" s="524">
        <f t="shared" si="12"/>
        <v>187873</v>
      </c>
      <c r="K59" s="315"/>
      <c r="L59" s="526">
        <v>2.1999999999999999E-2</v>
      </c>
      <c r="M59" s="524">
        <f t="shared" si="13"/>
        <v>138234.66800000001</v>
      </c>
      <c r="N59" s="315"/>
      <c r="O59" s="524">
        <f t="shared" si="14"/>
        <v>-49638.331999999995</v>
      </c>
      <c r="Q59" s="443" t="s">
        <v>61</v>
      </c>
      <c r="R59" s="527">
        <v>1</v>
      </c>
      <c r="S59" s="648">
        <f t="shared" si="15"/>
        <v>-49638.331999999995</v>
      </c>
    </row>
    <row r="60" spans="1:19">
      <c r="A60" s="640">
        <f t="shared" si="0"/>
        <v>43</v>
      </c>
      <c r="B60" s="536">
        <v>35800</v>
      </c>
      <c r="C60" s="537" t="s">
        <v>188</v>
      </c>
      <c r="D60" s="524">
        <v>106066</v>
      </c>
      <c r="E60" s="524">
        <v>0</v>
      </c>
      <c r="F60" s="524">
        <v>0</v>
      </c>
      <c r="G60" s="524">
        <f t="shared" si="11"/>
        <v>106066</v>
      </c>
      <c r="H60" s="315"/>
      <c r="I60" s="526">
        <v>2.6200000000000001E-2</v>
      </c>
      <c r="J60" s="524">
        <f t="shared" si="12"/>
        <v>2779</v>
      </c>
      <c r="K60" s="315"/>
      <c r="L60" s="526">
        <v>2.3099999999999999E-2</v>
      </c>
      <c r="M60" s="524">
        <f t="shared" si="13"/>
        <v>2450.1246000000001</v>
      </c>
      <c r="N60" s="315"/>
      <c r="O60" s="524">
        <f t="shared" si="14"/>
        <v>-328.8753999999999</v>
      </c>
      <c r="Q60" s="443" t="s">
        <v>61</v>
      </c>
      <c r="R60" s="527">
        <v>1</v>
      </c>
      <c r="S60" s="648">
        <f t="shared" si="15"/>
        <v>-328.8753999999999</v>
      </c>
    </row>
    <row r="61" spans="1:19">
      <c r="A61" s="640">
        <f t="shared" si="0"/>
        <v>44</v>
      </c>
      <c r="B61" s="536">
        <v>35816</v>
      </c>
      <c r="C61" s="537" t="s">
        <v>189</v>
      </c>
      <c r="D61" s="529">
        <v>507892</v>
      </c>
      <c r="E61" s="529">
        <v>0</v>
      </c>
      <c r="F61" s="529">
        <v>0</v>
      </c>
      <c r="G61" s="529">
        <f t="shared" si="11"/>
        <v>507892</v>
      </c>
      <c r="H61" s="315"/>
      <c r="I61" s="526">
        <v>2.6200000000000001E-2</v>
      </c>
      <c r="J61" s="529">
        <f t="shared" si="12"/>
        <v>13307</v>
      </c>
      <c r="K61" s="649"/>
      <c r="L61" s="526">
        <v>2.3099999999999999E-2</v>
      </c>
      <c r="M61" s="529">
        <f t="shared" si="13"/>
        <v>11732.305199999999</v>
      </c>
      <c r="N61" s="649"/>
      <c r="O61" s="529">
        <f t="shared" si="14"/>
        <v>-1574.6948000000011</v>
      </c>
      <c r="Q61" s="443" t="s">
        <v>61</v>
      </c>
      <c r="R61" s="527">
        <v>1</v>
      </c>
      <c r="S61" s="650">
        <f t="shared" si="15"/>
        <v>-1574.6948000000011</v>
      </c>
    </row>
    <row r="62" spans="1:19">
      <c r="A62" s="640">
        <f t="shared" si="0"/>
        <v>45</v>
      </c>
      <c r="B62" s="902" t="s">
        <v>190</v>
      </c>
      <c r="C62" s="902"/>
      <c r="D62" s="656">
        <f>SUM(D47:D61)</f>
        <v>963389642</v>
      </c>
      <c r="E62" s="645">
        <f>SUM(E47:E61)</f>
        <v>0</v>
      </c>
      <c r="F62" s="645">
        <f>SUM(F47:F61)</f>
        <v>0</v>
      </c>
      <c r="G62" s="645">
        <f>SUM(G47:G61)</f>
        <v>963389642</v>
      </c>
      <c r="H62" s="474"/>
      <c r="I62" s="443"/>
      <c r="J62" s="645">
        <f>SUM(J47:J61)</f>
        <v>27150819</v>
      </c>
      <c r="K62" s="474"/>
      <c r="L62" s="443"/>
      <c r="M62" s="645">
        <f>SUM(M47:M61)</f>
        <v>23766470.373600002</v>
      </c>
      <c r="N62" s="474"/>
      <c r="O62" s="645">
        <f>SUM(O47:O61)</f>
        <v>-3384348.6264</v>
      </c>
      <c r="Q62" s="498"/>
      <c r="R62" s="498"/>
      <c r="S62" s="651">
        <f>SUM(S47:S61)</f>
        <v>-3384348.6264</v>
      </c>
    </row>
    <row r="63" spans="1:19">
      <c r="A63" s="640"/>
      <c r="B63" s="443"/>
      <c r="C63" s="443"/>
      <c r="D63" s="443"/>
      <c r="E63" s="443"/>
      <c r="F63" s="443"/>
      <c r="G63" s="443"/>
      <c r="H63" s="443"/>
      <c r="I63" s="443"/>
      <c r="J63" s="315"/>
      <c r="K63" s="315"/>
      <c r="L63" s="443"/>
      <c r="N63" s="315"/>
      <c r="O63" s="315"/>
      <c r="Q63" s="443"/>
      <c r="R63" s="443"/>
      <c r="S63" s="637"/>
    </row>
    <row r="64" spans="1:19">
      <c r="A64" s="640"/>
      <c r="B64" s="892" t="s">
        <v>191</v>
      </c>
      <c r="C64" s="892"/>
      <c r="D64" s="315"/>
      <c r="E64" s="315"/>
      <c r="F64" s="315"/>
      <c r="G64" s="315"/>
      <c r="H64" s="315"/>
      <c r="I64" s="443"/>
      <c r="J64" s="315"/>
      <c r="K64" s="315"/>
      <c r="L64" s="443"/>
      <c r="N64" s="315"/>
      <c r="O64" s="315"/>
      <c r="Q64" s="443"/>
      <c r="R64" s="443"/>
      <c r="S64" s="637"/>
    </row>
    <row r="65" spans="1:19">
      <c r="A65" s="640">
        <v>46</v>
      </c>
      <c r="B65" s="536">
        <v>36000</v>
      </c>
      <c r="C65" s="537" t="s">
        <v>166</v>
      </c>
      <c r="D65" s="524">
        <v>5657797</v>
      </c>
      <c r="E65" s="524">
        <v>0</v>
      </c>
      <c r="F65" s="524">
        <v>0</v>
      </c>
      <c r="G65" s="524">
        <f t="shared" ref="G65:G81" si="16">D65+F65+E65</f>
        <v>5657797</v>
      </c>
      <c r="H65" s="315"/>
      <c r="I65" s="526">
        <v>0</v>
      </c>
      <c r="J65" s="524">
        <f t="shared" ref="J65:J81" si="17">ROUND(G65*I65,0)</f>
        <v>0</v>
      </c>
      <c r="K65" s="315"/>
      <c r="L65" s="526">
        <v>0</v>
      </c>
      <c r="M65" s="524">
        <f t="shared" ref="M65:M81" si="18">+G65*L65</f>
        <v>0</v>
      </c>
      <c r="N65" s="315"/>
      <c r="O65" s="524">
        <f t="shared" ref="O65:O81" si="19">+M65-J65</f>
        <v>0</v>
      </c>
      <c r="Q65" s="443" t="s">
        <v>62</v>
      </c>
      <c r="R65" s="527">
        <v>1</v>
      </c>
      <c r="S65" s="648">
        <f t="shared" ref="S65:S81" si="20">R65*O65</f>
        <v>0</v>
      </c>
    </row>
    <row r="66" spans="1:19">
      <c r="A66" s="640">
        <f t="shared" si="0"/>
        <v>47</v>
      </c>
      <c r="B66" s="536">
        <v>36010</v>
      </c>
      <c r="C66" s="537" t="s">
        <v>168</v>
      </c>
      <c r="D66" s="524">
        <v>6528051</v>
      </c>
      <c r="E66" s="524">
        <v>0</v>
      </c>
      <c r="F66" s="524">
        <v>0</v>
      </c>
      <c r="G66" s="524">
        <f t="shared" si="16"/>
        <v>6528051</v>
      </c>
      <c r="H66" s="315"/>
      <c r="I66" s="526">
        <v>3.5200000000000002E-2</v>
      </c>
      <c r="J66" s="524">
        <f t="shared" si="17"/>
        <v>229787</v>
      </c>
      <c r="K66" s="315"/>
      <c r="L66" s="526">
        <v>8.2000000000000007E-3</v>
      </c>
      <c r="M66" s="524">
        <f t="shared" si="18"/>
        <v>53530.018200000006</v>
      </c>
      <c r="N66" s="315"/>
      <c r="O66" s="524">
        <f t="shared" si="19"/>
        <v>-176256.98180000001</v>
      </c>
      <c r="Q66" s="443" t="s">
        <v>62</v>
      </c>
      <c r="R66" s="527">
        <v>1</v>
      </c>
      <c r="S66" s="648">
        <f t="shared" si="20"/>
        <v>-176256.98180000001</v>
      </c>
    </row>
    <row r="67" spans="1:19">
      <c r="A67" s="640">
        <f t="shared" si="0"/>
        <v>48</v>
      </c>
      <c r="B67" s="536">
        <v>36100</v>
      </c>
      <c r="C67" s="537" t="s">
        <v>179</v>
      </c>
      <c r="D67" s="524">
        <v>19927486</v>
      </c>
      <c r="E67" s="524">
        <v>0</v>
      </c>
      <c r="F67" s="524">
        <v>0</v>
      </c>
      <c r="G67" s="524">
        <f t="shared" si="16"/>
        <v>19927486</v>
      </c>
      <c r="H67" s="315"/>
      <c r="I67" s="526">
        <v>3.5200000000000002E-2</v>
      </c>
      <c r="J67" s="524">
        <f t="shared" si="17"/>
        <v>701448</v>
      </c>
      <c r="K67" s="315"/>
      <c r="L67" s="526">
        <v>1.7399999999999999E-2</v>
      </c>
      <c r="M67" s="524">
        <f t="shared" si="18"/>
        <v>346738.25639999995</v>
      </c>
      <c r="N67" s="315"/>
      <c r="O67" s="524">
        <f t="shared" si="19"/>
        <v>-354709.74360000005</v>
      </c>
      <c r="Q67" s="443" t="s">
        <v>62</v>
      </c>
      <c r="R67" s="527">
        <v>1</v>
      </c>
      <c r="S67" s="648">
        <f t="shared" si="20"/>
        <v>-354709.74360000005</v>
      </c>
    </row>
    <row r="68" spans="1:19">
      <c r="A68" s="640">
        <f t="shared" si="0"/>
        <v>49</v>
      </c>
      <c r="B68" s="536">
        <v>36200</v>
      </c>
      <c r="C68" s="537" t="s">
        <v>180</v>
      </c>
      <c r="D68" s="524">
        <v>166443759</v>
      </c>
      <c r="E68" s="524">
        <v>0</v>
      </c>
      <c r="F68" s="524">
        <v>0</v>
      </c>
      <c r="G68" s="524">
        <f t="shared" si="16"/>
        <v>166443759</v>
      </c>
      <c r="H68" s="315"/>
      <c r="I68" s="526">
        <v>3.5200000000000002E-2</v>
      </c>
      <c r="J68" s="524">
        <f t="shared" si="17"/>
        <v>5858820</v>
      </c>
      <c r="K68" s="315"/>
      <c r="L68" s="526">
        <v>3.04E-2</v>
      </c>
      <c r="M68" s="524">
        <f t="shared" si="18"/>
        <v>5059890.2736</v>
      </c>
      <c r="N68" s="315"/>
      <c r="O68" s="524">
        <f t="shared" si="19"/>
        <v>-798929.72640000004</v>
      </c>
      <c r="Q68" s="443" t="s">
        <v>62</v>
      </c>
      <c r="R68" s="527">
        <v>1</v>
      </c>
      <c r="S68" s="648">
        <f t="shared" si="20"/>
        <v>-798929.72640000004</v>
      </c>
    </row>
    <row r="69" spans="1:19">
      <c r="A69" s="640">
        <f t="shared" si="0"/>
        <v>50</v>
      </c>
      <c r="B69" s="536">
        <v>36216</v>
      </c>
      <c r="C69" s="537" t="s">
        <v>181</v>
      </c>
      <c r="D69" s="524">
        <v>5204420</v>
      </c>
      <c r="E69" s="524">
        <v>0</v>
      </c>
      <c r="F69" s="524">
        <v>0</v>
      </c>
      <c r="G69" s="524">
        <f t="shared" si="16"/>
        <v>5204420</v>
      </c>
      <c r="H69" s="315"/>
      <c r="I69" s="526">
        <v>3.5200000000000002E-2</v>
      </c>
      <c r="J69" s="524">
        <f t="shared" si="17"/>
        <v>183196</v>
      </c>
      <c r="K69" s="315"/>
      <c r="L69" s="526">
        <v>3.04E-2</v>
      </c>
      <c r="M69" s="524">
        <f t="shared" si="18"/>
        <v>158214.36799999999</v>
      </c>
      <c r="N69" s="315"/>
      <c r="O69" s="524">
        <f t="shared" si="19"/>
        <v>-24981.632000000012</v>
      </c>
      <c r="Q69" s="443" t="s">
        <v>62</v>
      </c>
      <c r="R69" s="527">
        <v>1</v>
      </c>
      <c r="S69" s="648">
        <f t="shared" si="20"/>
        <v>-24981.632000000012</v>
      </c>
    </row>
    <row r="70" spans="1:19">
      <c r="A70" s="640">
        <f t="shared" si="0"/>
        <v>51</v>
      </c>
      <c r="B70" s="536">
        <v>36320</v>
      </c>
      <c r="C70" s="537" t="s">
        <v>683</v>
      </c>
      <c r="D70" s="524">
        <v>315606</v>
      </c>
      <c r="E70" s="524">
        <v>0</v>
      </c>
      <c r="F70" s="524">
        <v>0</v>
      </c>
      <c r="G70" s="524">
        <f t="shared" si="16"/>
        <v>315606</v>
      </c>
      <c r="H70" s="315"/>
      <c r="I70" s="526">
        <v>0.2</v>
      </c>
      <c r="J70" s="524">
        <f t="shared" si="17"/>
        <v>63121</v>
      </c>
      <c r="K70" s="315"/>
      <c r="L70" s="526">
        <v>0.2016</v>
      </c>
      <c r="M70" s="524">
        <f t="shared" si="18"/>
        <v>63626.169600000001</v>
      </c>
      <c r="N70" s="315"/>
      <c r="O70" s="524">
        <f t="shared" si="19"/>
        <v>505.16960000000108</v>
      </c>
      <c r="Q70" s="443" t="s">
        <v>62</v>
      </c>
      <c r="R70" s="527">
        <v>1</v>
      </c>
      <c r="S70" s="648">
        <f t="shared" si="20"/>
        <v>505.16960000000108</v>
      </c>
    </row>
    <row r="71" spans="1:19">
      <c r="A71" s="640">
        <f t="shared" si="0"/>
        <v>52</v>
      </c>
      <c r="B71" s="536">
        <v>36330</v>
      </c>
      <c r="C71" s="537" t="s">
        <v>207</v>
      </c>
      <c r="D71" s="524">
        <v>1265573</v>
      </c>
      <c r="E71" s="524">
        <v>0</v>
      </c>
      <c r="F71" s="524">
        <v>0</v>
      </c>
      <c r="G71" s="524">
        <f t="shared" si="16"/>
        <v>1265573</v>
      </c>
      <c r="H71" s="315"/>
      <c r="I71" s="526">
        <v>5.6599999999999998E-2</v>
      </c>
      <c r="J71" s="524">
        <f t="shared" si="17"/>
        <v>71631</v>
      </c>
      <c r="K71" s="315"/>
      <c r="L71" s="526">
        <v>6.7400000000000002E-2</v>
      </c>
      <c r="M71" s="524">
        <f t="shared" si="18"/>
        <v>85299.620200000005</v>
      </c>
      <c r="N71" s="315"/>
      <c r="O71" s="524">
        <f t="shared" si="19"/>
        <v>13668.620200000005</v>
      </c>
      <c r="Q71" s="443" t="s">
        <v>62</v>
      </c>
      <c r="R71" s="527">
        <v>1</v>
      </c>
      <c r="S71" s="648">
        <f t="shared" si="20"/>
        <v>13668.620200000005</v>
      </c>
    </row>
    <row r="72" spans="1:19">
      <c r="A72" s="640">
        <f t="shared" ref="A72:A104" si="21">A71+1</f>
        <v>53</v>
      </c>
      <c r="B72" s="536">
        <v>36336</v>
      </c>
      <c r="C72" s="537" t="s">
        <v>684</v>
      </c>
      <c r="D72" s="524">
        <v>1630187</v>
      </c>
      <c r="E72" s="524">
        <v>0</v>
      </c>
      <c r="F72" s="524">
        <v>0</v>
      </c>
      <c r="G72" s="524">
        <f t="shared" si="16"/>
        <v>1630187</v>
      </c>
      <c r="H72" s="315"/>
      <c r="I72" s="526">
        <v>5.6599999999999998E-2</v>
      </c>
      <c r="J72" s="524">
        <f t="shared" si="17"/>
        <v>92269</v>
      </c>
      <c r="K72" s="315"/>
      <c r="L72" s="526">
        <v>0.10630000000000001</v>
      </c>
      <c r="M72" s="524">
        <f t="shared" si="18"/>
        <v>173288.8781</v>
      </c>
      <c r="N72" s="315"/>
      <c r="O72" s="524">
        <f t="shared" si="19"/>
        <v>81019.878100000002</v>
      </c>
      <c r="Q72" s="443" t="s">
        <v>62</v>
      </c>
      <c r="R72" s="527">
        <v>1</v>
      </c>
      <c r="S72" s="648">
        <f t="shared" si="20"/>
        <v>81019.878100000002</v>
      </c>
    </row>
    <row r="73" spans="1:19">
      <c r="A73" s="640">
        <f t="shared" si="21"/>
        <v>54</v>
      </c>
      <c r="B73" s="536">
        <v>36400</v>
      </c>
      <c r="C73" s="537" t="s">
        <v>192</v>
      </c>
      <c r="D73" s="524">
        <v>334592649</v>
      </c>
      <c r="E73" s="524">
        <v>0</v>
      </c>
      <c r="F73" s="524">
        <v>0</v>
      </c>
      <c r="G73" s="524">
        <f t="shared" si="16"/>
        <v>334592649</v>
      </c>
      <c r="H73" s="315"/>
      <c r="I73" s="526">
        <v>3.5200000000000002E-2</v>
      </c>
      <c r="J73" s="524">
        <f t="shared" si="17"/>
        <v>11777661</v>
      </c>
      <c r="K73" s="315"/>
      <c r="L73" s="526">
        <v>3.2000000000000001E-2</v>
      </c>
      <c r="M73" s="524">
        <f t="shared" si="18"/>
        <v>10706964.768000001</v>
      </c>
      <c r="N73" s="315"/>
      <c r="O73" s="524">
        <f t="shared" si="19"/>
        <v>-1070696.2319999989</v>
      </c>
      <c r="Q73" s="443" t="s">
        <v>62</v>
      </c>
      <c r="R73" s="527">
        <v>1</v>
      </c>
      <c r="S73" s="648">
        <f t="shared" si="20"/>
        <v>-1070696.2319999989</v>
      </c>
    </row>
    <row r="74" spans="1:19">
      <c r="A74" s="640">
        <f t="shared" si="21"/>
        <v>55</v>
      </c>
      <c r="B74" s="536">
        <v>36500</v>
      </c>
      <c r="C74" s="537" t="s">
        <v>184</v>
      </c>
      <c r="D74" s="524">
        <v>350619861</v>
      </c>
      <c r="E74" s="524">
        <v>0</v>
      </c>
      <c r="F74" s="524">
        <v>0</v>
      </c>
      <c r="G74" s="524">
        <f t="shared" si="16"/>
        <v>350619861</v>
      </c>
      <c r="H74" s="315"/>
      <c r="I74" s="526">
        <v>3.5200000000000002E-2</v>
      </c>
      <c r="J74" s="524">
        <f t="shared" si="17"/>
        <v>12341819</v>
      </c>
      <c r="K74" s="315"/>
      <c r="L74" s="526">
        <v>3.2500000000000001E-2</v>
      </c>
      <c r="M74" s="524">
        <f t="shared" si="18"/>
        <v>11395145.4825</v>
      </c>
      <c r="N74" s="315"/>
      <c r="O74" s="524">
        <f t="shared" si="19"/>
        <v>-946673.51750000007</v>
      </c>
      <c r="Q74" s="443" t="s">
        <v>62</v>
      </c>
      <c r="R74" s="527">
        <v>1</v>
      </c>
      <c r="S74" s="648">
        <f t="shared" si="20"/>
        <v>-946673.51750000007</v>
      </c>
    </row>
    <row r="75" spans="1:19">
      <c r="A75" s="640">
        <f t="shared" si="21"/>
        <v>56</v>
      </c>
      <c r="B75" s="536">
        <v>36600</v>
      </c>
      <c r="C75" s="537" t="s">
        <v>187</v>
      </c>
      <c r="D75" s="524">
        <v>10274471</v>
      </c>
      <c r="E75" s="524">
        <v>0</v>
      </c>
      <c r="F75" s="524">
        <v>0</v>
      </c>
      <c r="G75" s="524">
        <f t="shared" si="16"/>
        <v>10274471</v>
      </c>
      <c r="H75" s="315"/>
      <c r="I75" s="526">
        <v>3.5200000000000002E-2</v>
      </c>
      <c r="J75" s="524">
        <f t="shared" si="17"/>
        <v>361661</v>
      </c>
      <c r="K75" s="315"/>
      <c r="L75" s="526">
        <v>1.7600000000000001E-2</v>
      </c>
      <c r="M75" s="524">
        <f t="shared" si="18"/>
        <v>180830.68960000001</v>
      </c>
      <c r="N75" s="315"/>
      <c r="O75" s="524">
        <f t="shared" si="19"/>
        <v>-180830.31039999999</v>
      </c>
      <c r="Q75" s="443" t="s">
        <v>62</v>
      </c>
      <c r="R75" s="527">
        <v>1</v>
      </c>
      <c r="S75" s="648">
        <f t="shared" si="20"/>
        <v>-180830.31039999999</v>
      </c>
    </row>
    <row r="76" spans="1:19">
      <c r="A76" s="640">
        <f t="shared" si="21"/>
        <v>57</v>
      </c>
      <c r="B76" s="536">
        <v>36700</v>
      </c>
      <c r="C76" s="537" t="s">
        <v>193</v>
      </c>
      <c r="D76" s="524">
        <v>13466387</v>
      </c>
      <c r="E76" s="524">
        <v>0</v>
      </c>
      <c r="F76" s="524">
        <v>0</v>
      </c>
      <c r="G76" s="524">
        <f t="shared" si="16"/>
        <v>13466387</v>
      </c>
      <c r="H76" s="315"/>
      <c r="I76" s="526">
        <v>3.5200000000000002E-2</v>
      </c>
      <c r="J76" s="524">
        <f t="shared" si="17"/>
        <v>474017</v>
      </c>
      <c r="K76" s="315"/>
      <c r="L76" s="526">
        <v>2.1299999999999999E-2</v>
      </c>
      <c r="M76" s="524">
        <f t="shared" si="18"/>
        <v>286834.04310000001</v>
      </c>
      <c r="N76" s="315"/>
      <c r="O76" s="524">
        <f t="shared" si="19"/>
        <v>-187182.95689999999</v>
      </c>
      <c r="Q76" s="443" t="s">
        <v>62</v>
      </c>
      <c r="R76" s="527">
        <v>1</v>
      </c>
      <c r="S76" s="648">
        <f t="shared" si="20"/>
        <v>-187182.95689999999</v>
      </c>
    </row>
    <row r="77" spans="1:19">
      <c r="A77" s="640">
        <f t="shared" si="21"/>
        <v>58</v>
      </c>
      <c r="B77" s="536">
        <v>36800</v>
      </c>
      <c r="C77" s="537" t="s">
        <v>194</v>
      </c>
      <c r="D77" s="524">
        <v>175015724</v>
      </c>
      <c r="E77" s="524">
        <v>0</v>
      </c>
      <c r="F77" s="524">
        <v>0</v>
      </c>
      <c r="G77" s="524">
        <f t="shared" si="16"/>
        <v>175015724</v>
      </c>
      <c r="H77" s="315"/>
      <c r="I77" s="526">
        <v>3.5200000000000002E-2</v>
      </c>
      <c r="J77" s="524">
        <f t="shared" si="17"/>
        <v>6160553</v>
      </c>
      <c r="K77" s="315"/>
      <c r="L77" s="526">
        <v>4.19E-2</v>
      </c>
      <c r="M77" s="524">
        <f t="shared" si="18"/>
        <v>7333158.8355999999</v>
      </c>
      <c r="N77" s="315"/>
      <c r="O77" s="524">
        <f t="shared" si="19"/>
        <v>1172605.8355999999</v>
      </c>
      <c r="Q77" s="443" t="s">
        <v>62</v>
      </c>
      <c r="R77" s="527">
        <v>1</v>
      </c>
      <c r="S77" s="648">
        <f t="shared" si="20"/>
        <v>1172605.8355999999</v>
      </c>
    </row>
    <row r="78" spans="1:19">
      <c r="A78" s="640">
        <f t="shared" si="21"/>
        <v>59</v>
      </c>
      <c r="B78" s="536">
        <v>36900</v>
      </c>
      <c r="C78" s="537" t="s">
        <v>195</v>
      </c>
      <c r="D78" s="524">
        <v>80135686</v>
      </c>
      <c r="E78" s="524">
        <v>0</v>
      </c>
      <c r="F78" s="524">
        <v>0</v>
      </c>
      <c r="G78" s="524">
        <f t="shared" si="16"/>
        <v>80135686</v>
      </c>
      <c r="H78" s="315"/>
      <c r="I78" s="526">
        <v>3.5200000000000002E-2</v>
      </c>
      <c r="J78" s="524">
        <f t="shared" si="17"/>
        <v>2820776</v>
      </c>
      <c r="K78" s="315"/>
      <c r="L78" s="526">
        <v>4.9700000000000001E-2</v>
      </c>
      <c r="M78" s="524">
        <f t="shared" si="18"/>
        <v>3982743.5942000002</v>
      </c>
      <c r="N78" s="315"/>
      <c r="O78" s="524">
        <f t="shared" si="19"/>
        <v>1161967.5942000002</v>
      </c>
      <c r="Q78" s="443" t="s">
        <v>62</v>
      </c>
      <c r="R78" s="527">
        <v>1</v>
      </c>
      <c r="S78" s="648">
        <f t="shared" si="20"/>
        <v>1161967.5942000002</v>
      </c>
    </row>
    <row r="79" spans="1:19">
      <c r="A79" s="640">
        <f t="shared" si="21"/>
        <v>60</v>
      </c>
      <c r="B79" s="536">
        <v>37000</v>
      </c>
      <c r="C79" s="537" t="s">
        <v>196</v>
      </c>
      <c r="D79" s="524">
        <v>25666287</v>
      </c>
      <c r="E79" s="524">
        <v>0</v>
      </c>
      <c r="F79" s="524">
        <v>0</v>
      </c>
      <c r="G79" s="524">
        <f t="shared" si="16"/>
        <v>25666287</v>
      </c>
      <c r="H79" s="315"/>
      <c r="I79" s="526">
        <v>3.5200000000000002E-2</v>
      </c>
      <c r="J79" s="524">
        <f t="shared" si="17"/>
        <v>903453</v>
      </c>
      <c r="K79" s="315"/>
      <c r="L79" s="526">
        <v>0.13780000000000001</v>
      </c>
      <c r="M79" s="524">
        <f t="shared" si="18"/>
        <v>3536814.3486000001</v>
      </c>
      <c r="N79" s="315"/>
      <c r="O79" s="524">
        <f t="shared" si="19"/>
        <v>2633361.3486000001</v>
      </c>
      <c r="Q79" s="443" t="s">
        <v>62</v>
      </c>
      <c r="R79" s="527">
        <v>1</v>
      </c>
      <c r="S79" s="648">
        <f t="shared" si="20"/>
        <v>2633361.3486000001</v>
      </c>
    </row>
    <row r="80" spans="1:19">
      <c r="A80" s="640">
        <f t="shared" si="21"/>
        <v>61</v>
      </c>
      <c r="B80" s="536">
        <v>37100</v>
      </c>
      <c r="C80" s="537" t="s">
        <v>197</v>
      </c>
      <c r="D80" s="524">
        <v>20930435</v>
      </c>
      <c r="E80" s="524">
        <v>0</v>
      </c>
      <c r="F80" s="524">
        <v>0</v>
      </c>
      <c r="G80" s="524">
        <f t="shared" si="16"/>
        <v>20930435</v>
      </c>
      <c r="H80" s="315"/>
      <c r="I80" s="526">
        <v>3.5200000000000002E-2</v>
      </c>
      <c r="J80" s="524">
        <f t="shared" si="17"/>
        <v>736751</v>
      </c>
      <c r="K80" s="315"/>
      <c r="L80" s="526">
        <v>0.1052</v>
      </c>
      <c r="M80" s="524">
        <f t="shared" si="18"/>
        <v>2201881.7620000001</v>
      </c>
      <c r="N80" s="315"/>
      <c r="O80" s="524">
        <f t="shared" si="19"/>
        <v>1465130.7620000001</v>
      </c>
      <c r="Q80" s="443" t="s">
        <v>62</v>
      </c>
      <c r="R80" s="527">
        <v>1</v>
      </c>
      <c r="S80" s="648">
        <f t="shared" si="20"/>
        <v>1465130.7620000001</v>
      </c>
    </row>
    <row r="81" spans="1:19">
      <c r="A81" s="640">
        <f t="shared" si="21"/>
        <v>62</v>
      </c>
      <c r="B81" s="536">
        <v>37300</v>
      </c>
      <c r="C81" s="537" t="s">
        <v>198</v>
      </c>
      <c r="D81" s="529">
        <v>5722632</v>
      </c>
      <c r="E81" s="529">
        <v>0</v>
      </c>
      <c r="F81" s="529">
        <v>0</v>
      </c>
      <c r="G81" s="529">
        <f t="shared" si="16"/>
        <v>5722632</v>
      </c>
      <c r="H81" s="315"/>
      <c r="I81" s="526">
        <v>3.5200000000000002E-2</v>
      </c>
      <c r="J81" s="529">
        <f t="shared" si="17"/>
        <v>201437</v>
      </c>
      <c r="K81" s="649"/>
      <c r="L81" s="526">
        <v>5.0700000000000002E-2</v>
      </c>
      <c r="M81" s="529">
        <f t="shared" si="18"/>
        <v>290137.4424</v>
      </c>
      <c r="N81" s="649"/>
      <c r="O81" s="529">
        <f t="shared" si="19"/>
        <v>88700.4424</v>
      </c>
      <c r="Q81" s="443" t="s">
        <v>62</v>
      </c>
      <c r="R81" s="527">
        <v>1</v>
      </c>
      <c r="S81" s="650">
        <f t="shared" si="20"/>
        <v>88700.4424</v>
      </c>
    </row>
    <row r="82" spans="1:19">
      <c r="A82" s="640">
        <f t="shared" si="21"/>
        <v>63</v>
      </c>
      <c r="B82" s="902" t="s">
        <v>199</v>
      </c>
      <c r="C82" s="902"/>
      <c r="D82" s="645">
        <f>SUM(D65:D81)</f>
        <v>1223397011</v>
      </c>
      <c r="E82" s="645">
        <f>SUM(E65:E81)</f>
        <v>0</v>
      </c>
      <c r="F82" s="645">
        <f>SUM(F65:F81)</f>
        <v>0</v>
      </c>
      <c r="G82" s="645">
        <f>SUM(G65:G81)</f>
        <v>1223397011</v>
      </c>
      <c r="H82" s="474"/>
      <c r="I82" s="443"/>
      <c r="J82" s="645">
        <f>SUM(J65:J81)</f>
        <v>42978400</v>
      </c>
      <c r="K82" s="474"/>
      <c r="L82" s="443"/>
      <c r="M82" s="645">
        <f>SUM(M65:M81)</f>
        <v>45855098.550099999</v>
      </c>
      <c r="N82" s="474"/>
      <c r="O82" s="645">
        <f>SUM(O65:O81)</f>
        <v>2876698.550100001</v>
      </c>
      <c r="Q82" s="498"/>
      <c r="R82" s="498"/>
      <c r="S82" s="651">
        <f>SUM(S65:S81)</f>
        <v>2876698.550100001</v>
      </c>
    </row>
    <row r="83" spans="1:19">
      <c r="A83" s="640"/>
      <c r="B83" s="315"/>
      <c r="C83" s="315"/>
      <c r="D83" s="315"/>
      <c r="E83" s="315"/>
      <c r="F83" s="315"/>
      <c r="G83" s="315"/>
      <c r="H83" s="315"/>
      <c r="I83" s="443"/>
      <c r="J83" s="315"/>
      <c r="K83" s="315"/>
      <c r="L83" s="443"/>
      <c r="N83" s="474"/>
      <c r="O83" s="474"/>
      <c r="Q83" s="498"/>
      <c r="R83" s="498"/>
      <c r="S83" s="653"/>
    </row>
    <row r="84" spans="1:19">
      <c r="A84" s="640"/>
      <c r="B84" s="892" t="s">
        <v>706</v>
      </c>
      <c r="C84" s="892"/>
      <c r="D84" s="315"/>
      <c r="E84" s="315"/>
      <c r="F84" s="315"/>
      <c r="G84" s="315"/>
      <c r="H84" s="315"/>
      <c r="I84" s="443"/>
      <c r="J84" s="315"/>
      <c r="K84" s="315"/>
      <c r="L84" s="443"/>
      <c r="N84" s="474"/>
      <c r="O84" s="474"/>
      <c r="Q84" s="498"/>
      <c r="R84" s="498"/>
      <c r="S84" s="653"/>
    </row>
    <row r="85" spans="1:19">
      <c r="A85" s="640">
        <v>64</v>
      </c>
      <c r="B85" s="536">
        <v>38900</v>
      </c>
      <c r="C85" s="537" t="s">
        <v>166</v>
      </c>
      <c r="D85" s="524">
        <v>2098943</v>
      </c>
      <c r="E85" s="524">
        <v>0</v>
      </c>
      <c r="F85" s="524">
        <v>0</v>
      </c>
      <c r="G85" s="524">
        <f t="shared" ref="G85:G103" si="22">D85+F85+E85</f>
        <v>2098943</v>
      </c>
      <c r="H85" s="315"/>
      <c r="I85" s="526">
        <v>0</v>
      </c>
      <c r="J85" s="524">
        <f t="shared" ref="J85:J103" si="23">ROUND(G85*I85,0)</f>
        <v>0</v>
      </c>
      <c r="K85" s="315"/>
      <c r="L85" s="526">
        <v>0</v>
      </c>
      <c r="M85" s="524">
        <f t="shared" ref="M85:M103" si="24">+G85*L85</f>
        <v>0</v>
      </c>
      <c r="N85" s="315"/>
      <c r="O85" s="524">
        <f t="shared" ref="O85:O103" si="25">+M85-J85</f>
        <v>0</v>
      </c>
      <c r="Q85" s="443" t="s">
        <v>158</v>
      </c>
      <c r="R85" s="527">
        <v>1</v>
      </c>
      <c r="S85" s="648">
        <f t="shared" ref="S85:S103" si="26">R85*O85</f>
        <v>0</v>
      </c>
    </row>
    <row r="86" spans="1:19">
      <c r="A86" s="640">
        <f t="shared" si="21"/>
        <v>65</v>
      </c>
      <c r="B86" s="536">
        <v>38910</v>
      </c>
      <c r="C86" s="537" t="s">
        <v>168</v>
      </c>
      <c r="D86" s="524">
        <v>35748</v>
      </c>
      <c r="E86" s="524">
        <v>0</v>
      </c>
      <c r="F86" s="524">
        <v>0</v>
      </c>
      <c r="G86" s="524">
        <f t="shared" si="22"/>
        <v>35748</v>
      </c>
      <c r="H86" s="315"/>
      <c r="I86" s="526">
        <v>1.5900000000000001E-2</v>
      </c>
      <c r="J86" s="524">
        <f t="shared" si="23"/>
        <v>568</v>
      </c>
      <c r="K86" s="315"/>
      <c r="L86" s="526">
        <v>1.6400000000000001E-2</v>
      </c>
      <c r="M86" s="524">
        <f t="shared" si="24"/>
        <v>586.2672</v>
      </c>
      <c r="N86" s="315"/>
      <c r="O86" s="524">
        <f t="shared" si="25"/>
        <v>18.267200000000003</v>
      </c>
      <c r="Q86" s="443" t="s">
        <v>158</v>
      </c>
      <c r="R86" s="527">
        <v>1</v>
      </c>
      <c r="S86" s="648">
        <f t="shared" si="26"/>
        <v>18.267200000000003</v>
      </c>
    </row>
    <row r="87" spans="1:19">
      <c r="A87" s="640">
        <f t="shared" si="21"/>
        <v>66</v>
      </c>
      <c r="B87" s="536">
        <v>39000</v>
      </c>
      <c r="C87" s="537" t="s">
        <v>179</v>
      </c>
      <c r="D87" s="524">
        <v>28738308</v>
      </c>
      <c r="E87" s="524">
        <v>0</v>
      </c>
      <c r="F87" s="524">
        <v>0</v>
      </c>
      <c r="G87" s="524">
        <f t="shared" si="22"/>
        <v>28738308</v>
      </c>
      <c r="H87" s="315"/>
      <c r="I87" s="526">
        <v>3.9699999999999999E-2</v>
      </c>
      <c r="J87" s="524">
        <f t="shared" si="23"/>
        <v>1140911</v>
      </c>
      <c r="K87" s="315"/>
      <c r="L87" s="526">
        <v>1.7899999999999999E-2</v>
      </c>
      <c r="M87" s="524">
        <f t="shared" si="24"/>
        <v>514415.7132</v>
      </c>
      <c r="N87" s="315"/>
      <c r="O87" s="524">
        <f t="shared" si="25"/>
        <v>-626495.2868</v>
      </c>
      <c r="Q87" s="443" t="s">
        <v>158</v>
      </c>
      <c r="R87" s="527">
        <v>1</v>
      </c>
      <c r="S87" s="648">
        <f t="shared" si="26"/>
        <v>-626495.2868</v>
      </c>
    </row>
    <row r="88" spans="1:19">
      <c r="A88" s="640">
        <f t="shared" si="21"/>
        <v>67</v>
      </c>
      <c r="B88" s="536">
        <v>39100</v>
      </c>
      <c r="C88" s="537" t="s">
        <v>201</v>
      </c>
      <c r="D88" s="524">
        <v>2518121</v>
      </c>
      <c r="E88" s="524">
        <v>-26032</v>
      </c>
      <c r="F88" s="524">
        <v>0</v>
      </c>
      <c r="G88" s="524">
        <f t="shared" si="22"/>
        <v>2492089</v>
      </c>
      <c r="H88" s="315"/>
      <c r="I88" s="526">
        <v>3.2000000000000001E-2</v>
      </c>
      <c r="J88" s="524">
        <f t="shared" si="23"/>
        <v>79747</v>
      </c>
      <c r="K88" s="315"/>
      <c r="L88" s="526">
        <v>6.3899999999999998E-2</v>
      </c>
      <c r="M88" s="524">
        <f t="shared" si="24"/>
        <v>159244.4871</v>
      </c>
      <c r="N88" s="315"/>
      <c r="O88" s="524">
        <f t="shared" si="25"/>
        <v>79497.487099999998</v>
      </c>
      <c r="Q88" s="443" t="s">
        <v>158</v>
      </c>
      <c r="R88" s="527">
        <v>1</v>
      </c>
      <c r="S88" s="648">
        <f t="shared" si="26"/>
        <v>79497.487099999998</v>
      </c>
    </row>
    <row r="89" spans="1:19">
      <c r="A89" s="640">
        <f t="shared" si="21"/>
        <v>68</v>
      </c>
      <c r="B89" s="536">
        <v>39111</v>
      </c>
      <c r="C89" s="537" t="s">
        <v>458</v>
      </c>
      <c r="D89" s="524">
        <v>2678</v>
      </c>
      <c r="E89" s="315"/>
      <c r="F89" s="524">
        <v>0</v>
      </c>
      <c r="G89" s="524">
        <f t="shared" si="22"/>
        <v>2678</v>
      </c>
      <c r="H89" s="315"/>
      <c r="I89" s="526">
        <v>3.2000000000000001E-2</v>
      </c>
      <c r="J89" s="524">
        <f t="shared" si="23"/>
        <v>86</v>
      </c>
      <c r="K89" s="315"/>
      <c r="L89" s="526">
        <v>6.3899999999999998E-2</v>
      </c>
      <c r="M89" s="524">
        <f t="shared" si="24"/>
        <v>171.1242</v>
      </c>
      <c r="N89" s="315"/>
      <c r="O89" s="524">
        <f t="shared" si="25"/>
        <v>85.124200000000002</v>
      </c>
      <c r="Q89" s="443" t="s">
        <v>158</v>
      </c>
      <c r="R89" s="527">
        <v>1</v>
      </c>
      <c r="S89" s="648">
        <f t="shared" si="26"/>
        <v>85.124200000000002</v>
      </c>
    </row>
    <row r="90" spans="1:19">
      <c r="A90" s="640">
        <f t="shared" si="21"/>
        <v>69</v>
      </c>
      <c r="B90" s="536">
        <v>39200</v>
      </c>
      <c r="C90" s="537" t="s">
        <v>202</v>
      </c>
      <c r="D90" s="524">
        <v>24068506</v>
      </c>
      <c r="E90" s="524">
        <v>0</v>
      </c>
      <c r="F90" s="524">
        <v>0</v>
      </c>
      <c r="G90" s="524">
        <f t="shared" si="22"/>
        <v>24068506</v>
      </c>
      <c r="H90" s="315"/>
      <c r="I90" s="526">
        <v>3.5200000000000002E-2</v>
      </c>
      <c r="J90" s="524">
        <f t="shared" si="23"/>
        <v>847211</v>
      </c>
      <c r="K90" s="315"/>
      <c r="L90" s="526">
        <v>7.0999999999999994E-2</v>
      </c>
      <c r="M90" s="524">
        <f t="shared" si="24"/>
        <v>1708863.9259999997</v>
      </c>
      <c r="N90" s="315"/>
      <c r="O90" s="524">
        <f t="shared" si="25"/>
        <v>861652.92599999974</v>
      </c>
      <c r="Q90" s="443" t="s">
        <v>158</v>
      </c>
      <c r="R90" s="527">
        <v>1</v>
      </c>
      <c r="S90" s="648">
        <f t="shared" si="26"/>
        <v>861652.92599999974</v>
      </c>
    </row>
    <row r="91" spans="1:19">
      <c r="A91" s="640">
        <f t="shared" si="21"/>
        <v>70</v>
      </c>
      <c r="B91" s="536">
        <v>39300</v>
      </c>
      <c r="C91" s="537" t="s">
        <v>203</v>
      </c>
      <c r="D91" s="524">
        <v>442608</v>
      </c>
      <c r="E91" s="524">
        <v>0</v>
      </c>
      <c r="F91" s="524">
        <v>0</v>
      </c>
      <c r="G91" s="524">
        <f t="shared" si="22"/>
        <v>442608</v>
      </c>
      <c r="H91" s="315"/>
      <c r="I91" s="526">
        <v>4.1500000000000002E-2</v>
      </c>
      <c r="J91" s="524">
        <f t="shared" si="23"/>
        <v>18368</v>
      </c>
      <c r="K91" s="315"/>
      <c r="L91" s="526">
        <v>4.5600000000000002E-2</v>
      </c>
      <c r="M91" s="524">
        <f t="shared" si="24"/>
        <v>20182.924800000001</v>
      </c>
      <c r="N91" s="315"/>
      <c r="O91" s="524">
        <f t="shared" si="25"/>
        <v>1814.9248000000007</v>
      </c>
      <c r="Q91" s="443" t="s">
        <v>158</v>
      </c>
      <c r="R91" s="527">
        <v>1</v>
      </c>
      <c r="S91" s="648">
        <f t="shared" si="26"/>
        <v>1814.9248000000007</v>
      </c>
    </row>
    <row r="92" spans="1:19">
      <c r="A92" s="640">
        <f t="shared" si="21"/>
        <v>71</v>
      </c>
      <c r="B92" s="536">
        <v>39400</v>
      </c>
      <c r="C92" s="537" t="s">
        <v>204</v>
      </c>
      <c r="D92" s="524">
        <v>8352221</v>
      </c>
      <c r="E92" s="524">
        <v>0</v>
      </c>
      <c r="F92" s="524">
        <v>0</v>
      </c>
      <c r="G92" s="524">
        <f t="shared" si="22"/>
        <v>8352221</v>
      </c>
      <c r="H92" s="315"/>
      <c r="I92" s="526">
        <v>4.2000000000000003E-2</v>
      </c>
      <c r="J92" s="524">
        <f t="shared" si="23"/>
        <v>350793</v>
      </c>
      <c r="K92" s="315"/>
      <c r="L92" s="526">
        <v>4.6100000000000002E-2</v>
      </c>
      <c r="M92" s="524">
        <f t="shared" si="24"/>
        <v>385037.38810000004</v>
      </c>
      <c r="N92" s="315"/>
      <c r="O92" s="524">
        <f t="shared" si="25"/>
        <v>34244.38810000004</v>
      </c>
      <c r="Q92" s="443" t="s">
        <v>158</v>
      </c>
      <c r="R92" s="527">
        <v>1</v>
      </c>
      <c r="S92" s="648">
        <f t="shared" si="26"/>
        <v>34244.38810000004</v>
      </c>
    </row>
    <row r="93" spans="1:19">
      <c r="A93" s="640">
        <f t="shared" si="21"/>
        <v>72</v>
      </c>
      <c r="B93" s="536">
        <v>39500</v>
      </c>
      <c r="C93" s="537" t="s">
        <v>205</v>
      </c>
      <c r="D93" s="524">
        <v>225704</v>
      </c>
      <c r="E93" s="524">
        <v>0</v>
      </c>
      <c r="F93" s="524">
        <v>0</v>
      </c>
      <c r="G93" s="524">
        <f t="shared" si="22"/>
        <v>225704</v>
      </c>
      <c r="H93" s="315"/>
      <c r="I93" s="526">
        <v>5.7599999999999998E-2</v>
      </c>
      <c r="J93" s="524">
        <f t="shared" si="23"/>
        <v>13001</v>
      </c>
      <c r="K93" s="315"/>
      <c r="L93" s="526">
        <v>4.5400000000000003E-2</v>
      </c>
      <c r="M93" s="524">
        <f t="shared" si="24"/>
        <v>10246.961600000001</v>
      </c>
      <c r="N93" s="315"/>
      <c r="O93" s="524">
        <f t="shared" si="25"/>
        <v>-2754.0383999999995</v>
      </c>
      <c r="Q93" s="443" t="s">
        <v>158</v>
      </c>
      <c r="R93" s="527">
        <v>1</v>
      </c>
      <c r="S93" s="648">
        <f t="shared" si="26"/>
        <v>-2754.0383999999995</v>
      </c>
    </row>
    <row r="94" spans="1:19">
      <c r="A94" s="640">
        <f t="shared" si="21"/>
        <v>73</v>
      </c>
      <c r="B94" s="536">
        <v>39600</v>
      </c>
      <c r="C94" s="537" t="s">
        <v>206</v>
      </c>
      <c r="D94" s="524">
        <v>2221245</v>
      </c>
      <c r="E94" s="524">
        <v>0</v>
      </c>
      <c r="F94" s="524">
        <v>0</v>
      </c>
      <c r="G94" s="524">
        <f t="shared" si="22"/>
        <v>2221245</v>
      </c>
      <c r="H94" s="315"/>
      <c r="I94" s="526">
        <v>5.4300000000000001E-2</v>
      </c>
      <c r="J94" s="524">
        <f t="shared" si="23"/>
        <v>120614</v>
      </c>
      <c r="K94" s="315"/>
      <c r="L94" s="526">
        <v>0.06</v>
      </c>
      <c r="M94" s="524">
        <f t="shared" si="24"/>
        <v>133274.69999999998</v>
      </c>
      <c r="N94" s="315"/>
      <c r="O94" s="524">
        <f t="shared" si="25"/>
        <v>12660.699999999983</v>
      </c>
      <c r="Q94" s="443" t="s">
        <v>158</v>
      </c>
      <c r="R94" s="527">
        <v>1</v>
      </c>
      <c r="S94" s="648">
        <f t="shared" si="26"/>
        <v>12660.699999999983</v>
      </c>
    </row>
    <row r="95" spans="1:19">
      <c r="A95" s="640">
        <f t="shared" si="21"/>
        <v>74</v>
      </c>
      <c r="B95" s="536">
        <v>39700</v>
      </c>
      <c r="C95" s="537" t="s">
        <v>207</v>
      </c>
      <c r="D95" s="524">
        <v>0</v>
      </c>
      <c r="E95" s="524">
        <v>0</v>
      </c>
      <c r="F95" s="524">
        <v>0</v>
      </c>
      <c r="G95" s="524">
        <f t="shared" si="22"/>
        <v>0</v>
      </c>
      <c r="H95" s="315"/>
      <c r="I95" s="526">
        <v>5.6599999999999998E-2</v>
      </c>
      <c r="J95" s="524">
        <f t="shared" si="23"/>
        <v>0</v>
      </c>
      <c r="K95" s="315"/>
      <c r="L95" s="526">
        <v>0</v>
      </c>
      <c r="M95" s="524">
        <f t="shared" si="24"/>
        <v>0</v>
      </c>
      <c r="N95" s="315"/>
      <c r="O95" s="524">
        <f t="shared" si="25"/>
        <v>0</v>
      </c>
      <c r="Q95" s="443" t="s">
        <v>158</v>
      </c>
      <c r="R95" s="527">
        <v>1</v>
      </c>
      <c r="S95" s="648">
        <f t="shared" si="26"/>
        <v>0</v>
      </c>
    </row>
    <row r="96" spans="1:19">
      <c r="A96" s="640">
        <f t="shared" si="21"/>
        <v>75</v>
      </c>
      <c r="B96" s="536">
        <v>39710</v>
      </c>
      <c r="C96" s="537" t="s">
        <v>685</v>
      </c>
      <c r="D96" s="524">
        <v>1313417</v>
      </c>
      <c r="E96" s="524">
        <v>0</v>
      </c>
      <c r="F96" s="524">
        <v>0</v>
      </c>
      <c r="G96" s="524">
        <f t="shared" si="22"/>
        <v>1313417</v>
      </c>
      <c r="H96" s="315"/>
      <c r="I96" s="526">
        <v>3.2000000000000001E-2</v>
      </c>
      <c r="J96" s="524">
        <f t="shared" si="23"/>
        <v>42029</v>
      </c>
      <c r="K96" s="315"/>
      <c r="L96" s="526">
        <v>0.34520000000000001</v>
      </c>
      <c r="M96" s="524">
        <f t="shared" si="24"/>
        <v>453391.54840000003</v>
      </c>
      <c r="N96" s="315"/>
      <c r="O96" s="524">
        <f t="shared" si="25"/>
        <v>411362.54840000003</v>
      </c>
      <c r="Q96" s="443" t="s">
        <v>158</v>
      </c>
      <c r="R96" s="527">
        <v>1</v>
      </c>
      <c r="S96" s="648">
        <f t="shared" si="26"/>
        <v>411362.54840000003</v>
      </c>
    </row>
    <row r="97" spans="1:19">
      <c r="A97" s="640">
        <f t="shared" si="21"/>
        <v>76</v>
      </c>
      <c r="B97" s="536">
        <v>39716</v>
      </c>
      <c r="C97" s="537" t="s">
        <v>208</v>
      </c>
      <c r="D97" s="524">
        <v>0</v>
      </c>
      <c r="E97" s="524">
        <v>0</v>
      </c>
      <c r="F97" s="524">
        <v>0</v>
      </c>
      <c r="G97" s="524">
        <f t="shared" si="22"/>
        <v>0</v>
      </c>
      <c r="H97" s="315"/>
      <c r="I97" s="526">
        <v>5.6599999999999998E-2</v>
      </c>
      <c r="J97" s="524">
        <f t="shared" si="23"/>
        <v>0</v>
      </c>
      <c r="K97" s="315"/>
      <c r="L97" s="526">
        <v>0</v>
      </c>
      <c r="M97" s="524">
        <f t="shared" si="24"/>
        <v>0</v>
      </c>
      <c r="N97" s="315"/>
      <c r="O97" s="524">
        <f t="shared" si="25"/>
        <v>0</v>
      </c>
      <c r="Q97" s="443" t="s">
        <v>158</v>
      </c>
      <c r="R97" s="527">
        <v>1</v>
      </c>
      <c r="S97" s="648">
        <f t="shared" si="26"/>
        <v>0</v>
      </c>
    </row>
    <row r="98" spans="1:19">
      <c r="A98" s="640">
        <f t="shared" si="21"/>
        <v>77</v>
      </c>
      <c r="B98" s="536">
        <v>39721</v>
      </c>
      <c r="C98" s="537" t="s">
        <v>686</v>
      </c>
      <c r="D98" s="524">
        <v>7038488</v>
      </c>
      <c r="E98" s="524">
        <v>0</v>
      </c>
      <c r="F98" s="524">
        <v>0</v>
      </c>
      <c r="G98" s="524">
        <f t="shared" si="22"/>
        <v>7038488</v>
      </c>
      <c r="H98" s="315"/>
      <c r="I98" s="526">
        <v>6.6699999999999995E-2</v>
      </c>
      <c r="J98" s="524">
        <f t="shared" si="23"/>
        <v>469467</v>
      </c>
      <c r="K98" s="315"/>
      <c r="L98" s="526">
        <v>7.0300000000000001E-2</v>
      </c>
      <c r="M98" s="524">
        <f t="shared" si="24"/>
        <v>494805.70640000002</v>
      </c>
      <c r="N98" s="315"/>
      <c r="O98" s="524">
        <f t="shared" si="25"/>
        <v>25338.706400000025</v>
      </c>
      <c r="Q98" s="443" t="s">
        <v>158</v>
      </c>
      <c r="R98" s="527">
        <v>1</v>
      </c>
      <c r="S98" s="648">
        <f t="shared" si="26"/>
        <v>25338.706400000025</v>
      </c>
    </row>
    <row r="99" spans="1:19">
      <c r="A99" s="640">
        <f t="shared" si="21"/>
        <v>78</v>
      </c>
      <c r="B99" s="536">
        <v>39721</v>
      </c>
      <c r="C99" s="537" t="s">
        <v>687</v>
      </c>
      <c r="D99" s="524">
        <v>4553053</v>
      </c>
      <c r="E99" s="524">
        <v>0</v>
      </c>
      <c r="F99" s="524">
        <v>0</v>
      </c>
      <c r="G99" s="524">
        <f t="shared" si="22"/>
        <v>4553053</v>
      </c>
      <c r="H99" s="315"/>
      <c r="I99" s="526">
        <v>0.1</v>
      </c>
      <c r="J99" s="524">
        <f t="shared" si="23"/>
        <v>455305</v>
      </c>
      <c r="K99" s="315"/>
      <c r="L99" s="526">
        <v>0.1</v>
      </c>
      <c r="M99" s="524">
        <f t="shared" si="24"/>
        <v>455305.30000000005</v>
      </c>
      <c r="N99" s="315"/>
      <c r="O99" s="524">
        <f t="shared" si="25"/>
        <v>0.30000000004656613</v>
      </c>
      <c r="Q99" s="443" t="s">
        <v>158</v>
      </c>
      <c r="R99" s="527">
        <v>1</v>
      </c>
      <c r="S99" s="648">
        <f t="shared" si="26"/>
        <v>0.30000000004656613</v>
      </c>
    </row>
    <row r="100" spans="1:19">
      <c r="A100" s="640">
        <f t="shared" si="21"/>
        <v>79</v>
      </c>
      <c r="B100" s="536">
        <v>39721</v>
      </c>
      <c r="C100" s="537" t="s">
        <v>688</v>
      </c>
      <c r="D100" s="524">
        <v>44745209</v>
      </c>
      <c r="E100" s="524">
        <v>0</v>
      </c>
      <c r="F100" s="524">
        <v>-4031043</v>
      </c>
      <c r="G100" s="524">
        <f t="shared" si="22"/>
        <v>40714166</v>
      </c>
      <c r="H100" s="315"/>
      <c r="I100" s="526">
        <v>0.2</v>
      </c>
      <c r="J100" s="524">
        <f t="shared" si="23"/>
        <v>8142833</v>
      </c>
      <c r="K100" s="315"/>
      <c r="L100" s="526">
        <v>0.16320000000000001</v>
      </c>
      <c r="M100" s="524">
        <f t="shared" si="24"/>
        <v>6644551.8912000004</v>
      </c>
      <c r="N100" s="315"/>
      <c r="O100" s="524">
        <f t="shared" si="25"/>
        <v>-1498281.1087999996</v>
      </c>
      <c r="Q100" s="443" t="s">
        <v>158</v>
      </c>
      <c r="R100" s="527">
        <v>1</v>
      </c>
      <c r="S100" s="648">
        <f t="shared" si="26"/>
        <v>-1498281.1087999996</v>
      </c>
    </row>
    <row r="101" spans="1:19">
      <c r="A101" s="640">
        <f t="shared" si="21"/>
        <v>80</v>
      </c>
      <c r="B101" s="536">
        <v>39730</v>
      </c>
      <c r="C101" s="537" t="s">
        <v>207</v>
      </c>
      <c r="D101" s="524">
        <v>45280549</v>
      </c>
      <c r="E101" s="524">
        <v>0</v>
      </c>
      <c r="F101" s="524">
        <v>0</v>
      </c>
      <c r="G101" s="524">
        <f t="shared" si="22"/>
        <v>45280549</v>
      </c>
      <c r="H101" s="315"/>
      <c r="I101" s="526">
        <v>5.6599999999999998E-2</v>
      </c>
      <c r="J101" s="524">
        <f t="shared" si="23"/>
        <v>2562879</v>
      </c>
      <c r="K101" s="315"/>
      <c r="L101" s="526">
        <v>7.6200000000000004E-2</v>
      </c>
      <c r="M101" s="524">
        <f t="shared" si="24"/>
        <v>3450377.8338000001</v>
      </c>
      <c r="N101" s="315"/>
      <c r="O101" s="524">
        <f t="shared" si="25"/>
        <v>887498.83380000014</v>
      </c>
      <c r="Q101" s="443" t="s">
        <v>158</v>
      </c>
      <c r="R101" s="527">
        <v>1</v>
      </c>
      <c r="S101" s="648">
        <f t="shared" si="26"/>
        <v>887498.83380000014</v>
      </c>
    </row>
    <row r="102" spans="1:19">
      <c r="A102" s="640">
        <f t="shared" si="21"/>
        <v>81</v>
      </c>
      <c r="B102" s="536">
        <v>39800</v>
      </c>
      <c r="C102" s="537" t="s">
        <v>209</v>
      </c>
      <c r="D102" s="524">
        <v>2154748</v>
      </c>
      <c r="E102" s="524">
        <v>-726</v>
      </c>
      <c r="F102" s="524">
        <v>0</v>
      </c>
      <c r="G102" s="524">
        <f t="shared" si="22"/>
        <v>2154022</v>
      </c>
      <c r="H102" s="315"/>
      <c r="I102" s="526">
        <v>6.7299999999999999E-2</v>
      </c>
      <c r="J102" s="524">
        <f t="shared" si="23"/>
        <v>144966</v>
      </c>
      <c r="K102" s="315"/>
      <c r="L102" s="526">
        <v>4.3900000000000002E-2</v>
      </c>
      <c r="M102" s="524">
        <f t="shared" si="24"/>
        <v>94561.565799999997</v>
      </c>
      <c r="N102" s="315"/>
      <c r="O102" s="524">
        <f t="shared" si="25"/>
        <v>-50404.434200000003</v>
      </c>
      <c r="Q102" s="443" t="s">
        <v>158</v>
      </c>
      <c r="R102" s="527">
        <v>1</v>
      </c>
      <c r="S102" s="648">
        <f t="shared" si="26"/>
        <v>-50404.434200000003</v>
      </c>
    </row>
    <row r="103" spans="1:19">
      <c r="A103" s="640">
        <f t="shared" si="21"/>
        <v>82</v>
      </c>
      <c r="B103" s="536">
        <v>39919</v>
      </c>
      <c r="C103" s="537" t="s">
        <v>210</v>
      </c>
      <c r="D103" s="529">
        <v>158819</v>
      </c>
      <c r="E103" s="529">
        <v>0</v>
      </c>
      <c r="F103" s="529">
        <v>-158819</v>
      </c>
      <c r="G103" s="529">
        <f t="shared" si="22"/>
        <v>0</v>
      </c>
      <c r="H103" s="315"/>
      <c r="I103" s="443"/>
      <c r="J103" s="529">
        <f t="shared" si="23"/>
        <v>0</v>
      </c>
      <c r="K103" s="649"/>
      <c r="L103" s="315"/>
      <c r="M103" s="529">
        <f t="shared" si="24"/>
        <v>0</v>
      </c>
      <c r="N103" s="649"/>
      <c r="O103" s="529">
        <f t="shared" si="25"/>
        <v>0</v>
      </c>
      <c r="Q103" s="443" t="s">
        <v>158</v>
      </c>
      <c r="R103" s="527">
        <v>1</v>
      </c>
      <c r="S103" s="650">
        <f t="shared" si="26"/>
        <v>0</v>
      </c>
    </row>
    <row r="104" spans="1:19">
      <c r="A104" s="640">
        <f t="shared" si="21"/>
        <v>83</v>
      </c>
      <c r="B104" s="902" t="s">
        <v>211</v>
      </c>
      <c r="C104" s="902"/>
      <c r="D104" s="645">
        <f>SUM(D85:D103)</f>
        <v>173948365</v>
      </c>
      <c r="E104" s="645">
        <f>SUM(E85:E103)</f>
        <v>-26758</v>
      </c>
      <c r="F104" s="645">
        <f>SUM(F85:F103)</f>
        <v>-4189862</v>
      </c>
      <c r="G104" s="645">
        <f>SUM(G85:G103)</f>
        <v>169731745</v>
      </c>
      <c r="H104" s="474"/>
      <c r="I104" s="443"/>
      <c r="J104" s="645">
        <f>SUM(J85:J103)</f>
        <v>14388778</v>
      </c>
      <c r="K104" s="474"/>
      <c r="L104" s="474"/>
      <c r="M104" s="645">
        <f>SUM(M85:M103)</f>
        <v>14525017.3378</v>
      </c>
      <c r="N104" s="474"/>
      <c r="O104" s="645">
        <f>SUM(O85:O103)</f>
        <v>136239.33780000033</v>
      </c>
      <c r="Q104" s="498"/>
      <c r="R104" s="443"/>
      <c r="S104" s="651">
        <f>SUM(S85:S103)</f>
        <v>136239.33780000033</v>
      </c>
    </row>
    <row r="105" spans="1:19">
      <c r="A105" s="640"/>
      <c r="B105" s="194"/>
      <c r="C105" s="315"/>
      <c r="D105" s="315"/>
      <c r="E105" s="315"/>
      <c r="F105" s="315"/>
      <c r="G105" s="315"/>
      <c r="H105" s="315"/>
      <c r="I105" s="443"/>
      <c r="J105" s="315"/>
      <c r="K105" s="315"/>
      <c r="L105" s="474"/>
      <c r="M105" s="315"/>
      <c r="N105" s="474"/>
      <c r="O105" s="474"/>
      <c r="Q105" s="498"/>
      <c r="R105" s="498"/>
      <c r="S105" s="653"/>
    </row>
    <row r="106" spans="1:19">
      <c r="A106" s="640">
        <v>84</v>
      </c>
      <c r="B106" s="474" t="s">
        <v>212</v>
      </c>
      <c r="C106" s="315"/>
      <c r="D106" s="654">
        <f>+D82+D104+D13+D62+D44</f>
        <v>3652564734</v>
      </c>
      <c r="E106" s="654">
        <f>+E82+E104+E13+E62+E44</f>
        <v>-329513451</v>
      </c>
      <c r="F106" s="654">
        <f>+F82+F104+F13+F62+F44</f>
        <v>-38231387</v>
      </c>
      <c r="G106" s="654">
        <f>+G82+G104+G13+G62+G44</f>
        <v>3284819896</v>
      </c>
      <c r="H106" s="474"/>
      <c r="I106" s="443"/>
      <c r="J106" s="654">
        <f>+J82+J104+J13+J62+J44</f>
        <v>112475842</v>
      </c>
      <c r="K106" s="474"/>
      <c r="L106" s="474"/>
      <c r="M106" s="654">
        <f>+M82+M104+M13+M62+M44</f>
        <v>113643783.5871</v>
      </c>
      <c r="N106" s="474"/>
      <c r="O106" s="654">
        <f>+O82+O104+O13+O62+O44</f>
        <v>1167941.5871000006</v>
      </c>
      <c r="Q106" s="498"/>
      <c r="R106" s="498"/>
      <c r="S106" s="637"/>
    </row>
    <row r="107" spans="1:19">
      <c r="A107" s="640"/>
      <c r="B107" s="315"/>
      <c r="C107" s="315"/>
      <c r="D107" s="315"/>
      <c r="E107" s="315"/>
      <c r="F107" s="315"/>
      <c r="G107" s="315"/>
      <c r="H107" s="315"/>
      <c r="I107" s="443"/>
      <c r="J107" s="315"/>
      <c r="K107" s="315"/>
      <c r="L107" s="315"/>
      <c r="N107" s="315"/>
      <c r="O107" s="315"/>
      <c r="Q107" s="443"/>
      <c r="R107" s="443"/>
      <c r="S107" s="657"/>
    </row>
    <row r="108" spans="1:19" ht="13.5" thickBot="1">
      <c r="A108" s="640">
        <v>85</v>
      </c>
      <c r="B108" s="902" t="s">
        <v>707</v>
      </c>
      <c r="C108" s="902"/>
      <c r="D108" s="902"/>
      <c r="E108" s="902"/>
      <c r="F108" s="902"/>
      <c r="G108" s="902"/>
      <c r="H108" s="315"/>
      <c r="I108" s="443"/>
      <c r="J108" s="315"/>
      <c r="K108" s="315"/>
      <c r="L108" s="315"/>
      <c r="N108" s="315"/>
      <c r="O108" s="315"/>
      <c r="Q108" s="443"/>
      <c r="R108" s="443"/>
      <c r="S108" s="658">
        <f>+S82+S104+S13+S62+S44</f>
        <v>1167941.5871000006</v>
      </c>
    </row>
    <row r="109" spans="1:19" ht="13.5" thickTop="1">
      <c r="A109" s="640"/>
      <c r="B109" s="194"/>
      <c r="C109" s="315"/>
      <c r="D109" s="315"/>
      <c r="E109" s="315"/>
      <c r="F109" s="315"/>
      <c r="G109" s="315"/>
      <c r="H109" s="315"/>
      <c r="I109" s="443"/>
      <c r="J109" s="315"/>
      <c r="K109" s="315"/>
      <c r="L109" s="315"/>
      <c r="N109" s="315"/>
      <c r="O109" s="315"/>
      <c r="Q109" s="443"/>
      <c r="R109" s="443"/>
      <c r="S109" s="659"/>
    </row>
    <row r="110" spans="1:19">
      <c r="A110" s="640"/>
      <c r="B110" s="315"/>
      <c r="C110" s="273"/>
      <c r="D110" s="273"/>
      <c r="E110" s="273"/>
      <c r="F110" s="273"/>
      <c r="G110" s="194"/>
      <c r="H110" s="194"/>
      <c r="I110" s="443"/>
      <c r="J110" s="194"/>
      <c r="K110" s="194"/>
      <c r="L110" s="273"/>
      <c r="N110" s="273"/>
      <c r="O110" s="273"/>
      <c r="Q110" s="660"/>
      <c r="R110" s="660"/>
      <c r="S110" s="661"/>
    </row>
    <row r="111" spans="1:19">
      <c r="A111" s="640"/>
      <c r="B111" s="315"/>
      <c r="C111" s="273" t="s">
        <v>696</v>
      </c>
      <c r="D111" s="273"/>
      <c r="E111" s="273"/>
      <c r="F111" s="273"/>
      <c r="G111" s="315"/>
      <c r="H111" s="315"/>
      <c r="I111" s="443"/>
      <c r="J111" s="315"/>
      <c r="K111" s="315"/>
      <c r="L111" s="194"/>
      <c r="N111" s="194"/>
      <c r="O111" s="194"/>
      <c r="Q111" s="443"/>
      <c r="R111" s="443"/>
      <c r="S111" s="256"/>
    </row>
    <row r="112" spans="1:19">
      <c r="A112" s="443"/>
      <c r="B112" s="315"/>
      <c r="C112" s="194"/>
      <c r="D112" s="194"/>
      <c r="E112" s="194"/>
      <c r="F112" s="194"/>
      <c r="G112" s="315"/>
      <c r="H112" s="315"/>
      <c r="I112" s="443"/>
      <c r="J112" s="315"/>
      <c r="K112" s="315"/>
      <c r="L112" s="315"/>
      <c r="N112" s="315"/>
      <c r="O112" s="315"/>
      <c r="Q112" s="443"/>
      <c r="R112" s="443"/>
      <c r="S112" s="637"/>
    </row>
  </sheetData>
  <mergeCells count="17">
    <mergeCell ref="B104:C104"/>
    <mergeCell ref="B108:G108"/>
    <mergeCell ref="B44:C44"/>
    <mergeCell ref="B46:C46"/>
    <mergeCell ref="B62:C62"/>
    <mergeCell ref="B64:C64"/>
    <mergeCell ref="B82:C82"/>
    <mergeCell ref="B84:C84"/>
    <mergeCell ref="B31:C31"/>
    <mergeCell ref="B1:K1"/>
    <mergeCell ref="D4:G4"/>
    <mergeCell ref="I4:S4"/>
    <mergeCell ref="Q5:R5"/>
    <mergeCell ref="B7:C7"/>
    <mergeCell ref="B13:C13"/>
    <mergeCell ref="B16:C16"/>
    <mergeCell ref="B18:C18"/>
  </mergeCells>
  <pageMargins left="0.7" right="0.7" top="0.75" bottom="0.75" header="0.3" footer="0.3"/>
  <pageSetup scale="56" fitToHeight="2" orientation="landscape" r:id="rId1"/>
  <headerFooter>
    <oddHeader>&amp;C&amp;"Times New Roman,Regular"&amp;10Kentucky Power Company
Annualization of Depreciation Expense (Excluding ARO Depreciation) at Updated Rates
Test Year Ended May 31, 2025
W48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CAC-0951-4CE6-A5EF-47AE048A0A80}">
  <sheetPr>
    <pageSetUpPr fitToPage="1"/>
  </sheetPr>
  <dimension ref="A1:N41"/>
  <sheetViews>
    <sheetView zoomScale="110" zoomScaleNormal="110" workbookViewId="0">
      <selection activeCell="B3" sqref="B3:I3"/>
    </sheetView>
  </sheetViews>
  <sheetFormatPr defaultColWidth="8" defaultRowHeight="13"/>
  <cols>
    <col min="1" max="1" width="7.7265625" style="1" bestFit="1" customWidth="1"/>
    <col min="2" max="2" width="7.81640625" style="1" bestFit="1" customWidth="1"/>
    <col min="3" max="3" width="33.1796875" style="1" bestFit="1" customWidth="1"/>
    <col min="4" max="4" width="12.81640625" style="1" bestFit="1" customWidth="1"/>
    <col min="5" max="6" width="13.7265625" style="1" bestFit="1" customWidth="1"/>
    <col min="7" max="7" width="12.54296875" style="1" bestFit="1" customWidth="1"/>
    <col min="8" max="8" width="14.54296875" style="1" bestFit="1" customWidth="1"/>
    <col min="9" max="9" width="8" style="1"/>
    <col min="10" max="10" width="8.26953125" style="1" bestFit="1" customWidth="1"/>
    <col min="11" max="11" width="12.7265625" style="1" bestFit="1" customWidth="1"/>
    <col min="12" max="16384" width="8" style="1"/>
  </cols>
  <sheetData>
    <row r="1" spans="1:14">
      <c r="B1" s="904" t="s">
        <v>0</v>
      </c>
      <c r="C1" s="905"/>
      <c r="D1" s="905"/>
      <c r="E1" s="905"/>
      <c r="F1" s="905"/>
      <c r="G1" s="905"/>
      <c r="H1" s="905"/>
      <c r="I1" s="905"/>
    </row>
    <row r="2" spans="1:14">
      <c r="B2" s="904" t="s">
        <v>631</v>
      </c>
      <c r="C2" s="905"/>
      <c r="D2" s="905"/>
      <c r="E2" s="905"/>
      <c r="F2" s="905"/>
      <c r="G2" s="905"/>
      <c r="H2" s="905"/>
      <c r="I2" s="905"/>
    </row>
    <row r="3" spans="1:14">
      <c r="B3" s="904" t="s">
        <v>591</v>
      </c>
      <c r="C3" s="905"/>
      <c r="D3" s="905"/>
      <c r="E3" s="905"/>
      <c r="F3" s="905"/>
      <c r="G3" s="905"/>
      <c r="H3" s="905"/>
      <c r="I3" s="905"/>
    </row>
    <row r="4" spans="1:14">
      <c r="B4" s="904" t="s">
        <v>502</v>
      </c>
      <c r="C4" s="905"/>
      <c r="D4" s="905"/>
      <c r="E4" s="905"/>
      <c r="F4" s="905"/>
      <c r="G4" s="905"/>
      <c r="H4" s="905"/>
      <c r="I4" s="905"/>
    </row>
    <row r="6" spans="1:14">
      <c r="A6" s="578"/>
      <c r="B6" s="578"/>
      <c r="C6" s="578"/>
      <c r="D6" s="662"/>
      <c r="E6" s="662"/>
      <c r="F6" s="662"/>
      <c r="H6" s="662"/>
      <c r="I6" s="249"/>
      <c r="J6" s="662"/>
    </row>
    <row r="7" spans="1:14" ht="65">
      <c r="A7" s="662" t="s">
        <v>10</v>
      </c>
      <c r="B7" s="662" t="s">
        <v>143</v>
      </c>
      <c r="C7" s="662" t="s">
        <v>117</v>
      </c>
      <c r="D7" s="638" t="s">
        <v>679</v>
      </c>
      <c r="E7" s="638" t="s">
        <v>144</v>
      </c>
      <c r="F7" s="638" t="s">
        <v>708</v>
      </c>
      <c r="G7" s="638" t="s">
        <v>709</v>
      </c>
      <c r="H7" s="638" t="s">
        <v>710</v>
      </c>
      <c r="I7" s="637"/>
      <c r="J7" s="638" t="s">
        <v>698</v>
      </c>
      <c r="K7" s="638" t="s">
        <v>711</v>
      </c>
    </row>
    <row r="8" spans="1:14">
      <c r="A8" s="471"/>
      <c r="B8" s="471"/>
      <c r="C8" s="471"/>
      <c r="D8" s="471"/>
      <c r="E8" s="471"/>
      <c r="F8" s="471"/>
      <c r="G8" s="471"/>
      <c r="H8" s="471"/>
      <c r="I8" s="249"/>
      <c r="J8" s="639"/>
      <c r="K8" s="639"/>
    </row>
    <row r="9" spans="1:14">
      <c r="A9" s="663"/>
      <c r="B9" s="906" t="s">
        <v>175</v>
      </c>
      <c r="C9" s="906"/>
      <c r="D9" s="637"/>
      <c r="E9" s="637"/>
      <c r="F9" s="637"/>
      <c r="G9" s="637"/>
      <c r="H9" s="637"/>
      <c r="I9" s="637"/>
      <c r="J9" s="249"/>
    </row>
    <row r="10" spans="1:14">
      <c r="A10" s="663">
        <f>1+A9</f>
        <v>1</v>
      </c>
      <c r="B10" s="664">
        <v>30300</v>
      </c>
      <c r="C10" s="665" t="s">
        <v>712</v>
      </c>
      <c r="D10" s="666">
        <v>-5215</v>
      </c>
      <c r="E10" s="666">
        <v>0</v>
      </c>
      <c r="F10" s="666">
        <v>5215</v>
      </c>
      <c r="G10" s="666">
        <v>0</v>
      </c>
      <c r="H10" s="666">
        <f t="shared" ref="H10:H23" si="0">+D10+E10+F10+G10</f>
        <v>0</v>
      </c>
      <c r="J10" s="652">
        <v>0</v>
      </c>
      <c r="K10" s="666">
        <f>+H10*J10</f>
        <v>0</v>
      </c>
    </row>
    <row r="11" spans="1:14">
      <c r="A11" s="663">
        <f>1+A10</f>
        <v>2</v>
      </c>
      <c r="B11" s="664">
        <v>31000</v>
      </c>
      <c r="C11" s="665" t="s">
        <v>166</v>
      </c>
      <c r="D11" s="667">
        <v>3224927.84</v>
      </c>
      <c r="E11" s="667">
        <v>0</v>
      </c>
      <c r="F11" s="667">
        <v>-369697</v>
      </c>
      <c r="G11" s="667">
        <v>0</v>
      </c>
      <c r="H11" s="666">
        <f t="shared" si="0"/>
        <v>2855230.84</v>
      </c>
      <c r="I11" s="637"/>
      <c r="J11" s="652">
        <v>0</v>
      </c>
      <c r="K11" s="666">
        <f t="shared" ref="K11:K23" si="1">+H11*J11</f>
        <v>0</v>
      </c>
    </row>
    <row r="12" spans="1:14">
      <c r="A12" s="663">
        <f t="shared" ref="A12:A28" si="2">A11+1</f>
        <v>3</v>
      </c>
      <c r="B12" s="664">
        <v>31100</v>
      </c>
      <c r="C12" s="665" t="s">
        <v>703</v>
      </c>
      <c r="D12" s="667">
        <v>77972065.980000004</v>
      </c>
      <c r="E12" s="667">
        <v>-13140601</v>
      </c>
      <c r="F12" s="667">
        <v>-33304154</v>
      </c>
      <c r="G12" s="667">
        <v>0</v>
      </c>
      <c r="H12" s="666">
        <f t="shared" si="0"/>
        <v>31527310.980000004</v>
      </c>
      <c r="I12" s="637"/>
      <c r="J12" s="652">
        <v>2.58E-2</v>
      </c>
      <c r="K12" s="666">
        <f>+H12*J12</f>
        <v>813404.62328400009</v>
      </c>
      <c r="L12" s="236"/>
      <c r="M12" s="681"/>
      <c r="N12" s="682"/>
    </row>
    <row r="13" spans="1:14">
      <c r="A13" s="663">
        <f t="shared" si="2"/>
        <v>4</v>
      </c>
      <c r="B13" s="664">
        <v>31200</v>
      </c>
      <c r="C13" s="665" t="s">
        <v>170</v>
      </c>
      <c r="D13" s="667">
        <v>892708556.03999996</v>
      </c>
      <c r="E13" s="667">
        <v>-312617572</v>
      </c>
      <c r="F13" s="667">
        <v>-372589142</v>
      </c>
      <c r="G13" s="667">
        <v>0</v>
      </c>
      <c r="H13" s="666">
        <f t="shared" si="0"/>
        <v>207501842.03999996</v>
      </c>
      <c r="I13" s="637"/>
      <c r="J13" s="652">
        <v>2.9600000000000001E-2</v>
      </c>
      <c r="K13" s="666">
        <f t="shared" si="1"/>
        <v>6142054.5243839994</v>
      </c>
      <c r="L13" s="236"/>
      <c r="M13" s="681"/>
      <c r="N13" s="682"/>
    </row>
    <row r="14" spans="1:14">
      <c r="A14" s="663">
        <f t="shared" si="2"/>
        <v>5</v>
      </c>
      <c r="B14" s="664">
        <v>31400</v>
      </c>
      <c r="C14" s="665" t="s">
        <v>704</v>
      </c>
      <c r="D14" s="667">
        <v>56653978.560000002</v>
      </c>
      <c r="E14" s="667">
        <v>-315773</v>
      </c>
      <c r="F14" s="667">
        <v>-46589</v>
      </c>
      <c r="G14" s="667">
        <v>0</v>
      </c>
      <c r="H14" s="666">
        <f t="shared" si="0"/>
        <v>56291616.560000002</v>
      </c>
      <c r="I14" s="637"/>
      <c r="J14" s="652">
        <v>1.67E-2</v>
      </c>
      <c r="K14" s="666">
        <f t="shared" si="1"/>
        <v>940069.99655200006</v>
      </c>
      <c r="L14" s="236"/>
      <c r="M14" s="681"/>
      <c r="N14" s="682"/>
    </row>
    <row r="15" spans="1:14">
      <c r="A15" s="663">
        <f t="shared" si="2"/>
        <v>6</v>
      </c>
      <c r="B15" s="664">
        <v>31500</v>
      </c>
      <c r="C15" s="665" t="s">
        <v>172</v>
      </c>
      <c r="D15" s="667">
        <v>26368728.59</v>
      </c>
      <c r="E15" s="667">
        <v>-1553727</v>
      </c>
      <c r="F15" s="667">
        <v>-2991710</v>
      </c>
      <c r="G15" s="667">
        <v>0</v>
      </c>
      <c r="H15" s="666">
        <f t="shared" si="0"/>
        <v>21823291.59</v>
      </c>
      <c r="I15" s="637"/>
      <c r="J15" s="652">
        <v>1.49E-2</v>
      </c>
      <c r="K15" s="666">
        <f t="shared" si="1"/>
        <v>325167.04469100002</v>
      </c>
      <c r="L15" s="236"/>
      <c r="M15" s="681"/>
      <c r="N15" s="682"/>
    </row>
    <row r="16" spans="1:14">
      <c r="A16" s="663">
        <f t="shared" si="2"/>
        <v>7</v>
      </c>
      <c r="B16" s="664">
        <v>31510</v>
      </c>
      <c r="C16" s="665" t="s">
        <v>681</v>
      </c>
      <c r="D16" s="667">
        <v>25727.97</v>
      </c>
      <c r="E16" s="667">
        <v>0</v>
      </c>
      <c r="F16" s="667">
        <v>0</v>
      </c>
      <c r="G16" s="667">
        <v>0</v>
      </c>
      <c r="H16" s="666">
        <f t="shared" si="0"/>
        <v>25727.97</v>
      </c>
      <c r="I16" s="637"/>
      <c r="J16" s="652">
        <v>3.2000000000000001E-2</v>
      </c>
      <c r="K16" s="666">
        <f t="shared" si="1"/>
        <v>823.29504000000009</v>
      </c>
      <c r="L16" s="236"/>
      <c r="M16" s="681"/>
      <c r="N16" s="682"/>
    </row>
    <row r="17" spans="1:14">
      <c r="A17" s="663">
        <f t="shared" si="2"/>
        <v>8</v>
      </c>
      <c r="B17" s="664">
        <v>31531</v>
      </c>
      <c r="C17" s="665" t="s">
        <v>682</v>
      </c>
      <c r="D17" s="667">
        <v>83415.210000000006</v>
      </c>
      <c r="E17" s="667">
        <v>0</v>
      </c>
      <c r="F17" s="667">
        <v>0</v>
      </c>
      <c r="G17" s="667">
        <v>0</v>
      </c>
      <c r="H17" s="666">
        <f t="shared" si="0"/>
        <v>83415.210000000006</v>
      </c>
      <c r="I17" s="637"/>
      <c r="J17" s="652">
        <v>5.6599999999999998E-2</v>
      </c>
      <c r="K17" s="666">
        <f t="shared" si="1"/>
        <v>4721.300886</v>
      </c>
      <c r="L17" s="236"/>
      <c r="M17" s="681"/>
      <c r="N17" s="682"/>
    </row>
    <row r="18" spans="1:14">
      <c r="A18" s="663">
        <f t="shared" si="2"/>
        <v>9</v>
      </c>
      <c r="B18" s="664">
        <v>31600</v>
      </c>
      <c r="C18" s="665" t="s">
        <v>705</v>
      </c>
      <c r="D18" s="667">
        <v>9887940.4199999999</v>
      </c>
      <c r="E18" s="667">
        <v>-1859020</v>
      </c>
      <c r="F18" s="667">
        <v>-437468</v>
      </c>
      <c r="G18" s="667">
        <v>0</v>
      </c>
      <c r="H18" s="666">
        <f t="shared" si="0"/>
        <v>7591452.4199999999</v>
      </c>
      <c r="I18" s="637"/>
      <c r="J18" s="652">
        <v>2.63E-2</v>
      </c>
      <c r="K18" s="666">
        <f t="shared" si="1"/>
        <v>199655.198646</v>
      </c>
      <c r="L18" s="236"/>
      <c r="M18" s="681"/>
      <c r="N18" s="682"/>
    </row>
    <row r="19" spans="1:14">
      <c r="A19" s="663">
        <f t="shared" si="2"/>
        <v>10</v>
      </c>
      <c r="B19" s="664">
        <v>31700</v>
      </c>
      <c r="C19" s="665" t="s">
        <v>174</v>
      </c>
      <c r="D19" s="667">
        <v>27423437</v>
      </c>
      <c r="E19" s="667">
        <v>0</v>
      </c>
      <c r="F19" s="667">
        <v>0</v>
      </c>
      <c r="G19" s="667">
        <v>-27423437</v>
      </c>
      <c r="H19" s="666">
        <f t="shared" si="0"/>
        <v>0</v>
      </c>
      <c r="J19" s="652">
        <v>0</v>
      </c>
      <c r="K19" s="666">
        <f t="shared" si="1"/>
        <v>0</v>
      </c>
      <c r="L19" s="236"/>
      <c r="N19" s="682"/>
    </row>
    <row r="20" spans="1:14">
      <c r="A20" s="663">
        <f t="shared" si="2"/>
        <v>11</v>
      </c>
      <c r="B20" s="664">
        <v>35200</v>
      </c>
      <c r="C20" s="665" t="s">
        <v>179</v>
      </c>
      <c r="D20" s="667">
        <v>72116</v>
      </c>
      <c r="E20" s="667">
        <v>0</v>
      </c>
      <c r="F20" s="667">
        <v>-72116</v>
      </c>
      <c r="G20" s="667">
        <v>0</v>
      </c>
      <c r="H20" s="666">
        <f t="shared" si="0"/>
        <v>0</v>
      </c>
      <c r="J20" s="652">
        <v>2.0799999999999999E-2</v>
      </c>
      <c r="K20" s="666">
        <f t="shared" si="1"/>
        <v>0</v>
      </c>
      <c r="L20" s="236"/>
      <c r="N20" s="682"/>
    </row>
    <row r="21" spans="1:14">
      <c r="A21" s="663">
        <f t="shared" si="2"/>
        <v>12</v>
      </c>
      <c r="B21" s="664">
        <v>39100</v>
      </c>
      <c r="C21" s="665" t="s">
        <v>201</v>
      </c>
      <c r="D21" s="667">
        <v>5435</v>
      </c>
      <c r="E21" s="667">
        <v>0</v>
      </c>
      <c r="F21" s="667">
        <v>-5435</v>
      </c>
      <c r="G21" s="667">
        <v>0</v>
      </c>
      <c r="H21" s="666">
        <f t="shared" si="0"/>
        <v>0</v>
      </c>
      <c r="J21" s="652">
        <v>3.2000000000000001E-2</v>
      </c>
      <c r="K21" s="666">
        <f t="shared" si="1"/>
        <v>0</v>
      </c>
      <c r="L21" s="236"/>
      <c r="N21" s="682"/>
    </row>
    <row r="22" spans="1:14">
      <c r="A22" s="663">
        <f t="shared" si="2"/>
        <v>13</v>
      </c>
      <c r="B22" s="664">
        <v>39500</v>
      </c>
      <c r="C22" s="665" t="s">
        <v>205</v>
      </c>
      <c r="D22" s="667">
        <v>37577</v>
      </c>
      <c r="E22" s="667">
        <v>0</v>
      </c>
      <c r="F22" s="667">
        <v>-37577</v>
      </c>
      <c r="G22" s="667">
        <v>0</v>
      </c>
      <c r="H22" s="666">
        <f t="shared" si="0"/>
        <v>0</v>
      </c>
      <c r="J22" s="652">
        <v>5.7599999999999998E-2</v>
      </c>
      <c r="K22" s="666">
        <f t="shared" si="1"/>
        <v>0</v>
      </c>
      <c r="L22" s="236"/>
      <c r="N22" s="682"/>
    </row>
    <row r="23" spans="1:14">
      <c r="A23" s="663">
        <f t="shared" si="2"/>
        <v>14</v>
      </c>
      <c r="B23" s="664">
        <v>39700</v>
      </c>
      <c r="C23" s="665" t="s">
        <v>207</v>
      </c>
      <c r="D23" s="668">
        <v>46204</v>
      </c>
      <c r="E23" s="668">
        <v>0</v>
      </c>
      <c r="F23" s="668">
        <v>-46204</v>
      </c>
      <c r="G23" s="668">
        <v>0</v>
      </c>
      <c r="H23" s="669">
        <f t="shared" si="0"/>
        <v>0</v>
      </c>
      <c r="J23" s="652">
        <v>5.6599999999999998E-2</v>
      </c>
      <c r="K23" s="669">
        <f t="shared" si="1"/>
        <v>0</v>
      </c>
      <c r="L23" s="236"/>
      <c r="N23" s="682"/>
    </row>
    <row r="24" spans="1:14">
      <c r="A24" s="663">
        <f t="shared" si="2"/>
        <v>15</v>
      </c>
      <c r="B24" s="670"/>
      <c r="C24" s="671" t="s">
        <v>713</v>
      </c>
      <c r="D24" s="672">
        <f>SUM(D10:D23)</f>
        <v>1094504894.6100001</v>
      </c>
      <c r="E24" s="672">
        <f>SUM(E10:E23)</f>
        <v>-329486693</v>
      </c>
      <c r="F24" s="672">
        <f>SUM(F10:F23)</f>
        <v>-409894877</v>
      </c>
      <c r="G24" s="672">
        <f>SUM(G10:G23)</f>
        <v>-27423437</v>
      </c>
      <c r="H24" s="672">
        <f>SUM(H10:H23)</f>
        <v>327699887.60999995</v>
      </c>
      <c r="I24" s="653"/>
      <c r="J24" s="249"/>
      <c r="K24" s="673">
        <f>SUM(K10:K23)</f>
        <v>8425895.9834829997</v>
      </c>
      <c r="N24" s="682"/>
    </row>
    <row r="25" spans="1:14">
      <c r="A25" s="663"/>
      <c r="B25" s="670"/>
      <c r="C25" s="637"/>
      <c r="D25" s="653"/>
      <c r="E25" s="653"/>
      <c r="F25" s="653"/>
      <c r="H25" s="653"/>
      <c r="I25" s="653"/>
      <c r="J25" s="249"/>
      <c r="K25" s="653"/>
    </row>
    <row r="26" spans="1:14">
      <c r="A26" s="663">
        <v>16</v>
      </c>
      <c r="C26" s="665" t="s">
        <v>714</v>
      </c>
      <c r="D26" s="674">
        <v>551591382</v>
      </c>
      <c r="E26" s="674">
        <v>-169149651</v>
      </c>
      <c r="F26" s="674">
        <v>-182396714</v>
      </c>
      <c r="H26" s="667">
        <f>+D26+E26+F26+G26</f>
        <v>200045017</v>
      </c>
    </row>
    <row r="27" spans="1:14">
      <c r="A27" s="663">
        <f t="shared" si="2"/>
        <v>17</v>
      </c>
      <c r="C27" s="665" t="s">
        <v>715</v>
      </c>
      <c r="D27" s="675">
        <v>5391506</v>
      </c>
      <c r="G27" s="675">
        <v>-5391506</v>
      </c>
      <c r="H27" s="668">
        <f>+D27+E27+F27+G27</f>
        <v>0</v>
      </c>
    </row>
    <row r="28" spans="1:14">
      <c r="A28" s="663">
        <f t="shared" si="2"/>
        <v>18</v>
      </c>
      <c r="C28" s="671" t="s">
        <v>716</v>
      </c>
      <c r="D28" s="672">
        <f>+D26+D27</f>
        <v>556982888</v>
      </c>
      <c r="E28" s="672">
        <f>+E26+E27</f>
        <v>-169149651</v>
      </c>
      <c r="F28" s="672">
        <f>+F26+F27</f>
        <v>-182396714</v>
      </c>
      <c r="G28" s="672">
        <f>+G26+G27</f>
        <v>-5391506</v>
      </c>
      <c r="H28" s="672">
        <f>+H26+H27</f>
        <v>200045017</v>
      </c>
    </row>
    <row r="29" spans="1:14">
      <c r="A29" s="663"/>
    </row>
    <row r="30" spans="1:14">
      <c r="A30" s="663">
        <v>19</v>
      </c>
      <c r="B30" s="903" t="s">
        <v>717</v>
      </c>
      <c r="C30" s="903"/>
      <c r="D30" s="676">
        <f>+D24-D28</f>
        <v>537522006.61000013</v>
      </c>
      <c r="E30" s="676">
        <f>+E24-E28</f>
        <v>-160337042</v>
      </c>
      <c r="F30" s="676">
        <f>+F24-F28</f>
        <v>-227498163</v>
      </c>
      <c r="G30" s="676">
        <f>+G24-G28</f>
        <v>-22031931</v>
      </c>
      <c r="H30" s="676">
        <f>+H24-H28</f>
        <v>127654870.60999995</v>
      </c>
    </row>
    <row r="31" spans="1:14">
      <c r="A31" s="663"/>
    </row>
    <row r="32" spans="1:14" ht="13.5" thickBot="1">
      <c r="A32" s="663">
        <v>20</v>
      </c>
      <c r="B32" s="907" t="s">
        <v>718</v>
      </c>
      <c r="C32" s="908"/>
      <c r="D32" s="908"/>
      <c r="E32" s="908"/>
      <c r="F32" s="908"/>
      <c r="G32" s="908"/>
      <c r="H32" s="677">
        <f>-H30</f>
        <v>-127654870.60999995</v>
      </c>
    </row>
    <row r="33" spans="1:13" ht="13.5" thickTop="1">
      <c r="A33" s="663"/>
      <c r="H33" s="678"/>
    </row>
    <row r="34" spans="1:13" ht="13.5" thickBot="1">
      <c r="A34" s="663">
        <v>21</v>
      </c>
      <c r="B34" s="907" t="s">
        <v>719</v>
      </c>
      <c r="C34" s="907"/>
      <c r="D34" s="907"/>
      <c r="E34" s="907"/>
      <c r="F34" s="907"/>
      <c r="G34" s="907"/>
      <c r="H34" s="907"/>
      <c r="K34" s="677">
        <f>-K24</f>
        <v>-8425895.9834829997</v>
      </c>
    </row>
    <row r="35" spans="1:13" ht="13.5" thickTop="1">
      <c r="A35" s="663"/>
      <c r="B35" s="637"/>
      <c r="C35" s="637"/>
      <c r="D35" s="637"/>
      <c r="E35" s="637"/>
      <c r="F35" s="637"/>
      <c r="H35" s="637"/>
      <c r="I35" s="637"/>
      <c r="J35" s="637"/>
      <c r="K35" s="485"/>
    </row>
    <row r="36" spans="1:13">
      <c r="A36" s="663"/>
      <c r="B36" s="909" t="s">
        <v>720</v>
      </c>
      <c r="C36" s="909"/>
      <c r="D36" s="909"/>
      <c r="E36" s="909"/>
      <c r="F36" s="909"/>
      <c r="G36" s="909"/>
      <c r="H36" s="909"/>
      <c r="I36" s="637"/>
      <c r="J36" s="637"/>
      <c r="K36" s="637"/>
      <c r="L36" s="236"/>
      <c r="M36" s="236"/>
    </row>
    <row r="37" spans="1:13">
      <c r="A37" s="663"/>
      <c r="B37" s="909" t="s">
        <v>721</v>
      </c>
      <c r="C37" s="909"/>
      <c r="D37" s="909"/>
      <c r="E37" s="909"/>
      <c r="F37" s="909"/>
      <c r="G37" s="909"/>
      <c r="H37" s="909"/>
      <c r="I37" s="637"/>
      <c r="J37" s="637"/>
      <c r="K37" s="637"/>
      <c r="L37" s="236"/>
      <c r="M37" s="236"/>
    </row>
    <row r="38" spans="1:13">
      <c r="A38" s="663"/>
      <c r="B38" s="909" t="s">
        <v>224</v>
      </c>
      <c r="C38" s="909"/>
      <c r="D38" s="909"/>
      <c r="E38" s="909"/>
      <c r="F38" s="909"/>
      <c r="G38" s="909"/>
      <c r="H38" s="909"/>
      <c r="I38" s="637"/>
      <c r="J38" s="637"/>
      <c r="K38" s="637"/>
      <c r="L38" s="236"/>
      <c r="M38" s="236"/>
    </row>
    <row r="39" spans="1:13">
      <c r="A39" s="663"/>
      <c r="B39" s="637"/>
      <c r="C39" s="680"/>
      <c r="D39" s="680"/>
      <c r="E39" s="680"/>
      <c r="F39" s="680"/>
      <c r="H39" s="256"/>
      <c r="I39" s="256"/>
      <c r="J39" s="680"/>
    </row>
    <row r="40" spans="1:13">
      <c r="A40" s="663"/>
      <c r="B40" s="679" t="s">
        <v>33</v>
      </c>
      <c r="C40" s="680" t="s">
        <v>590</v>
      </c>
      <c r="D40" s="680"/>
      <c r="E40" s="680"/>
      <c r="F40" s="680"/>
      <c r="H40" s="637"/>
      <c r="I40" s="637"/>
      <c r="J40" s="256"/>
    </row>
    <row r="41" spans="1:13">
      <c r="A41" s="249"/>
      <c r="B41" s="637"/>
      <c r="C41" s="256"/>
      <c r="D41" s="256"/>
      <c r="E41" s="256"/>
      <c r="F41" s="256"/>
      <c r="H41" s="637"/>
      <c r="I41" s="637"/>
      <c r="J41" s="637"/>
    </row>
  </sheetData>
  <mergeCells count="11">
    <mergeCell ref="B32:G32"/>
    <mergeCell ref="B34:H34"/>
    <mergeCell ref="B36:H36"/>
    <mergeCell ref="B37:H37"/>
    <mergeCell ref="B38:H38"/>
    <mergeCell ref="B30:C30"/>
    <mergeCell ref="B1:I1"/>
    <mergeCell ref="B2:I2"/>
    <mergeCell ref="B3:I3"/>
    <mergeCell ref="B4:I4"/>
    <mergeCell ref="B9:C9"/>
  </mergeCells>
  <pageMargins left="0.7" right="0.7" top="0.75" bottom="0.75" header="0.3" footer="0.3"/>
  <pageSetup scale="6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579C-2CF9-45B1-93DA-05E584B49B09}">
  <sheetPr>
    <pageSetUpPr fitToPage="1"/>
  </sheetPr>
  <dimension ref="A1:G21"/>
  <sheetViews>
    <sheetView zoomScale="130" zoomScaleNormal="130" workbookViewId="0">
      <selection sqref="A1:G20"/>
    </sheetView>
  </sheetViews>
  <sheetFormatPr defaultColWidth="8.7265625" defaultRowHeight="14.5"/>
  <cols>
    <col min="1" max="1" width="7.81640625" style="18" bestFit="1" customWidth="1"/>
    <col min="2" max="2" width="1.81640625" style="17" customWidth="1"/>
    <col min="3" max="3" width="43.54296875" style="17" bestFit="1" customWidth="1"/>
    <col min="4" max="4" width="1.81640625" style="17" customWidth="1"/>
    <col min="5" max="5" width="7.7265625" style="17" bestFit="1" customWidth="1"/>
    <col min="6" max="6" width="1.81640625" style="17" customWidth="1"/>
    <col min="7" max="7" width="12.1796875" style="17" bestFit="1" customWidth="1"/>
    <col min="8" max="8" width="2" style="17" customWidth="1"/>
    <col min="9" max="9" width="12.54296875" style="17" bestFit="1" customWidth="1"/>
    <col min="10" max="16384" width="8.7265625" style="17"/>
  </cols>
  <sheetData>
    <row r="1" spans="1:7">
      <c r="A1" s="859" t="s">
        <v>0</v>
      </c>
      <c r="B1" s="859"/>
      <c r="C1" s="859"/>
      <c r="D1" s="859"/>
      <c r="E1" s="859"/>
      <c r="F1" s="859"/>
      <c r="G1" s="859"/>
    </row>
    <row r="2" spans="1:7">
      <c r="A2" s="859" t="s">
        <v>327</v>
      </c>
      <c r="B2" s="859"/>
      <c r="C2" s="859"/>
      <c r="D2" s="859"/>
      <c r="E2" s="859"/>
      <c r="F2" s="859"/>
      <c r="G2" s="859"/>
    </row>
    <row r="3" spans="1:7">
      <c r="A3" s="859" t="s">
        <v>599</v>
      </c>
      <c r="B3" s="859"/>
      <c r="C3" s="859"/>
      <c r="D3" s="859"/>
      <c r="E3" s="859"/>
      <c r="F3" s="859"/>
      <c r="G3" s="859"/>
    </row>
    <row r="4" spans="1:7">
      <c r="A4" s="859" t="s">
        <v>907</v>
      </c>
      <c r="B4" s="859"/>
      <c r="C4" s="859"/>
      <c r="D4" s="859"/>
      <c r="E4" s="859"/>
      <c r="F4" s="859"/>
      <c r="G4" s="859"/>
    </row>
    <row r="5" spans="1:7">
      <c r="A5" s="346"/>
      <c r="B5" s="339"/>
      <c r="C5" s="340"/>
      <c r="D5" s="340"/>
      <c r="E5" s="340"/>
      <c r="F5" s="340"/>
      <c r="G5" s="354"/>
    </row>
    <row r="6" spans="1:7" ht="26">
      <c r="A6" s="342" t="s">
        <v>10</v>
      </c>
      <c r="B6" s="342"/>
      <c r="C6" s="342" t="s">
        <v>117</v>
      </c>
      <c r="D6" s="342"/>
      <c r="E6" s="342" t="s">
        <v>54</v>
      </c>
      <c r="F6" s="342"/>
      <c r="G6" s="342" t="s">
        <v>118</v>
      </c>
    </row>
    <row r="7" spans="1:7">
      <c r="A7" s="693" t="s">
        <v>99</v>
      </c>
      <c r="B7" s="344"/>
      <c r="C7" s="693" t="s">
        <v>100</v>
      </c>
      <c r="D7" s="344"/>
      <c r="E7" s="693" t="s">
        <v>923</v>
      </c>
      <c r="F7" s="344"/>
      <c r="G7" s="693" t="s">
        <v>102</v>
      </c>
    </row>
    <row r="8" spans="1:7">
      <c r="A8" s="684"/>
      <c r="B8" s="685"/>
      <c r="C8" s="685"/>
      <c r="D8" s="685"/>
      <c r="E8" s="685"/>
      <c r="F8" s="685"/>
      <c r="G8" s="685"/>
    </row>
    <row r="9" spans="1:7">
      <c r="A9" s="684">
        <v>1</v>
      </c>
      <c r="B9" s="685"/>
      <c r="C9" s="685" t="s">
        <v>728</v>
      </c>
      <c r="D9" s="685"/>
      <c r="E9" s="684">
        <v>593</v>
      </c>
      <c r="F9" s="685"/>
      <c r="G9" s="686">
        <f>23043838-218442</f>
        <v>22825396</v>
      </c>
    </row>
    <row r="10" spans="1:7">
      <c r="A10" s="684"/>
      <c r="B10" s="685"/>
      <c r="C10" s="685"/>
      <c r="D10" s="685"/>
      <c r="E10" s="684"/>
      <c r="F10" s="685"/>
      <c r="G10" s="685"/>
    </row>
    <row r="11" spans="1:7">
      <c r="A11" s="684">
        <v>2</v>
      </c>
      <c r="B11" s="685"/>
      <c r="C11" s="687" t="s">
        <v>729</v>
      </c>
      <c r="D11" s="347"/>
      <c r="E11" s="688">
        <v>593</v>
      </c>
      <c r="F11" s="347"/>
      <c r="G11" s="689">
        <v>28985357.800000001</v>
      </c>
    </row>
    <row r="12" spans="1:7">
      <c r="A12" s="684"/>
      <c r="B12" s="685"/>
      <c r="C12" s="685"/>
      <c r="D12" s="685"/>
      <c r="E12" s="684"/>
      <c r="F12" s="685"/>
      <c r="G12" s="685"/>
    </row>
    <row r="13" spans="1:7">
      <c r="A13" s="345">
        <v>3</v>
      </c>
      <c r="B13" s="346"/>
      <c r="C13" s="685" t="s">
        <v>730</v>
      </c>
      <c r="D13" s="685"/>
      <c r="E13" s="684">
        <v>593</v>
      </c>
      <c r="F13" s="685"/>
      <c r="G13" s="690">
        <f>G9-G11</f>
        <v>-6159961.8000000007</v>
      </c>
    </row>
    <row r="14" spans="1:7">
      <c r="A14" s="345"/>
      <c r="B14" s="346"/>
      <c r="C14" s="350"/>
      <c r="D14" s="350"/>
      <c r="E14" s="691"/>
      <c r="F14" s="350"/>
      <c r="G14" s="351"/>
    </row>
    <row r="15" spans="1:7">
      <c r="A15" s="345">
        <v>4</v>
      </c>
      <c r="B15" s="346"/>
      <c r="C15" s="353" t="s">
        <v>328</v>
      </c>
      <c r="D15" s="353"/>
      <c r="E15" s="340"/>
      <c r="F15" s="353"/>
      <c r="G15" s="361">
        <v>1</v>
      </c>
    </row>
    <row r="16" spans="1:7">
      <c r="A16" s="345"/>
      <c r="B16" s="346"/>
      <c r="C16" s="348"/>
      <c r="D16" s="348"/>
      <c r="E16" s="343"/>
      <c r="F16" s="348"/>
      <c r="G16" s="354"/>
    </row>
    <row r="17" spans="1:7" ht="15" thickBot="1">
      <c r="A17" s="345">
        <v>5</v>
      </c>
      <c r="B17" s="346"/>
      <c r="C17" s="353" t="s">
        <v>36</v>
      </c>
      <c r="D17" s="353"/>
      <c r="E17" s="340" t="s">
        <v>478</v>
      </c>
      <c r="F17" s="353"/>
      <c r="G17" s="692">
        <f>G13*G15</f>
        <v>-6159961.8000000007</v>
      </c>
    </row>
    <row r="18" spans="1:7" ht="15" thickTop="1">
      <c r="A18" s="345"/>
      <c r="B18" s="346"/>
      <c r="C18" s="350"/>
      <c r="D18" s="350"/>
      <c r="E18" s="350"/>
      <c r="F18" s="350"/>
      <c r="G18" s="351"/>
    </row>
    <row r="19" spans="1:7">
      <c r="A19" s="684"/>
      <c r="B19" s="685"/>
      <c r="C19" s="685"/>
      <c r="D19" s="685"/>
      <c r="E19" s="685"/>
      <c r="F19" s="685"/>
      <c r="G19" s="685"/>
    </row>
    <row r="20" spans="1:7">
      <c r="A20" s="684" t="s">
        <v>33</v>
      </c>
      <c r="B20" s="685"/>
      <c r="C20" s="685" t="s">
        <v>621</v>
      </c>
      <c r="D20" s="685"/>
      <c r="E20" s="685"/>
      <c r="F20" s="685"/>
      <c r="G20" s="685"/>
    </row>
    <row r="21" spans="1:7">
      <c r="A21" s="684"/>
      <c r="B21" s="685"/>
      <c r="C21" s="685"/>
      <c r="D21" s="685"/>
      <c r="E21" s="685"/>
      <c r="F21" s="685"/>
      <c r="G21" s="685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53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146F-F152-4B49-8F9C-399BFEEF0E24}">
  <sheetPr>
    <pageSetUpPr fitToPage="1"/>
  </sheetPr>
  <dimension ref="B1:H18"/>
  <sheetViews>
    <sheetView zoomScale="130" zoomScaleNormal="130" workbookViewId="0">
      <selection activeCell="D5" sqref="D5"/>
    </sheetView>
  </sheetViews>
  <sheetFormatPr defaultColWidth="9.1796875" defaultRowHeight="13"/>
  <cols>
    <col min="1" max="1" width="4.26953125" style="89" customWidth="1"/>
    <col min="2" max="2" width="7.81640625" style="89" bestFit="1" customWidth="1"/>
    <col min="3" max="3" width="3.7265625" style="89" customWidth="1"/>
    <col min="4" max="4" width="77" style="89" bestFit="1" customWidth="1"/>
    <col min="5" max="5" width="3.81640625" style="89" customWidth="1"/>
    <col min="6" max="6" width="12.453125" style="89" bestFit="1" customWidth="1"/>
    <col min="7" max="7" width="3.54296875" style="89" customWidth="1"/>
    <col min="8" max="8" width="14.7265625" style="89" bestFit="1" customWidth="1"/>
    <col min="9" max="16384" width="9.1796875" style="89"/>
  </cols>
  <sheetData>
    <row r="1" spans="2:8">
      <c r="B1" s="910" t="s">
        <v>0</v>
      </c>
      <c r="C1" s="910"/>
      <c r="D1" s="910"/>
      <c r="E1" s="910"/>
      <c r="F1" s="910"/>
      <c r="G1" s="910"/>
      <c r="H1" s="910"/>
    </row>
    <row r="2" spans="2:8">
      <c r="B2" s="910" t="s">
        <v>735</v>
      </c>
      <c r="C2" s="910"/>
      <c r="D2" s="910"/>
      <c r="E2" s="910"/>
      <c r="F2" s="910"/>
      <c r="G2" s="910"/>
      <c r="H2" s="910"/>
    </row>
    <row r="3" spans="2:8">
      <c r="B3" s="910" t="s">
        <v>599</v>
      </c>
      <c r="C3" s="910"/>
      <c r="D3" s="910"/>
      <c r="E3" s="910"/>
      <c r="F3" s="910"/>
      <c r="G3" s="910"/>
      <c r="H3" s="910"/>
    </row>
    <row r="4" spans="2:8">
      <c r="B4" s="910" t="s">
        <v>978</v>
      </c>
      <c r="C4" s="910"/>
      <c r="D4" s="910"/>
      <c r="E4" s="910"/>
      <c r="F4" s="910"/>
      <c r="G4" s="910"/>
      <c r="H4" s="910"/>
    </row>
    <row r="6" spans="2:8">
      <c r="B6" s="342" t="s">
        <v>10</v>
      </c>
      <c r="C6" s="342"/>
      <c r="D6" s="342" t="s">
        <v>117</v>
      </c>
      <c r="E6" s="342"/>
      <c r="F6" s="342" t="s">
        <v>54</v>
      </c>
      <c r="G6" s="342"/>
      <c r="H6" s="342" t="s">
        <v>118</v>
      </c>
    </row>
    <row r="7" spans="2:8">
      <c r="B7" s="693" t="s">
        <v>99</v>
      </c>
      <c r="C7" s="344"/>
      <c r="D7" s="693" t="s">
        <v>100</v>
      </c>
      <c r="E7" s="344"/>
      <c r="F7" s="693" t="s">
        <v>954</v>
      </c>
      <c r="G7" s="344"/>
      <c r="H7" s="693" t="s">
        <v>102</v>
      </c>
    </row>
    <row r="9" spans="2:8">
      <c r="B9" s="684">
        <v>1</v>
      </c>
      <c r="C9" s="685"/>
      <c r="D9" s="89" t="s">
        <v>736</v>
      </c>
      <c r="E9" s="685"/>
      <c r="F9" s="684">
        <v>365</v>
      </c>
      <c r="G9" s="685"/>
      <c r="H9" s="694">
        <v>18000000</v>
      </c>
    </row>
    <row r="10" spans="2:8">
      <c r="B10" s="684"/>
      <c r="C10" s="685"/>
      <c r="D10" s="685"/>
      <c r="E10" s="685"/>
      <c r="F10" s="684"/>
      <c r="G10" s="685"/>
      <c r="H10" s="695"/>
    </row>
    <row r="11" spans="2:8">
      <c r="B11" s="345">
        <v>2</v>
      </c>
      <c r="C11" s="346"/>
      <c r="D11" s="353" t="s">
        <v>328</v>
      </c>
      <c r="E11" s="353"/>
      <c r="F11" s="340"/>
      <c r="G11" s="353"/>
      <c r="H11" s="696">
        <v>1</v>
      </c>
    </row>
    <row r="12" spans="2:8">
      <c r="B12" s="345"/>
      <c r="C12" s="346"/>
      <c r="D12" s="348"/>
      <c r="E12" s="348"/>
      <c r="F12" s="343"/>
      <c r="G12" s="348"/>
      <c r="H12" s="697"/>
    </row>
    <row r="13" spans="2:8" ht="13.5" thickBot="1">
      <c r="B13" s="345">
        <v>3</v>
      </c>
      <c r="C13" s="346"/>
      <c r="D13" s="353" t="s">
        <v>36</v>
      </c>
      <c r="E13" s="353"/>
      <c r="F13" s="340" t="s">
        <v>737</v>
      </c>
      <c r="G13" s="353"/>
      <c r="H13" s="698">
        <f>+H9*H11</f>
        <v>18000000</v>
      </c>
    </row>
    <row r="14" spans="2:8" ht="13.5" thickTop="1">
      <c r="B14" s="345"/>
      <c r="C14" s="346"/>
      <c r="D14" s="350"/>
      <c r="E14" s="350"/>
      <c r="F14" s="350"/>
      <c r="G14" s="350"/>
      <c r="H14" s="699"/>
    </row>
    <row r="15" spans="2:8">
      <c r="B15" s="684">
        <v>4</v>
      </c>
      <c r="D15" s="89" t="s">
        <v>881</v>
      </c>
      <c r="F15" s="700">
        <f>'W48'!L74</f>
        <v>3.2500000000000001E-2</v>
      </c>
      <c r="H15" s="701">
        <f>H13*F15</f>
        <v>585000</v>
      </c>
    </row>
    <row r="18" spans="2:4">
      <c r="B18" s="684" t="s">
        <v>33</v>
      </c>
      <c r="C18" s="685"/>
      <c r="D18" s="685" t="s">
        <v>621</v>
      </c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scale="7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DF8F-5867-41B9-BB8B-32B61FD2D6F0}">
  <sheetPr>
    <pageSetUpPr fitToPage="1"/>
  </sheetPr>
  <dimension ref="B1:L65"/>
  <sheetViews>
    <sheetView zoomScaleNormal="100" workbookViewId="0">
      <selection activeCell="O55" sqref="O55"/>
    </sheetView>
  </sheetViews>
  <sheetFormatPr defaultColWidth="9.1796875" defaultRowHeight="13"/>
  <cols>
    <col min="1" max="1" width="4" style="89" customWidth="1"/>
    <col min="2" max="2" width="7.81640625" style="89" bestFit="1" customWidth="1"/>
    <col min="3" max="3" width="14.1796875" style="89" bestFit="1" customWidth="1"/>
    <col min="4" max="4" width="49.81640625" style="89" bestFit="1" customWidth="1"/>
    <col min="5" max="5" width="3.54296875" style="89" customWidth="1"/>
    <col min="6" max="6" width="14.54296875" style="89" bestFit="1" customWidth="1"/>
    <col min="7" max="7" width="4.54296875" style="89" customWidth="1"/>
    <col min="8" max="8" width="14.7265625" style="1" customWidth="1"/>
    <col min="9" max="9" width="3.7265625" style="89" customWidth="1"/>
    <col min="10" max="10" width="15" style="89" customWidth="1"/>
    <col min="11" max="11" width="4.453125" style="89" customWidth="1"/>
    <col min="12" max="12" width="15.1796875" style="89" customWidth="1"/>
    <col min="13" max="16384" width="9.1796875" style="89"/>
  </cols>
  <sheetData>
    <row r="1" spans="2:12">
      <c r="B1" s="859" t="s">
        <v>0</v>
      </c>
      <c r="C1" s="859"/>
      <c r="D1" s="859"/>
      <c r="E1" s="859"/>
      <c r="F1" s="859"/>
      <c r="G1" s="859"/>
      <c r="H1" s="859"/>
      <c r="I1" s="343"/>
    </row>
    <row r="2" spans="2:12">
      <c r="B2" s="859" t="s">
        <v>743</v>
      </c>
      <c r="C2" s="859"/>
      <c r="D2" s="859"/>
      <c r="E2" s="859"/>
      <c r="F2" s="859"/>
      <c r="G2" s="859"/>
      <c r="H2" s="859"/>
      <c r="I2" s="343"/>
    </row>
    <row r="3" spans="2:12">
      <c r="B3" s="859" t="s">
        <v>599</v>
      </c>
      <c r="C3" s="859"/>
      <c r="D3" s="859"/>
      <c r="E3" s="859"/>
      <c r="F3" s="859"/>
      <c r="G3" s="859"/>
      <c r="H3" s="859"/>
      <c r="I3" s="343"/>
    </row>
    <row r="4" spans="2:12">
      <c r="B4" s="911" t="s">
        <v>908</v>
      </c>
      <c r="C4" s="859"/>
      <c r="D4" s="859"/>
      <c r="E4" s="859"/>
      <c r="F4" s="859"/>
      <c r="G4" s="859"/>
      <c r="H4" s="859"/>
      <c r="I4" s="343"/>
    </row>
    <row r="5" spans="2:12">
      <c r="B5" s="346"/>
      <c r="C5" s="339"/>
      <c r="D5" s="340"/>
      <c r="E5" s="340"/>
      <c r="F5" s="340"/>
      <c r="G5" s="340"/>
      <c r="H5" s="712"/>
      <c r="I5" s="354"/>
      <c r="J5" s="354"/>
      <c r="K5" s="354"/>
    </row>
    <row r="6" spans="2:12" ht="26">
      <c r="B6" s="342" t="s">
        <v>10</v>
      </c>
      <c r="C6" s="342"/>
      <c r="D6" s="342" t="s">
        <v>117</v>
      </c>
      <c r="E6" s="342"/>
      <c r="F6" s="342" t="s">
        <v>744</v>
      </c>
      <c r="G6" s="342"/>
      <c r="H6" s="702" t="s">
        <v>745</v>
      </c>
      <c r="I6" s="342"/>
      <c r="J6" s="342" t="s">
        <v>746</v>
      </c>
      <c r="K6" s="342"/>
    </row>
    <row r="7" spans="2:12">
      <c r="B7" s="693" t="s">
        <v>99</v>
      </c>
      <c r="C7" s="344"/>
      <c r="D7" s="693" t="s">
        <v>100</v>
      </c>
      <c r="E7" s="344"/>
      <c r="F7" s="693" t="s">
        <v>954</v>
      </c>
      <c r="G7" s="344"/>
      <c r="H7" s="693" t="s">
        <v>102</v>
      </c>
      <c r="I7" s="344"/>
      <c r="J7" s="693" t="s">
        <v>894</v>
      </c>
      <c r="K7" s="693"/>
    </row>
    <row r="8" spans="2:12">
      <c r="B8" s="703"/>
      <c r="C8" s="704"/>
      <c r="D8" s="704" t="s">
        <v>747</v>
      </c>
      <c r="E8" s="704"/>
      <c r="F8" s="704"/>
      <c r="G8" s="704"/>
      <c r="H8" s="705"/>
      <c r="I8" s="704"/>
      <c r="J8" s="704"/>
      <c r="K8" s="704"/>
    </row>
    <row r="9" spans="2:12">
      <c r="B9" s="703">
        <v>1</v>
      </c>
      <c r="C9" s="704"/>
      <c r="D9" s="704" t="s">
        <v>748</v>
      </c>
      <c r="E9" s="704"/>
      <c r="F9" s="703">
        <v>31100</v>
      </c>
      <c r="G9" s="704"/>
      <c r="H9" s="706">
        <v>3363486.46</v>
      </c>
      <c r="I9" s="707"/>
      <c r="J9" s="706">
        <v>134847.97</v>
      </c>
      <c r="K9" s="706"/>
    </row>
    <row r="10" spans="2:12">
      <c r="B10" s="703"/>
      <c r="C10" s="704"/>
      <c r="D10" s="704"/>
      <c r="E10" s="704"/>
      <c r="F10" s="703"/>
      <c r="G10" s="704"/>
      <c r="H10" s="708"/>
      <c r="I10" s="704"/>
      <c r="J10" s="709"/>
      <c r="K10" s="709"/>
    </row>
    <row r="11" spans="2:12">
      <c r="B11" s="703">
        <v>2</v>
      </c>
      <c r="C11" s="704"/>
      <c r="D11" s="704" t="s">
        <v>749</v>
      </c>
      <c r="E11" s="704"/>
      <c r="F11" s="703">
        <v>31200</v>
      </c>
      <c r="G11" s="704"/>
      <c r="H11" s="708">
        <v>23555190.219999999</v>
      </c>
      <c r="I11" s="710"/>
      <c r="J11" s="709">
        <v>1690693.35</v>
      </c>
      <c r="K11" s="709"/>
      <c r="L11" s="502"/>
    </row>
    <row r="12" spans="2:12">
      <c r="B12" s="703"/>
      <c r="C12" s="704"/>
      <c r="D12" s="704"/>
      <c r="E12" s="704"/>
      <c r="F12" s="703"/>
      <c r="G12" s="704"/>
      <c r="H12" s="708"/>
      <c r="I12" s="704"/>
      <c r="J12" s="709"/>
      <c r="K12" s="709"/>
    </row>
    <row r="13" spans="2:12">
      <c r="B13" s="703">
        <v>3</v>
      </c>
      <c r="C13" s="704"/>
      <c r="D13" s="704" t="s">
        <v>750</v>
      </c>
      <c r="E13" s="704"/>
      <c r="F13" s="703">
        <v>31400</v>
      </c>
      <c r="G13" s="704"/>
      <c r="H13" s="708">
        <v>5164479.5</v>
      </c>
      <c r="I13" s="710"/>
      <c r="J13" s="709">
        <v>211728.18</v>
      </c>
      <c r="K13" s="709"/>
    </row>
    <row r="14" spans="2:12">
      <c r="B14" s="703"/>
      <c r="C14" s="704"/>
      <c r="D14" s="704"/>
      <c r="E14" s="704"/>
      <c r="F14" s="703"/>
      <c r="G14" s="704"/>
      <c r="H14" s="708"/>
      <c r="I14" s="704"/>
      <c r="J14" s="709"/>
      <c r="K14" s="709"/>
    </row>
    <row r="15" spans="2:12">
      <c r="B15" s="703">
        <v>4</v>
      </c>
      <c r="C15" s="704"/>
      <c r="D15" s="704" t="s">
        <v>751</v>
      </c>
      <c r="E15" s="704"/>
      <c r="F15" s="703">
        <v>31500</v>
      </c>
      <c r="G15" s="704"/>
      <c r="H15" s="708">
        <v>652764.43000000005</v>
      </c>
      <c r="I15" s="710"/>
      <c r="J15" s="709">
        <v>31923.9</v>
      </c>
      <c r="K15" s="709"/>
    </row>
    <row r="16" spans="2:12">
      <c r="B16" s="703"/>
      <c r="C16" s="704"/>
      <c r="D16" s="704"/>
      <c r="E16" s="704"/>
      <c r="F16" s="703"/>
      <c r="G16" s="704"/>
      <c r="H16" s="708"/>
      <c r="I16" s="704"/>
      <c r="J16" s="709"/>
      <c r="K16" s="709"/>
    </row>
    <row r="17" spans="2:11">
      <c r="B17" s="703">
        <v>5</v>
      </c>
      <c r="C17" s="704"/>
      <c r="D17" s="704" t="s">
        <v>752</v>
      </c>
      <c r="E17" s="704"/>
      <c r="F17" s="703">
        <v>31600</v>
      </c>
      <c r="G17" s="704"/>
      <c r="H17" s="708">
        <v>1090094.25</v>
      </c>
      <c r="I17" s="710"/>
      <c r="J17" s="709">
        <v>64204.24</v>
      </c>
      <c r="K17" s="709"/>
    </row>
    <row r="18" spans="2:11">
      <c r="B18" s="703"/>
      <c r="C18" s="704"/>
      <c r="D18" s="704"/>
      <c r="E18" s="704"/>
      <c r="F18" s="703"/>
      <c r="G18" s="704"/>
      <c r="H18" s="708"/>
      <c r="I18" s="351"/>
      <c r="J18" s="709"/>
      <c r="K18" s="709"/>
    </row>
    <row r="19" spans="2:11">
      <c r="B19" s="703">
        <v>6</v>
      </c>
      <c r="C19" s="704"/>
      <c r="D19" s="704" t="s">
        <v>203</v>
      </c>
      <c r="E19" s="704"/>
      <c r="F19" s="703">
        <v>39300</v>
      </c>
      <c r="G19" s="704"/>
      <c r="H19" s="708">
        <v>21810.2</v>
      </c>
      <c r="I19" s="710"/>
      <c r="J19" s="709">
        <v>410.56</v>
      </c>
      <c r="K19" s="709"/>
    </row>
    <row r="20" spans="2:11">
      <c r="B20" s="703"/>
      <c r="C20" s="704"/>
      <c r="D20" s="704"/>
      <c r="E20" s="704"/>
      <c r="F20" s="703"/>
      <c r="G20" s="704"/>
      <c r="H20" s="708"/>
      <c r="I20" s="351"/>
      <c r="J20" s="709"/>
      <c r="K20" s="709"/>
    </row>
    <row r="21" spans="2:11">
      <c r="B21" s="703">
        <v>7</v>
      </c>
      <c r="C21" s="704"/>
      <c r="D21" s="704" t="s">
        <v>205</v>
      </c>
      <c r="E21" s="347"/>
      <c r="F21" s="688">
        <v>39500</v>
      </c>
      <c r="G21" s="347"/>
      <c r="H21" s="706">
        <v>31115.66</v>
      </c>
      <c r="I21" s="707"/>
      <c r="J21" s="706">
        <v>3513.44</v>
      </c>
      <c r="K21" s="706"/>
    </row>
    <row r="22" spans="2:11">
      <c r="B22" s="703"/>
      <c r="C22" s="704"/>
      <c r="D22" s="704"/>
      <c r="E22" s="704"/>
      <c r="F22" s="703"/>
      <c r="G22" s="704"/>
      <c r="H22" s="708"/>
      <c r="I22" s="351"/>
      <c r="J22" s="709"/>
      <c r="K22" s="709"/>
    </row>
    <row r="23" spans="2:11">
      <c r="B23" s="345">
        <v>8</v>
      </c>
      <c r="C23" s="346"/>
      <c r="D23" s="704" t="s">
        <v>209</v>
      </c>
      <c r="E23" s="704"/>
      <c r="F23" s="703">
        <v>39800</v>
      </c>
      <c r="G23" s="704"/>
      <c r="H23" s="708">
        <v>13849.56</v>
      </c>
      <c r="I23" s="710"/>
      <c r="J23" s="709">
        <v>1082.92</v>
      </c>
      <c r="K23" s="709"/>
    </row>
    <row r="24" spans="2:11">
      <c r="B24" s="345"/>
      <c r="C24" s="346"/>
      <c r="D24" s="704"/>
      <c r="E24" s="704"/>
      <c r="F24" s="703"/>
      <c r="G24" s="704"/>
      <c r="H24" s="708"/>
      <c r="I24" s="704"/>
      <c r="J24" s="709"/>
      <c r="K24" s="709"/>
    </row>
    <row r="25" spans="2:11">
      <c r="B25" s="345">
        <v>9</v>
      </c>
      <c r="C25" s="346"/>
      <c r="D25" s="704" t="s">
        <v>207</v>
      </c>
      <c r="E25" s="347"/>
      <c r="F25" s="688">
        <v>39700</v>
      </c>
      <c r="G25" s="347"/>
      <c r="H25" s="706">
        <v>65113</v>
      </c>
      <c r="I25" s="707"/>
      <c r="J25" s="706">
        <v>8765.09</v>
      </c>
      <c r="K25" s="706"/>
    </row>
    <row r="26" spans="2:11">
      <c r="B26" s="345"/>
      <c r="C26" s="346"/>
      <c r="D26" s="350"/>
      <c r="E26" s="348"/>
      <c r="F26" s="348"/>
      <c r="G26" s="348"/>
      <c r="H26" s="711"/>
      <c r="I26" s="354"/>
      <c r="J26" s="697"/>
      <c r="K26" s="697"/>
    </row>
    <row r="27" spans="2:11">
      <c r="B27" s="345">
        <v>10</v>
      </c>
      <c r="C27" s="346"/>
      <c r="D27" s="350" t="s">
        <v>753</v>
      </c>
      <c r="E27" s="348"/>
      <c r="F27" s="348"/>
      <c r="G27" s="348"/>
      <c r="H27" s="711">
        <f>SUM(H9,H11,H13,H15,H17,H19,H21,H23,H25)</f>
        <v>33957903.280000001</v>
      </c>
      <c r="I27" s="351"/>
      <c r="J27" s="697">
        <f>SUM(J9,J11,J13,J15,J17,J19,J21,J23,J25)</f>
        <v>2147169.65</v>
      </c>
      <c r="K27" s="697"/>
    </row>
    <row r="29" spans="2:11">
      <c r="B29" s="88">
        <v>11</v>
      </c>
      <c r="D29" s="89" t="s">
        <v>754</v>
      </c>
      <c r="H29" s="713">
        <v>14966968.5</v>
      </c>
      <c r="J29" s="701"/>
      <c r="K29" s="701"/>
    </row>
    <row r="30" spans="2:11">
      <c r="B30" s="88"/>
      <c r="H30" s="713"/>
      <c r="J30" s="701"/>
      <c r="K30" s="701"/>
    </row>
    <row r="31" spans="2:11">
      <c r="B31" s="88">
        <v>12</v>
      </c>
      <c r="D31" s="89" t="s">
        <v>755</v>
      </c>
      <c r="H31" s="713">
        <v>11466156.84</v>
      </c>
      <c r="J31" s="709"/>
      <c r="K31" s="709"/>
    </row>
    <row r="33" spans="2:12">
      <c r="B33" s="88">
        <v>13</v>
      </c>
      <c r="D33" s="89" t="s">
        <v>59</v>
      </c>
      <c r="F33" s="88" t="s">
        <v>237</v>
      </c>
      <c r="H33" s="714">
        <v>1</v>
      </c>
      <c r="I33" s="512"/>
      <c r="J33" s="512">
        <v>1</v>
      </c>
      <c r="K33" s="512"/>
    </row>
    <row r="34" spans="2:12" ht="13.5" thickBot="1"/>
    <row r="35" spans="2:12" ht="13.5" thickBot="1">
      <c r="B35" s="88">
        <v>14</v>
      </c>
      <c r="D35" s="89" t="s">
        <v>756</v>
      </c>
      <c r="H35" s="715">
        <f>SUM(H27,H29,H31)*H33</f>
        <v>60391028.620000005</v>
      </c>
      <c r="J35" s="716">
        <f>J27*J33</f>
        <v>2147169.65</v>
      </c>
      <c r="L35" s="716">
        <f>+H35-J35</f>
        <v>58243858.970000006</v>
      </c>
    </row>
    <row r="36" spans="2:12" ht="13.5" thickBot="1"/>
    <row r="37" spans="2:12" ht="26.5" thickBot="1">
      <c r="B37" s="88">
        <v>15</v>
      </c>
      <c r="D37" s="508" t="s">
        <v>958</v>
      </c>
      <c r="H37" s="715">
        <v>-60391028.619999997</v>
      </c>
      <c r="J37" s="716">
        <v>-2147169.65</v>
      </c>
      <c r="L37" s="716">
        <f>+H37-J37</f>
        <v>-58243858.969999999</v>
      </c>
    </row>
    <row r="40" spans="2:12">
      <c r="B40" s="88">
        <v>16</v>
      </c>
      <c r="C40" s="89" t="s">
        <v>960</v>
      </c>
      <c r="D40" s="89" t="s">
        <v>961</v>
      </c>
    </row>
    <row r="41" spans="2:12">
      <c r="B41" s="88">
        <v>17</v>
      </c>
      <c r="C41" s="89">
        <v>31000</v>
      </c>
      <c r="D41" s="89" t="s">
        <v>166</v>
      </c>
      <c r="F41" s="700">
        <v>0</v>
      </c>
      <c r="H41" s="89">
        <v>0</v>
      </c>
      <c r="J41" s="89">
        <f t="shared" ref="J41:J56" si="0">-H41</f>
        <v>0</v>
      </c>
    </row>
    <row r="42" spans="2:12">
      <c r="B42" s="88">
        <v>18</v>
      </c>
      <c r="C42" s="89">
        <v>31100</v>
      </c>
      <c r="D42" s="89" t="s">
        <v>703</v>
      </c>
      <c r="F42" s="700">
        <v>2.58E-2</v>
      </c>
      <c r="H42" s="701">
        <f>H9*F42</f>
        <v>86777.950668000005</v>
      </c>
      <c r="J42" s="701">
        <f t="shared" si="0"/>
        <v>-86777.950668000005</v>
      </c>
    </row>
    <row r="43" spans="2:12">
      <c r="B43" s="88">
        <v>19</v>
      </c>
      <c r="C43" s="89">
        <v>31200</v>
      </c>
      <c r="D43" s="89" t="s">
        <v>170</v>
      </c>
      <c r="F43" s="700">
        <v>2.9600000000000001E-2</v>
      </c>
      <c r="H43" s="701">
        <f>F43*H11</f>
        <v>697233.63051199995</v>
      </c>
      <c r="J43" s="701">
        <f t="shared" si="0"/>
        <v>-697233.63051199995</v>
      </c>
    </row>
    <row r="44" spans="2:12">
      <c r="B44" s="88">
        <v>20</v>
      </c>
      <c r="C44" s="89">
        <v>31200</v>
      </c>
      <c r="D44" s="89" t="s">
        <v>176</v>
      </c>
      <c r="F44" s="700">
        <v>0.125</v>
      </c>
      <c r="H44" s="89">
        <v>0</v>
      </c>
      <c r="J44" s="89">
        <f t="shared" si="0"/>
        <v>0</v>
      </c>
    </row>
    <row r="45" spans="2:12">
      <c r="B45" s="88">
        <v>21</v>
      </c>
      <c r="C45" s="89">
        <v>31400</v>
      </c>
      <c r="D45" s="89" t="s">
        <v>704</v>
      </c>
      <c r="F45" s="700">
        <v>1.67E-2</v>
      </c>
      <c r="H45" s="701">
        <f>F45*H13</f>
        <v>86246.807650000002</v>
      </c>
      <c r="J45" s="701">
        <f t="shared" si="0"/>
        <v>-86246.807650000002</v>
      </c>
    </row>
    <row r="46" spans="2:12">
      <c r="B46" s="88">
        <v>22</v>
      </c>
      <c r="C46" s="89">
        <v>31500</v>
      </c>
      <c r="D46" s="89" t="s">
        <v>172</v>
      </c>
      <c r="F46" s="700">
        <v>1.49E-2</v>
      </c>
      <c r="H46" s="701">
        <f>F46*H15</f>
        <v>9726.1900070000011</v>
      </c>
      <c r="J46" s="701">
        <f t="shared" si="0"/>
        <v>-9726.1900070000011</v>
      </c>
    </row>
    <row r="47" spans="2:12">
      <c r="B47" s="88">
        <v>23</v>
      </c>
      <c r="C47" s="89">
        <v>31510</v>
      </c>
      <c r="D47" s="89" t="s">
        <v>681</v>
      </c>
      <c r="F47" s="700">
        <v>3.2000000000000001E-2</v>
      </c>
      <c r="H47" s="89">
        <v>0</v>
      </c>
      <c r="J47" s="89">
        <f t="shared" si="0"/>
        <v>0</v>
      </c>
    </row>
    <row r="48" spans="2:12">
      <c r="B48" s="88">
        <v>24</v>
      </c>
      <c r="C48" s="89">
        <v>31531</v>
      </c>
      <c r="D48" s="89" t="s">
        <v>682</v>
      </c>
      <c r="F48" s="700">
        <v>5.6599999999999998E-2</v>
      </c>
      <c r="H48" s="89">
        <v>0</v>
      </c>
      <c r="J48" s="89">
        <f t="shared" si="0"/>
        <v>0</v>
      </c>
    </row>
    <row r="49" spans="2:10">
      <c r="B49" s="88">
        <v>25</v>
      </c>
      <c r="C49" s="89">
        <v>31600</v>
      </c>
      <c r="D49" s="89" t="s">
        <v>705</v>
      </c>
      <c r="F49" s="700">
        <v>2.63E-2</v>
      </c>
      <c r="H49" s="701">
        <f>F49*H17</f>
        <v>28669.478775</v>
      </c>
      <c r="J49" s="701">
        <f t="shared" si="0"/>
        <v>-28669.478775</v>
      </c>
    </row>
    <row r="50" spans="2:10">
      <c r="B50" s="88">
        <v>26</v>
      </c>
      <c r="C50" s="89">
        <v>31700</v>
      </c>
      <c r="D50" s="89" t="s">
        <v>174</v>
      </c>
      <c r="H50" s="89">
        <v>0</v>
      </c>
      <c r="J50" s="89">
        <f t="shared" si="0"/>
        <v>0</v>
      </c>
    </row>
    <row r="51" spans="2:10">
      <c r="B51" s="88">
        <v>27</v>
      </c>
      <c r="C51" s="89">
        <v>39300</v>
      </c>
      <c r="D51" s="89" t="s">
        <v>203</v>
      </c>
      <c r="F51" s="700">
        <v>4.1500000000000002E-2</v>
      </c>
      <c r="H51" s="701">
        <f>F51*H19</f>
        <v>905.12330000000009</v>
      </c>
      <c r="J51" s="701">
        <f t="shared" si="0"/>
        <v>-905.12330000000009</v>
      </c>
    </row>
    <row r="52" spans="2:10">
      <c r="B52" s="88">
        <v>28</v>
      </c>
      <c r="C52" s="89">
        <v>39400</v>
      </c>
      <c r="D52" s="89" t="s">
        <v>204</v>
      </c>
      <c r="F52" s="700">
        <v>4.2000000000000003E-2</v>
      </c>
      <c r="H52" s="89">
        <v>0</v>
      </c>
      <c r="J52" s="89">
        <f t="shared" si="0"/>
        <v>0</v>
      </c>
    </row>
    <row r="53" spans="2:10">
      <c r="B53" s="88">
        <v>29</v>
      </c>
      <c r="C53" s="89">
        <v>39500</v>
      </c>
      <c r="D53" s="89" t="s">
        <v>205</v>
      </c>
      <c r="F53" s="700">
        <v>5.7599999999999998E-2</v>
      </c>
      <c r="H53" s="701">
        <f>F53*H21</f>
        <v>1792.2620159999999</v>
      </c>
      <c r="J53" s="701">
        <f t="shared" si="0"/>
        <v>-1792.2620159999999</v>
      </c>
    </row>
    <row r="54" spans="2:10">
      <c r="B54" s="88">
        <v>30</v>
      </c>
      <c r="C54" s="89">
        <v>39600</v>
      </c>
      <c r="D54" s="89" t="s">
        <v>206</v>
      </c>
      <c r="F54" s="700">
        <v>5.4300000000000001E-2</v>
      </c>
      <c r="H54" s="89">
        <v>0</v>
      </c>
      <c r="J54" s="89">
        <f t="shared" si="0"/>
        <v>0</v>
      </c>
    </row>
    <row r="55" spans="2:10">
      <c r="B55" s="88">
        <v>31</v>
      </c>
      <c r="C55" s="89">
        <v>39730</v>
      </c>
      <c r="D55" s="89" t="s">
        <v>207</v>
      </c>
      <c r="F55" s="700">
        <v>5.6599999999999998E-2</v>
      </c>
      <c r="H55" s="701">
        <f>F55*H25</f>
        <v>3685.3957999999998</v>
      </c>
      <c r="J55" s="701">
        <f t="shared" si="0"/>
        <v>-3685.3957999999998</v>
      </c>
    </row>
    <row r="56" spans="2:10" ht="13.5" thickBot="1">
      <c r="B56" s="88">
        <v>32</v>
      </c>
      <c r="C56" s="89">
        <v>39800</v>
      </c>
      <c r="D56" s="89" t="s">
        <v>209</v>
      </c>
      <c r="F56" s="700">
        <v>6.7299999999999999E-2</v>
      </c>
      <c r="H56" s="717">
        <f>F56*H23</f>
        <v>932.07538799999998</v>
      </c>
      <c r="J56" s="717">
        <f t="shared" si="0"/>
        <v>-932.07538799999998</v>
      </c>
    </row>
    <row r="57" spans="2:10" ht="13.5" thickBot="1">
      <c r="B57" s="88">
        <v>33</v>
      </c>
      <c r="C57" s="89" t="s">
        <v>138</v>
      </c>
      <c r="D57" s="89" t="s">
        <v>142</v>
      </c>
      <c r="H57" s="716">
        <f>SUM(H41:H56)</f>
        <v>915968.91411599994</v>
      </c>
      <c r="J57" s="716">
        <f>SUM(J41:J56)</f>
        <v>-915968.91411599994</v>
      </c>
    </row>
    <row r="60" spans="2:10">
      <c r="B60" s="89" t="s">
        <v>33</v>
      </c>
      <c r="C60" s="89" t="s">
        <v>622</v>
      </c>
    </row>
    <row r="62" spans="2:10">
      <c r="F62" s="89" t="s">
        <v>962</v>
      </c>
      <c r="H62" s="375">
        <f>SUM(H41:H50)</f>
        <v>908654.05761199992</v>
      </c>
      <c r="J62" s="375">
        <f>SUM(J41:J50)</f>
        <v>-908654.05761199992</v>
      </c>
    </row>
    <row r="63" spans="2:10">
      <c r="F63" s="89" t="s">
        <v>963</v>
      </c>
      <c r="H63" s="375">
        <f>SUM(H51:H56)</f>
        <v>7314.8565040000003</v>
      </c>
      <c r="J63" s="375">
        <f>SUM(J51:J56)</f>
        <v>-7314.8565040000003</v>
      </c>
    </row>
    <row r="64" spans="2:10">
      <c r="H64" s="388">
        <f>SUM(H62:H63)</f>
        <v>915968.91411599994</v>
      </c>
      <c r="J64" s="388">
        <f>SUM(J62:J63)</f>
        <v>-915968.91411599994</v>
      </c>
    </row>
    <row r="65" spans="8:10">
      <c r="H65" s="701">
        <f>H57-H64</f>
        <v>0</v>
      </c>
      <c r="J65" s="701">
        <f>J57-J64</f>
        <v>0</v>
      </c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scale="5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B76E7-38F8-4724-A905-846017FBFB12}">
  <sheetPr>
    <pageSetUpPr fitToPage="1"/>
  </sheetPr>
  <dimension ref="A1:G18"/>
  <sheetViews>
    <sheetView zoomScale="110" zoomScaleNormal="110" workbookViewId="0">
      <selection activeCell="C23" sqref="C23"/>
    </sheetView>
  </sheetViews>
  <sheetFormatPr defaultColWidth="9.26953125" defaultRowHeight="13"/>
  <cols>
    <col min="1" max="1" width="8.7265625" style="89" customWidth="1"/>
    <col min="2" max="2" width="9.26953125" style="89"/>
    <col min="3" max="3" width="34.54296875" style="89" bestFit="1" customWidth="1"/>
    <col min="4" max="4" width="12.7265625" style="89" bestFit="1" customWidth="1"/>
    <col min="5" max="5" width="11.1796875" style="89" bestFit="1" customWidth="1"/>
    <col min="6" max="16384" width="9.26953125" style="89"/>
  </cols>
  <sheetData>
    <row r="1" spans="1:7">
      <c r="B1" s="912" t="s">
        <v>0</v>
      </c>
      <c r="C1" s="912"/>
      <c r="D1" s="912"/>
      <c r="E1" s="912"/>
      <c r="F1" s="718"/>
      <c r="G1" s="718"/>
    </row>
    <row r="2" spans="1:7">
      <c r="B2" s="912" t="s">
        <v>632</v>
      </c>
      <c r="C2" s="912"/>
      <c r="D2" s="912"/>
      <c r="E2" s="912"/>
      <c r="F2" s="718"/>
      <c r="G2" s="718"/>
    </row>
    <row r="3" spans="1:7">
      <c r="B3" s="912" t="s">
        <v>599</v>
      </c>
      <c r="C3" s="912"/>
      <c r="D3" s="912"/>
      <c r="E3" s="912"/>
      <c r="F3" s="718"/>
      <c r="G3" s="718"/>
    </row>
    <row r="4" spans="1:7">
      <c r="B4" s="859" t="s">
        <v>911</v>
      </c>
      <c r="C4" s="859"/>
      <c r="D4" s="859"/>
      <c r="E4" s="859"/>
      <c r="F4" s="718"/>
      <c r="G4" s="718"/>
    </row>
    <row r="8" spans="1:7">
      <c r="A8" s="342" t="s">
        <v>10</v>
      </c>
      <c r="B8" s="342"/>
      <c r="C8" s="342" t="s">
        <v>117</v>
      </c>
      <c r="D8" s="342" t="s">
        <v>54</v>
      </c>
      <c r="E8" s="342" t="s">
        <v>118</v>
      </c>
    </row>
    <row r="9" spans="1:7">
      <c r="A9" s="693" t="s">
        <v>99</v>
      </c>
      <c r="B9" s="344"/>
      <c r="C9" s="693" t="s">
        <v>100</v>
      </c>
      <c r="D9" s="693" t="s">
        <v>923</v>
      </c>
      <c r="E9" s="693" t="s">
        <v>102</v>
      </c>
    </row>
    <row r="10" spans="1:7">
      <c r="A10" s="684"/>
      <c r="B10" s="685"/>
      <c r="C10" s="685"/>
      <c r="D10" s="685"/>
      <c r="E10" s="685"/>
    </row>
    <row r="11" spans="1:7">
      <c r="A11" s="684">
        <v>1</v>
      </c>
      <c r="B11" s="685"/>
      <c r="C11" s="685" t="s">
        <v>632</v>
      </c>
      <c r="D11" s="684">
        <v>186</v>
      </c>
      <c r="E11" s="719">
        <v>10000000</v>
      </c>
    </row>
    <row r="12" spans="1:7">
      <c r="A12" s="684"/>
      <c r="B12" s="685"/>
      <c r="C12" s="685"/>
      <c r="D12" s="684"/>
      <c r="E12" s="685"/>
    </row>
    <row r="13" spans="1:7">
      <c r="A13" s="345">
        <v>2</v>
      </c>
      <c r="B13" s="346"/>
      <c r="C13" s="353" t="s">
        <v>328</v>
      </c>
      <c r="D13" s="340"/>
      <c r="E13" s="361">
        <v>1</v>
      </c>
    </row>
    <row r="14" spans="1:7">
      <c r="A14" s="345"/>
      <c r="B14" s="346"/>
      <c r="C14" s="348"/>
      <c r="D14" s="343"/>
      <c r="E14" s="354"/>
    </row>
    <row r="15" spans="1:7" ht="13.5" thickBot="1">
      <c r="A15" s="345">
        <v>3</v>
      </c>
      <c r="B15" s="346"/>
      <c r="C15" s="353" t="s">
        <v>49</v>
      </c>
      <c r="D15" s="684">
        <v>186</v>
      </c>
      <c r="E15" s="692">
        <f>E11*E13</f>
        <v>10000000</v>
      </c>
    </row>
    <row r="16" spans="1:7" ht="13.5" thickTop="1"/>
    <row r="18" spans="1:1">
      <c r="A18" s="89" t="s">
        <v>742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967-6802-4ACC-A5AF-46AEB7CA5B31}">
  <sheetPr>
    <pageSetUpPr fitToPage="1"/>
  </sheetPr>
  <dimension ref="A1:H20"/>
  <sheetViews>
    <sheetView zoomScaleNormal="100" workbookViewId="0">
      <selection sqref="A1:XFD1048576"/>
    </sheetView>
  </sheetViews>
  <sheetFormatPr defaultColWidth="9.1796875" defaultRowHeight="13"/>
  <cols>
    <col min="1" max="1" width="7.81640625" style="89" bestFit="1" customWidth="1"/>
    <col min="2" max="2" width="40.54296875" style="89" bestFit="1" customWidth="1"/>
    <col min="3" max="3" width="2.81640625" style="89" customWidth="1"/>
    <col min="4" max="4" width="13.7265625" style="89" bestFit="1" customWidth="1"/>
    <col min="5" max="5" width="11.1796875" style="89" bestFit="1" customWidth="1"/>
    <col min="6" max="6" width="15.26953125" style="89" bestFit="1" customWidth="1"/>
    <col min="7" max="7" width="9" style="89" bestFit="1" customWidth="1"/>
    <col min="8" max="8" width="14.1796875" style="89" bestFit="1" customWidth="1"/>
    <col min="9" max="16384" width="9.1796875" style="89"/>
  </cols>
  <sheetData>
    <row r="1" spans="1:8">
      <c r="B1" s="913" t="s">
        <v>0</v>
      </c>
      <c r="C1" s="913"/>
      <c r="D1" s="913"/>
      <c r="E1" s="913"/>
      <c r="F1" s="913"/>
      <c r="G1" s="913"/>
      <c r="H1" s="913"/>
    </row>
    <row r="2" spans="1:8">
      <c r="B2" s="913" t="s">
        <v>517</v>
      </c>
      <c r="C2" s="913"/>
      <c r="D2" s="913"/>
      <c r="E2" s="913"/>
      <c r="F2" s="913"/>
      <c r="G2" s="913"/>
      <c r="H2" s="913"/>
    </row>
    <row r="3" spans="1:8">
      <c r="B3" s="843" t="s">
        <v>591</v>
      </c>
      <c r="C3" s="843"/>
      <c r="D3" s="843"/>
      <c r="E3" s="843"/>
      <c r="F3" s="843"/>
      <c r="G3" s="843"/>
      <c r="H3" s="843"/>
    </row>
    <row r="4" spans="1:8">
      <c r="B4" s="914" t="s">
        <v>909</v>
      </c>
      <c r="C4" s="914"/>
      <c r="D4" s="914"/>
      <c r="E4" s="914"/>
      <c r="F4" s="914"/>
      <c r="G4" s="914"/>
      <c r="H4" s="914"/>
    </row>
    <row r="7" spans="1:8" ht="52">
      <c r="A7" s="720" t="s">
        <v>516</v>
      </c>
      <c r="D7" s="721" t="s">
        <v>518</v>
      </c>
      <c r="E7" s="721" t="s">
        <v>519</v>
      </c>
      <c r="F7" s="721" t="s">
        <v>520</v>
      </c>
      <c r="G7" s="721" t="s">
        <v>521</v>
      </c>
      <c r="H7" s="721" t="s">
        <v>522</v>
      </c>
    </row>
    <row r="8" spans="1:8">
      <c r="A8" s="693" t="s">
        <v>99</v>
      </c>
      <c r="B8" s="693" t="s">
        <v>100</v>
      </c>
      <c r="D8" s="693" t="s">
        <v>923</v>
      </c>
      <c r="E8" s="693" t="s">
        <v>102</v>
      </c>
      <c r="F8" s="722" t="s">
        <v>894</v>
      </c>
      <c r="G8" s="722" t="s">
        <v>104</v>
      </c>
      <c r="H8" s="722" t="s">
        <v>105</v>
      </c>
    </row>
    <row r="9" spans="1:8">
      <c r="D9" s="726"/>
    </row>
    <row r="10" spans="1:8">
      <c r="A10" s="89">
        <v>1</v>
      </c>
      <c r="B10" s="723" t="s">
        <v>810</v>
      </c>
      <c r="D10" s="504">
        <v>-545207.01707873074</v>
      </c>
      <c r="E10" s="724">
        <v>1</v>
      </c>
      <c r="F10" s="504">
        <f>D10*E10</f>
        <v>-545207.01707873074</v>
      </c>
      <c r="G10" s="88" t="s">
        <v>237</v>
      </c>
      <c r="H10" s="504">
        <f>-F10</f>
        <v>545207.01707873074</v>
      </c>
    </row>
    <row r="11" spans="1:8">
      <c r="A11" s="89">
        <v>2</v>
      </c>
      <c r="B11" s="725" t="s">
        <v>811</v>
      </c>
      <c r="D11" s="504">
        <v>-1279084.4077337682</v>
      </c>
      <c r="E11" s="724">
        <v>1</v>
      </c>
      <c r="F11" s="504">
        <f>D11*E11</f>
        <v>-1279084.4077337682</v>
      </c>
      <c r="G11" s="88" t="s">
        <v>237</v>
      </c>
      <c r="H11" s="504">
        <f>-F11</f>
        <v>1279084.4077337682</v>
      </c>
    </row>
    <row r="12" spans="1:8">
      <c r="A12" s="89">
        <v>2</v>
      </c>
      <c r="B12" s="725" t="s">
        <v>812</v>
      </c>
      <c r="D12" s="504">
        <v>-1254034.1216688731</v>
      </c>
      <c r="E12" s="724">
        <v>1</v>
      </c>
      <c r="F12" s="504">
        <f>D12*E12</f>
        <v>-1254034.1216688731</v>
      </c>
      <c r="G12" s="88" t="s">
        <v>237</v>
      </c>
      <c r="H12" s="504">
        <f>-F12</f>
        <v>1254034.1216688731</v>
      </c>
    </row>
    <row r="13" spans="1:8">
      <c r="A13" s="89">
        <v>3</v>
      </c>
      <c r="B13" s="725" t="s">
        <v>813</v>
      </c>
      <c r="D13" s="727">
        <v>-823816.13785034651</v>
      </c>
      <c r="E13" s="724">
        <v>1</v>
      </c>
      <c r="F13" s="727">
        <f>D13*E13</f>
        <v>-823816.13785034651</v>
      </c>
      <c r="G13" s="88" t="s">
        <v>237</v>
      </c>
      <c r="H13" s="727">
        <f>-F13</f>
        <v>823816.13785034651</v>
      </c>
    </row>
    <row r="15" spans="1:8" ht="13.5" thickBot="1">
      <c r="A15" s="89">
        <v>4</v>
      </c>
      <c r="B15" s="725"/>
      <c r="D15" s="504">
        <f>SUM(D10:D14)</f>
        <v>-3902141.6843317184</v>
      </c>
      <c r="F15" s="504">
        <f>SUM(F10:F14)</f>
        <v>-3902141.6843317184</v>
      </c>
      <c r="H15" s="728">
        <f>SUM(H10:H14)</f>
        <v>3902141.6843317184</v>
      </c>
    </row>
    <row r="16" spans="1:8" ht="13.5" thickTop="1"/>
    <row r="17" spans="1:4">
      <c r="B17" s="725"/>
      <c r="D17" s="729"/>
    </row>
    <row r="20" spans="1:4">
      <c r="A20" s="315" t="s">
        <v>33</v>
      </c>
      <c r="B20" s="315" t="s">
        <v>725</v>
      </c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scale="78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6E78-A1F9-4362-A06F-7702B975DE50}">
  <sheetPr>
    <pageSetUpPr fitToPage="1"/>
  </sheetPr>
  <dimension ref="A1:F30"/>
  <sheetViews>
    <sheetView zoomScaleNormal="100" workbookViewId="0">
      <selection activeCell="D2" sqref="D2"/>
    </sheetView>
  </sheetViews>
  <sheetFormatPr defaultColWidth="13.7265625" defaultRowHeight="13"/>
  <cols>
    <col min="1" max="1" width="7.81640625" style="89" bestFit="1" customWidth="1"/>
    <col min="2" max="2" width="60.81640625" style="89" bestFit="1" customWidth="1"/>
    <col min="3" max="3" width="3.54296875" style="89" customWidth="1"/>
    <col min="4" max="4" width="13.453125" style="89" customWidth="1"/>
    <col min="5" max="5" width="1" style="89" bestFit="1" customWidth="1"/>
    <col min="6" max="16384" width="13.7265625" style="89"/>
  </cols>
  <sheetData>
    <row r="1" spans="1:5">
      <c r="B1" s="843" t="s">
        <v>0</v>
      </c>
      <c r="C1" s="876"/>
      <c r="E1" s="315" t="s">
        <v>51</v>
      </c>
    </row>
    <row r="2" spans="1:5">
      <c r="B2" s="843" t="s">
        <v>567</v>
      </c>
      <c r="C2" s="876"/>
      <c r="E2" s="465" t="s">
        <v>51</v>
      </c>
    </row>
    <row r="3" spans="1:5">
      <c r="B3" s="843" t="s">
        <v>591</v>
      </c>
      <c r="C3" s="876"/>
      <c r="E3" s="465" t="s">
        <v>51</v>
      </c>
    </row>
    <row r="4" spans="1:5">
      <c r="B4" s="498" t="s">
        <v>568</v>
      </c>
      <c r="C4" s="227"/>
    </row>
    <row r="6" spans="1:5">
      <c r="A6" s="730" t="s">
        <v>10</v>
      </c>
      <c r="B6" s="635" t="s">
        <v>117</v>
      </c>
      <c r="D6" s="635" t="s">
        <v>118</v>
      </c>
    </row>
    <row r="7" spans="1:5">
      <c r="A7" s="693" t="s">
        <v>99</v>
      </c>
      <c r="B7" s="693" t="s">
        <v>100</v>
      </c>
      <c r="D7" s="693" t="s">
        <v>923</v>
      </c>
    </row>
    <row r="9" spans="1:5">
      <c r="A9" s="427">
        <v>1</v>
      </c>
      <c r="B9" s="315" t="s">
        <v>569</v>
      </c>
      <c r="D9" s="582">
        <f>'[3]CFIT Schedules'!O173</f>
        <v>-202058574.62883919</v>
      </c>
    </row>
    <row r="10" spans="1:5">
      <c r="A10" s="427">
        <v>2</v>
      </c>
      <c r="B10" s="315" t="s">
        <v>570</v>
      </c>
      <c r="D10" s="731">
        <f>'[2]2 P1'!$K$11</f>
        <v>2.9600000000000001E-2</v>
      </c>
    </row>
    <row r="11" spans="1:5">
      <c r="A11" s="427">
        <v>3</v>
      </c>
      <c r="B11" s="315" t="s">
        <v>571</v>
      </c>
      <c r="D11" s="732">
        <f>'[2]2 P1'!$K$13</f>
        <v>4.0000000000000003E-5</v>
      </c>
    </row>
    <row r="12" spans="1:5" ht="13.5" thickBot="1">
      <c r="A12" s="427">
        <v>4</v>
      </c>
      <c r="B12" s="315" t="s">
        <v>572</v>
      </c>
      <c r="D12" s="733">
        <f>D9*(D10+D11)</f>
        <v>-5989016.1519987937</v>
      </c>
    </row>
    <row r="13" spans="1:5" ht="13.5" thickTop="1">
      <c r="D13" s="629"/>
    </row>
    <row r="14" spans="1:5">
      <c r="A14" s="427">
        <f>A12+1</f>
        <v>5</v>
      </c>
      <c r="B14" s="89" t="s">
        <v>573</v>
      </c>
      <c r="D14" s="582">
        <f>'[3]CFIT Schedules'!P16</f>
        <v>5886172.9803599995</v>
      </c>
    </row>
    <row r="15" spans="1:5">
      <c r="A15" s="427">
        <f>A14+1</f>
        <v>6</v>
      </c>
      <c r="B15" s="315" t="s">
        <v>574</v>
      </c>
      <c r="D15" s="734">
        <f>'[2]Allocation Factors'!$G$34</f>
        <v>1</v>
      </c>
    </row>
    <row r="16" spans="1:5" ht="13.5" thickBot="1">
      <c r="A16" s="427">
        <f>A15+1</f>
        <v>7</v>
      </c>
      <c r="B16" s="315" t="s">
        <v>575</v>
      </c>
      <c r="D16" s="735">
        <f>D14*D15</f>
        <v>5886172.9803599995</v>
      </c>
    </row>
    <row r="17" spans="1:6" ht="13.5" thickTop="1">
      <c r="D17" s="629"/>
    </row>
    <row r="18" spans="1:6" ht="13.5" thickBot="1">
      <c r="A18" s="427">
        <f>A16+1</f>
        <v>8</v>
      </c>
      <c r="B18" s="315" t="s">
        <v>576</v>
      </c>
      <c r="D18" s="735">
        <f>D12-D16</f>
        <v>-11875189.132358793</v>
      </c>
    </row>
    <row r="19" spans="1:6" ht="13.5" thickTop="1">
      <c r="A19" s="427">
        <f>A18+1</f>
        <v>9</v>
      </c>
      <c r="B19" s="315" t="s">
        <v>577</v>
      </c>
      <c r="D19" s="736">
        <f>'[2]2 P2'!$G$53</f>
        <v>5.0097000000000003E-2</v>
      </c>
    </row>
    <row r="20" spans="1:6" ht="13.5" thickBot="1">
      <c r="A20" s="427">
        <f>A19+1</f>
        <v>10</v>
      </c>
      <c r="B20" s="315" t="s">
        <v>578</v>
      </c>
      <c r="D20" s="735">
        <f>D18*D19*-1</f>
        <v>594911.34996377851</v>
      </c>
      <c r="F20" s="740"/>
    </row>
    <row r="21" spans="1:6" ht="13.5" thickTop="1">
      <c r="D21" s="629"/>
    </row>
    <row r="22" spans="1:6" ht="13.5" thickBot="1">
      <c r="A22" s="427">
        <f>A20+1</f>
        <v>11</v>
      </c>
      <c r="B22" s="315" t="s">
        <v>579</v>
      </c>
      <c r="D22" s="735">
        <f>D18+D20</f>
        <v>-11280277.782395015</v>
      </c>
    </row>
    <row r="23" spans="1:6" ht="13.5" thickTop="1">
      <c r="A23" s="427">
        <f>A22+1</f>
        <v>12</v>
      </c>
      <c r="B23" s="315" t="s">
        <v>580</v>
      </c>
      <c r="D23" s="737">
        <v>0.21</v>
      </c>
    </row>
    <row r="24" spans="1:6" ht="13.5" thickBot="1">
      <c r="A24" s="427">
        <f>A23+1</f>
        <v>13</v>
      </c>
      <c r="B24" s="315" t="s">
        <v>581</v>
      </c>
      <c r="D24" s="735">
        <f>D22*D23*-1</f>
        <v>2368858.334302953</v>
      </c>
      <c r="F24" s="740"/>
    </row>
    <row r="25" spans="1:6" ht="13.5" thickTop="1">
      <c r="D25" s="738"/>
    </row>
    <row r="26" spans="1:6" ht="13.5" thickBot="1">
      <c r="A26" s="427">
        <f>A24+1</f>
        <v>14</v>
      </c>
      <c r="B26" s="315" t="s">
        <v>582</v>
      </c>
      <c r="D26" s="739">
        <f>D20+D24</f>
        <v>2963769.6842667316</v>
      </c>
    </row>
    <row r="27" spans="1:6" ht="13.5" thickTop="1">
      <c r="D27" s="629"/>
    </row>
    <row r="28" spans="1:6">
      <c r="B28" s="315" t="s">
        <v>51</v>
      </c>
    </row>
    <row r="29" spans="1:6">
      <c r="A29" s="315" t="s">
        <v>33</v>
      </c>
      <c r="B29" s="315" t="s">
        <v>725</v>
      </c>
    </row>
    <row r="30" spans="1:6">
      <c r="E30" s="741"/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8393-36AB-43D8-90D6-9FE7DCF3AE3F}">
  <sheetPr>
    <pageSetUpPr fitToPage="1"/>
  </sheetPr>
  <dimension ref="A1:D15"/>
  <sheetViews>
    <sheetView zoomScale="110" zoomScaleNormal="110" workbookViewId="0">
      <selection activeCell="D17" sqref="D17"/>
    </sheetView>
  </sheetViews>
  <sheetFormatPr defaultColWidth="8.7265625" defaultRowHeight="13"/>
  <cols>
    <col min="1" max="1" width="6.54296875" style="89" customWidth="1"/>
    <col min="2" max="2" width="6.453125" style="89" bestFit="1" customWidth="1"/>
    <col min="3" max="3" width="11.1796875" style="89" bestFit="1" customWidth="1"/>
    <col min="4" max="4" width="25.26953125" style="89" customWidth="1"/>
    <col min="5" max="16384" width="8.7265625" style="89"/>
  </cols>
  <sheetData>
    <row r="1" spans="1:4" ht="15" customHeight="1">
      <c r="A1" s="913" t="s">
        <v>0</v>
      </c>
      <c r="B1" s="913"/>
      <c r="C1" s="913"/>
      <c r="D1" s="913"/>
    </row>
    <row r="2" spans="1:4" ht="15" customHeight="1">
      <c r="A2" s="913" t="s">
        <v>563</v>
      </c>
      <c r="B2" s="913"/>
      <c r="C2" s="913"/>
      <c r="D2" s="913"/>
    </row>
    <row r="3" spans="1:4" ht="12.75" customHeight="1">
      <c r="A3" s="843" t="s">
        <v>591</v>
      </c>
      <c r="B3" s="843"/>
      <c r="C3" s="843"/>
      <c r="D3" s="843"/>
    </row>
    <row r="4" spans="1:4" ht="15" customHeight="1">
      <c r="A4" s="914" t="s">
        <v>503</v>
      </c>
      <c r="B4" s="914"/>
      <c r="C4" s="914"/>
      <c r="D4" s="914"/>
    </row>
    <row r="5" spans="1:4">
      <c r="B5" s="153"/>
      <c r="C5" s="153"/>
      <c r="D5" s="153"/>
    </row>
    <row r="6" spans="1:4">
      <c r="B6" s="153"/>
      <c r="C6" s="153" t="s">
        <v>118</v>
      </c>
      <c r="D6" s="153" t="s">
        <v>564</v>
      </c>
    </row>
    <row r="7" spans="1:4">
      <c r="B7" s="88">
        <v>1</v>
      </c>
      <c r="C7" s="375">
        <v>99492266.964151755</v>
      </c>
      <c r="D7" s="88" t="s">
        <v>566</v>
      </c>
    </row>
    <row r="8" spans="1:4">
      <c r="B8" s="88"/>
      <c r="C8" s="388"/>
    </row>
    <row r="9" spans="1:4">
      <c r="B9" s="88">
        <v>2</v>
      </c>
      <c r="C9" s="375">
        <f>[1]W03!$H$16</f>
        <v>44877672</v>
      </c>
      <c r="D9" s="88" t="s">
        <v>814</v>
      </c>
    </row>
    <row r="10" spans="1:4">
      <c r="B10" s="88"/>
      <c r="C10" s="388"/>
    </row>
    <row r="11" spans="1:4" ht="39.5" thickBot="1">
      <c r="B11" s="88" t="s">
        <v>494</v>
      </c>
      <c r="C11" s="742">
        <f>C7-C9</f>
        <v>54614594.964151755</v>
      </c>
      <c r="D11" s="743" t="s">
        <v>565</v>
      </c>
    </row>
    <row r="12" spans="1:4" ht="13.5" thickTop="1">
      <c r="B12" s="88"/>
    </row>
    <row r="13" spans="1:4">
      <c r="B13" s="88"/>
    </row>
    <row r="15" spans="1:4">
      <c r="A15" s="89" t="s">
        <v>726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8BE8-0E5A-426C-B161-E98F3E9CC7F4}">
  <sheetPr>
    <pageSetUpPr fitToPage="1"/>
  </sheetPr>
  <dimension ref="A1:P80"/>
  <sheetViews>
    <sheetView zoomScaleNormal="100" workbookViewId="0">
      <selection sqref="A1:J57"/>
    </sheetView>
  </sheetViews>
  <sheetFormatPr defaultColWidth="13.7265625" defaultRowHeight="13"/>
  <cols>
    <col min="1" max="1" width="7.81640625" style="744" bestFit="1" customWidth="1"/>
    <col min="2" max="2" width="38.81640625" style="115" bestFit="1" customWidth="1"/>
    <col min="3" max="3" width="16" style="115" bestFit="1" customWidth="1"/>
    <col min="4" max="4" width="10.81640625" style="115" bestFit="1" customWidth="1"/>
    <col min="5" max="5" width="13.1796875" style="115" bestFit="1" customWidth="1"/>
    <col min="6" max="6" width="9.26953125" style="115" bestFit="1" customWidth="1"/>
    <col min="7" max="7" width="11" style="115" bestFit="1" customWidth="1"/>
    <col min="8" max="8" width="11.453125" style="115" bestFit="1" customWidth="1"/>
    <col min="9" max="9" width="12.453125" style="115" bestFit="1" customWidth="1"/>
    <col min="10" max="10" width="13.54296875" style="115" bestFit="1" customWidth="1"/>
    <col min="11" max="11" width="16.26953125" style="115" bestFit="1" customWidth="1"/>
    <col min="12" max="12" width="56" style="115" bestFit="1" customWidth="1"/>
    <col min="13" max="13" width="60.54296875" style="115" bestFit="1" customWidth="1"/>
    <col min="14" max="15" width="13.7265625" style="115"/>
    <col min="16" max="16" width="14" style="115" bestFit="1" customWidth="1"/>
    <col min="17" max="16384" width="13.7265625" style="115"/>
  </cols>
  <sheetData>
    <row r="1" spans="1:12">
      <c r="A1" s="916" t="s">
        <v>0</v>
      </c>
      <c r="B1" s="916"/>
      <c r="C1" s="916"/>
      <c r="D1" s="916"/>
      <c r="E1" s="916"/>
      <c r="F1" s="916"/>
      <c r="G1" s="916"/>
      <c r="H1" s="916"/>
      <c r="I1" s="916"/>
      <c r="J1" s="916"/>
    </row>
    <row r="2" spans="1:12">
      <c r="A2" s="916" t="s">
        <v>523</v>
      </c>
      <c r="B2" s="916"/>
      <c r="C2" s="916"/>
      <c r="D2" s="916"/>
      <c r="E2" s="916"/>
      <c r="F2" s="916"/>
      <c r="G2" s="916"/>
      <c r="H2" s="916"/>
      <c r="I2" s="916"/>
      <c r="J2" s="916"/>
    </row>
    <row r="3" spans="1:12">
      <c r="A3" s="916" t="s">
        <v>591</v>
      </c>
      <c r="B3" s="916"/>
      <c r="C3" s="916"/>
      <c r="D3" s="916"/>
      <c r="E3" s="916"/>
      <c r="F3" s="916"/>
      <c r="G3" s="916"/>
      <c r="H3" s="916"/>
      <c r="I3" s="916"/>
      <c r="J3" s="916"/>
    </row>
    <row r="4" spans="1:12">
      <c r="A4" s="916" t="s">
        <v>504</v>
      </c>
      <c r="B4" s="916"/>
      <c r="C4" s="916"/>
      <c r="D4" s="916"/>
      <c r="E4" s="916"/>
      <c r="F4" s="916"/>
      <c r="G4" s="916"/>
      <c r="H4" s="916"/>
      <c r="I4" s="916"/>
      <c r="J4" s="916"/>
    </row>
    <row r="7" spans="1:12" ht="39">
      <c r="A7" s="745" t="s">
        <v>10</v>
      </c>
      <c r="B7" s="746" t="s">
        <v>11</v>
      </c>
      <c r="C7" s="746" t="s">
        <v>524</v>
      </c>
      <c r="D7" s="746" t="s">
        <v>525</v>
      </c>
      <c r="E7" s="746" t="s">
        <v>526</v>
      </c>
      <c r="F7" s="746" t="s">
        <v>527</v>
      </c>
      <c r="G7" s="746" t="s">
        <v>528</v>
      </c>
      <c r="H7" s="746" t="s">
        <v>529</v>
      </c>
      <c r="I7" s="746" t="s">
        <v>530</v>
      </c>
      <c r="J7" s="746" t="s">
        <v>531</v>
      </c>
      <c r="L7" s="747" t="s">
        <v>414</v>
      </c>
    </row>
    <row r="8" spans="1:12">
      <c r="L8" s="748"/>
    </row>
    <row r="9" spans="1:12">
      <c r="A9" s="749"/>
      <c r="B9" s="89"/>
      <c r="F9" s="236"/>
      <c r="J9" s="750"/>
      <c r="K9" s="750"/>
    </row>
    <row r="10" spans="1:12" ht="26">
      <c r="A10" s="751">
        <v>1</v>
      </c>
      <c r="B10" s="89" t="s">
        <v>532</v>
      </c>
      <c r="C10" s="752">
        <v>130188592</v>
      </c>
      <c r="D10" s="752">
        <v>0</v>
      </c>
      <c r="E10" s="752">
        <v>130188592</v>
      </c>
      <c r="F10" s="189">
        <v>356681.07397260272</v>
      </c>
      <c r="G10" s="753">
        <v>1.44</v>
      </c>
      <c r="H10" s="753">
        <v>-26.81</v>
      </c>
      <c r="I10" s="754">
        <v>-25.369999999999997</v>
      </c>
      <c r="J10" s="755">
        <v>-9048998.8466849308</v>
      </c>
      <c r="K10" s="756"/>
      <c r="L10" s="757" t="s">
        <v>533</v>
      </c>
    </row>
    <row r="11" spans="1:12">
      <c r="A11" s="751"/>
      <c r="B11" s="89"/>
      <c r="C11" s="758"/>
      <c r="D11" s="752"/>
      <c r="E11" s="759"/>
      <c r="F11" s="236"/>
      <c r="G11" s="89"/>
      <c r="H11" s="89"/>
      <c r="I11" s="236"/>
      <c r="J11" s="270"/>
      <c r="K11" s="756"/>
    </row>
    <row r="12" spans="1:12" ht="26">
      <c r="A12" s="751">
        <f>+A10+1</f>
        <v>2</v>
      </c>
      <c r="B12" s="89" t="s">
        <v>534</v>
      </c>
      <c r="C12" s="752">
        <v>131070701.51035064</v>
      </c>
      <c r="D12" s="752">
        <v>0</v>
      </c>
      <c r="E12" s="752">
        <v>131070701.51035064</v>
      </c>
      <c r="F12" s="189">
        <v>359097.81235712505</v>
      </c>
      <c r="G12" s="753">
        <v>1.44</v>
      </c>
      <c r="H12" s="753">
        <v>-29.66</v>
      </c>
      <c r="I12" s="754">
        <v>-28.22</v>
      </c>
      <c r="J12" s="760">
        <v>-10133740.264718069</v>
      </c>
      <c r="K12" s="756"/>
      <c r="L12" s="761" t="s">
        <v>535</v>
      </c>
    </row>
    <row r="13" spans="1:12">
      <c r="A13" s="751"/>
      <c r="B13" s="89"/>
      <c r="C13" s="758"/>
      <c r="D13" s="759"/>
      <c r="E13" s="759"/>
      <c r="F13" s="752"/>
      <c r="G13" s="89"/>
      <c r="H13" s="89"/>
      <c r="I13" s="236"/>
      <c r="J13" s="762"/>
      <c r="K13" s="756"/>
    </row>
    <row r="14" spans="1:12" ht="39">
      <c r="A14" s="751">
        <f>+A12+1</f>
        <v>3</v>
      </c>
      <c r="B14" s="89" t="s">
        <v>536</v>
      </c>
      <c r="C14" s="752">
        <v>146131804.40381226</v>
      </c>
      <c r="D14" s="788">
        <v>2595800.06</v>
      </c>
      <c r="E14" s="752">
        <v>143536004.34381226</v>
      </c>
      <c r="F14" s="189">
        <v>393249.32696934865</v>
      </c>
      <c r="G14" s="753">
        <v>1.44</v>
      </c>
      <c r="H14" s="753">
        <v>-19.82</v>
      </c>
      <c r="I14" s="754">
        <v>-18.38</v>
      </c>
      <c r="J14" s="760">
        <v>-7227922.6296966281</v>
      </c>
      <c r="K14" s="756"/>
      <c r="L14" s="757" t="s">
        <v>537</v>
      </c>
    </row>
    <row r="15" spans="1:12">
      <c r="A15" s="751"/>
      <c r="B15" s="89"/>
      <c r="C15" s="752"/>
      <c r="D15" s="752"/>
      <c r="E15" s="752"/>
      <c r="F15" s="752"/>
      <c r="G15" s="89"/>
      <c r="H15" s="89"/>
      <c r="I15" s="236"/>
      <c r="J15" s="762"/>
      <c r="K15" s="756"/>
    </row>
    <row r="16" spans="1:12" ht="78">
      <c r="A16" s="751">
        <f>+A14+1</f>
        <v>4</v>
      </c>
      <c r="B16" s="89" t="s">
        <v>538</v>
      </c>
      <c r="C16" s="752">
        <v>29892005</v>
      </c>
      <c r="D16" s="752">
        <v>0</v>
      </c>
      <c r="E16" s="752">
        <v>29892005</v>
      </c>
      <c r="F16" s="189">
        <v>81895.904109589042</v>
      </c>
      <c r="G16" s="753">
        <v>1.44</v>
      </c>
      <c r="H16" s="753">
        <v>-24.46</v>
      </c>
      <c r="I16" s="754">
        <v>-23.02</v>
      </c>
      <c r="J16" s="760">
        <v>-1885243.7126027397</v>
      </c>
      <c r="K16" s="756"/>
      <c r="L16" s="763" t="s">
        <v>539</v>
      </c>
    </row>
    <row r="17" spans="1:16">
      <c r="A17" s="751"/>
      <c r="B17" s="89"/>
      <c r="C17" s="764"/>
      <c r="D17" s="764"/>
      <c r="E17" s="764"/>
      <c r="F17" s="764"/>
      <c r="G17" s="89"/>
      <c r="H17" s="89"/>
      <c r="J17" s="765"/>
      <c r="K17" s="756"/>
    </row>
    <row r="18" spans="1:16">
      <c r="A18" s="751">
        <f>+A16+1</f>
        <v>5</v>
      </c>
      <c r="B18" s="89" t="s">
        <v>398</v>
      </c>
      <c r="C18" s="752">
        <v>116250669.43396699</v>
      </c>
      <c r="D18" s="752">
        <v>0</v>
      </c>
      <c r="E18" s="752">
        <v>116250669.43396699</v>
      </c>
      <c r="F18" s="189">
        <v>318494.98475059448</v>
      </c>
      <c r="G18" s="753">
        <v>0</v>
      </c>
      <c r="H18" s="753">
        <v>0</v>
      </c>
      <c r="I18" s="754">
        <v>0</v>
      </c>
      <c r="J18" s="760">
        <v>0</v>
      </c>
      <c r="K18" s="756"/>
      <c r="L18" s="757" t="s">
        <v>540</v>
      </c>
      <c r="P18" s="750"/>
    </row>
    <row r="19" spans="1:16">
      <c r="A19" s="751"/>
      <c r="B19" s="89"/>
      <c r="C19" s="752"/>
      <c r="D19" s="764"/>
      <c r="E19" s="764"/>
      <c r="F19" s="764"/>
      <c r="G19" s="89"/>
      <c r="H19" s="89"/>
      <c r="J19" s="765"/>
      <c r="K19" s="756"/>
    </row>
    <row r="20" spans="1:16">
      <c r="A20" s="751">
        <f>+A18+1</f>
        <v>6</v>
      </c>
      <c r="B20" s="273" t="s">
        <v>541</v>
      </c>
      <c r="C20" s="752">
        <v>14713.97</v>
      </c>
      <c r="D20" s="752">
        <v>0</v>
      </c>
      <c r="E20" s="752">
        <v>14713.97</v>
      </c>
      <c r="F20" s="189">
        <v>40.312246575342463</v>
      </c>
      <c r="G20" s="753">
        <v>1.44</v>
      </c>
      <c r="H20" s="753">
        <v>-76.235024419415936</v>
      </c>
      <c r="I20" s="754">
        <v>-74.795024419415938</v>
      </c>
      <c r="J20" s="760">
        <v>-3015.155467004256</v>
      </c>
      <c r="K20" s="756"/>
      <c r="L20" s="757" t="s">
        <v>542</v>
      </c>
      <c r="M20" s="766"/>
    </row>
    <row r="21" spans="1:16">
      <c r="A21" s="751"/>
      <c r="B21" s="89"/>
      <c r="C21" s="752"/>
      <c r="D21" s="764"/>
      <c r="E21" s="764"/>
      <c r="F21" s="764"/>
      <c r="G21" s="89"/>
      <c r="H21" s="89"/>
      <c r="J21" s="765"/>
      <c r="K21" s="756"/>
      <c r="M21" s="766"/>
    </row>
    <row r="22" spans="1:16" ht="26">
      <c r="A22" s="751">
        <f>+A20+1</f>
        <v>7</v>
      </c>
      <c r="B22" s="273" t="s">
        <v>543</v>
      </c>
      <c r="C22" s="752">
        <v>38503</v>
      </c>
      <c r="D22" s="752">
        <v>0</v>
      </c>
      <c r="E22" s="752">
        <v>38503</v>
      </c>
      <c r="F22" s="189">
        <v>105.48767123287671</v>
      </c>
      <c r="G22" s="753">
        <v>1.44</v>
      </c>
      <c r="H22" s="753">
        <v>-34.884002194351091</v>
      </c>
      <c r="I22" s="754">
        <v>-33.444002194351093</v>
      </c>
      <c r="J22" s="760">
        <v>-3527.929908189315</v>
      </c>
      <c r="K22" s="756"/>
      <c r="L22" s="757" t="s">
        <v>544</v>
      </c>
      <c r="M22" s="766"/>
    </row>
    <row r="23" spans="1:16">
      <c r="A23" s="751"/>
      <c r="B23" s="89"/>
      <c r="C23" s="752"/>
      <c r="D23" s="764"/>
      <c r="E23" s="764"/>
      <c r="F23" s="764"/>
      <c r="G23" s="89"/>
      <c r="H23" s="89"/>
      <c r="J23" s="765"/>
      <c r="K23" s="756"/>
      <c r="M23" s="766"/>
    </row>
    <row r="24" spans="1:16">
      <c r="A24" s="751">
        <f>+A22+1</f>
        <v>8</v>
      </c>
      <c r="B24" s="273" t="s">
        <v>545</v>
      </c>
      <c r="C24" s="752">
        <v>162570.53</v>
      </c>
      <c r="D24" s="752">
        <v>0</v>
      </c>
      <c r="E24" s="752">
        <v>162570.53</v>
      </c>
      <c r="F24" s="189">
        <v>445.39871232876715</v>
      </c>
      <c r="G24" s="753">
        <v>1.44</v>
      </c>
      <c r="H24" s="753">
        <v>-207.7221596956407</v>
      </c>
      <c r="I24" s="754">
        <v>-206.2821596956407</v>
      </c>
      <c r="J24" s="760">
        <v>-91877.808304835475</v>
      </c>
      <c r="K24" s="756"/>
      <c r="L24" s="757" t="s">
        <v>546</v>
      </c>
    </row>
    <row r="25" spans="1:16">
      <c r="A25" s="751"/>
      <c r="B25" s="89"/>
      <c r="C25" s="752"/>
      <c r="D25" s="764"/>
      <c r="E25" s="764"/>
      <c r="F25" s="764"/>
      <c r="G25" s="89"/>
      <c r="H25" s="89"/>
      <c r="J25" s="765"/>
      <c r="K25" s="756"/>
    </row>
    <row r="26" spans="1:16">
      <c r="A26" s="751">
        <f>+A24+1</f>
        <v>9</v>
      </c>
      <c r="B26" s="273" t="s">
        <v>547</v>
      </c>
      <c r="C26" s="752">
        <v>17635898.986666664</v>
      </c>
      <c r="D26" s="752">
        <v>0</v>
      </c>
      <c r="E26" s="752">
        <v>17635898.986666664</v>
      </c>
      <c r="F26" s="189">
        <v>48317.531470319627</v>
      </c>
      <c r="G26" s="753">
        <v>1.44</v>
      </c>
      <c r="H26" s="753">
        <v>-365.9</v>
      </c>
      <c r="I26" s="754">
        <v>-364.46</v>
      </c>
      <c r="J26" s="760">
        <v>-17609807.519672692</v>
      </c>
      <c r="K26" s="756"/>
      <c r="L26" s="757" t="s">
        <v>548</v>
      </c>
    </row>
    <row r="27" spans="1:16">
      <c r="A27" s="751"/>
      <c r="B27" s="89"/>
      <c r="C27" s="752"/>
      <c r="D27" s="764"/>
      <c r="E27" s="752"/>
      <c r="F27" s="752"/>
      <c r="G27" s="89"/>
      <c r="H27" s="89"/>
      <c r="J27" s="760"/>
      <c r="K27" s="756"/>
    </row>
    <row r="28" spans="1:16">
      <c r="A28" s="751">
        <f>+A26+1</f>
        <v>10</v>
      </c>
      <c r="B28" s="273" t="s">
        <v>549</v>
      </c>
      <c r="C28" s="752">
        <v>9842.0199999999986</v>
      </c>
      <c r="D28" s="764"/>
      <c r="E28" s="752">
        <v>9842.0199999999986</v>
      </c>
      <c r="F28" s="189">
        <v>26.964438356164379</v>
      </c>
      <c r="G28" s="753">
        <v>1.44</v>
      </c>
      <c r="H28" s="753">
        <v>-30.09</v>
      </c>
      <c r="I28" s="754">
        <v>-28.65</v>
      </c>
      <c r="J28" s="760">
        <v>-772.53115890410947</v>
      </c>
      <c r="K28" s="756"/>
    </row>
    <row r="29" spans="1:16">
      <c r="A29" s="751"/>
      <c r="B29" s="89"/>
      <c r="C29" s="752"/>
      <c r="D29" s="764"/>
      <c r="E29" s="752"/>
      <c r="F29" s="752"/>
      <c r="G29" s="89"/>
      <c r="H29" s="89"/>
      <c r="J29" s="760"/>
      <c r="K29" s="756"/>
    </row>
    <row r="30" spans="1:16">
      <c r="A30" s="751">
        <f>+A28+1</f>
        <v>11</v>
      </c>
      <c r="B30" s="273" t="s">
        <v>550</v>
      </c>
      <c r="C30" s="752">
        <v>6921</v>
      </c>
      <c r="D30" s="764"/>
      <c r="E30" s="752">
        <v>6921</v>
      </c>
      <c r="F30" s="189">
        <v>18.961643835616439</v>
      </c>
      <c r="G30" s="753">
        <v>1.44</v>
      </c>
      <c r="H30" s="753">
        <v>-30.07</v>
      </c>
      <c r="I30" s="754">
        <v>-28.63</v>
      </c>
      <c r="J30" s="760">
        <v>-542.87186301369866</v>
      </c>
      <c r="K30" s="756"/>
    </row>
    <row r="31" spans="1:16">
      <c r="A31" s="751"/>
      <c r="B31" s="89"/>
      <c r="C31" s="752"/>
      <c r="D31" s="764"/>
      <c r="E31" s="752"/>
      <c r="F31" s="752"/>
      <c r="G31" s="89"/>
      <c r="H31" s="89"/>
      <c r="J31" s="760"/>
      <c r="K31" s="756"/>
    </row>
    <row r="32" spans="1:16">
      <c r="A32" s="751">
        <f>+A30+1</f>
        <v>12</v>
      </c>
      <c r="B32" s="273" t="s">
        <v>551</v>
      </c>
      <c r="C32" s="752">
        <v>9874</v>
      </c>
      <c r="D32" s="764"/>
      <c r="E32" s="752">
        <v>9874</v>
      </c>
      <c r="F32" s="189">
        <v>27.052054794520547</v>
      </c>
      <c r="G32" s="753">
        <v>1.44</v>
      </c>
      <c r="H32" s="753">
        <v>-30.45</v>
      </c>
      <c r="I32" s="754">
        <v>-29.009999999999998</v>
      </c>
      <c r="J32" s="760">
        <v>-784.78010958904099</v>
      </c>
      <c r="K32" s="756"/>
    </row>
    <row r="33" spans="1:13">
      <c r="A33" s="751"/>
      <c r="B33" s="89"/>
      <c r="C33" s="752"/>
      <c r="D33" s="764"/>
      <c r="E33" s="764"/>
      <c r="F33" s="764"/>
      <c r="G33" s="89"/>
      <c r="H33" s="89"/>
      <c r="J33" s="765"/>
      <c r="K33" s="756"/>
    </row>
    <row r="34" spans="1:13">
      <c r="A34" s="751">
        <f>+A32+1</f>
        <v>13</v>
      </c>
      <c r="B34" s="273" t="s">
        <v>552</v>
      </c>
      <c r="C34" s="752"/>
      <c r="D34" s="752"/>
      <c r="E34" s="752"/>
      <c r="F34" s="752"/>
      <c r="G34" s="89"/>
      <c r="H34" s="89"/>
      <c r="I34" s="236"/>
      <c r="J34" s="762"/>
      <c r="K34" s="756"/>
    </row>
    <row r="35" spans="1:13">
      <c r="A35" s="751">
        <v>14</v>
      </c>
      <c r="B35" s="273" t="s">
        <v>553</v>
      </c>
      <c r="C35" s="752">
        <v>-2735511.665697048</v>
      </c>
      <c r="D35" s="752">
        <v>0</v>
      </c>
      <c r="E35" s="752">
        <v>-2735511.665697048</v>
      </c>
      <c r="F35" s="189">
        <v>-7494.5525087590358</v>
      </c>
      <c r="G35" s="753">
        <v>1.44</v>
      </c>
      <c r="H35" s="753">
        <v>-37.5</v>
      </c>
      <c r="I35" s="754">
        <v>-36.06</v>
      </c>
      <c r="J35" s="760">
        <v>270253.56346585084</v>
      </c>
      <c r="K35" s="756"/>
      <c r="L35" s="757" t="s">
        <v>554</v>
      </c>
      <c r="M35" s="766"/>
    </row>
    <row r="36" spans="1:13">
      <c r="A36" s="751">
        <v>15</v>
      </c>
      <c r="B36" s="273" t="s">
        <v>555</v>
      </c>
      <c r="C36" s="752">
        <v>12584641</v>
      </c>
      <c r="D36" s="767">
        <v>0</v>
      </c>
      <c r="E36" s="767">
        <v>12584641</v>
      </c>
      <c r="F36" s="189">
        <v>34478.468493150685</v>
      </c>
      <c r="G36" s="753">
        <v>0</v>
      </c>
      <c r="H36" s="753">
        <v>0</v>
      </c>
      <c r="I36" s="754">
        <v>0</v>
      </c>
      <c r="J36" s="768">
        <v>0</v>
      </c>
      <c r="K36" s="756"/>
      <c r="L36" s="757" t="s">
        <v>554</v>
      </c>
      <c r="M36" s="766"/>
    </row>
    <row r="37" spans="1:13">
      <c r="A37" s="751">
        <v>16</v>
      </c>
      <c r="B37" s="273" t="s">
        <v>556</v>
      </c>
      <c r="C37" s="769">
        <v>9849129.3343029525</v>
      </c>
      <c r="D37" s="770">
        <v>0</v>
      </c>
      <c r="E37" s="769">
        <v>9849129.3343029525</v>
      </c>
      <c r="F37" s="752"/>
      <c r="G37" s="89"/>
      <c r="H37" s="89"/>
      <c r="I37" s="236"/>
      <c r="J37" s="771">
        <v>270253.56346585084</v>
      </c>
      <c r="K37" s="756"/>
      <c r="M37" s="766"/>
    </row>
    <row r="38" spans="1:13">
      <c r="A38" s="751"/>
      <c r="B38" s="89"/>
      <c r="C38" s="752"/>
      <c r="D38" s="770"/>
      <c r="E38" s="752"/>
      <c r="F38" s="772"/>
      <c r="G38" s="89"/>
      <c r="H38" s="89"/>
      <c r="I38" s="236"/>
      <c r="J38" s="270"/>
      <c r="K38" s="756"/>
      <c r="M38" s="766"/>
    </row>
    <row r="39" spans="1:13">
      <c r="A39" s="751">
        <v>17</v>
      </c>
      <c r="B39" s="273" t="s">
        <v>557</v>
      </c>
      <c r="C39" s="773"/>
      <c r="D39" s="774"/>
      <c r="E39" s="773"/>
      <c r="F39" s="773"/>
      <c r="G39" s="89"/>
      <c r="H39" s="89"/>
      <c r="I39" s="236"/>
      <c r="J39" s="270"/>
      <c r="K39" s="756"/>
      <c r="M39" s="766"/>
    </row>
    <row r="40" spans="1:13">
      <c r="A40" s="751">
        <v>18</v>
      </c>
      <c r="B40" s="273" t="s">
        <v>553</v>
      </c>
      <c r="C40" s="189">
        <v>-1398015.2200362217</v>
      </c>
      <c r="D40" s="189">
        <v>0</v>
      </c>
      <c r="E40" s="752">
        <v>-1398015.2200362217</v>
      </c>
      <c r="F40" s="189">
        <v>-3830.1786850307444</v>
      </c>
      <c r="G40" s="753">
        <v>1.44</v>
      </c>
      <c r="H40" s="753">
        <v>-37.5</v>
      </c>
      <c r="I40" s="754">
        <v>-36.06</v>
      </c>
      <c r="J40" s="775">
        <v>138116.24338220866</v>
      </c>
      <c r="K40" s="756"/>
      <c r="L40" s="757" t="s">
        <v>554</v>
      </c>
      <c r="M40" s="766"/>
    </row>
    <row r="41" spans="1:13">
      <c r="A41" s="751">
        <v>19</v>
      </c>
      <c r="B41" s="273" t="s">
        <v>555</v>
      </c>
      <c r="C41" s="776">
        <v>0</v>
      </c>
      <c r="D41" s="776">
        <v>0</v>
      </c>
      <c r="E41" s="752">
        <v>0</v>
      </c>
      <c r="F41" s="189">
        <v>0</v>
      </c>
      <c r="G41" s="753">
        <v>0</v>
      </c>
      <c r="H41" s="753">
        <v>0</v>
      </c>
      <c r="I41" s="754">
        <v>0</v>
      </c>
      <c r="J41" s="777">
        <v>0</v>
      </c>
      <c r="K41" s="756"/>
      <c r="L41" s="757"/>
      <c r="M41" s="766"/>
    </row>
    <row r="42" spans="1:13">
      <c r="A42" s="751"/>
      <c r="B42" s="89"/>
      <c r="C42" s="769">
        <v>-1398015.2200362217</v>
      </c>
      <c r="D42" s="770">
        <v>0</v>
      </c>
      <c r="E42" s="769">
        <v>-1398015.2200362217</v>
      </c>
      <c r="F42" s="752"/>
      <c r="G42" s="89"/>
      <c r="H42" s="89"/>
      <c r="I42" s="236"/>
      <c r="J42" s="775">
        <v>138116.24338220866</v>
      </c>
      <c r="K42" s="756"/>
      <c r="L42" s="757"/>
      <c r="M42" s="766"/>
    </row>
    <row r="43" spans="1:13">
      <c r="A43" s="751"/>
      <c r="B43" s="89"/>
      <c r="C43" s="770"/>
      <c r="D43" s="770"/>
      <c r="E43" s="770"/>
      <c r="F43" s="752"/>
      <c r="G43" s="89"/>
      <c r="H43" s="89"/>
      <c r="I43" s="236"/>
      <c r="J43" s="775"/>
      <c r="K43" s="756"/>
      <c r="L43" s="757"/>
      <c r="M43" s="766"/>
    </row>
    <row r="44" spans="1:13">
      <c r="A44" s="751">
        <v>20</v>
      </c>
      <c r="B44" s="273" t="s">
        <v>558</v>
      </c>
      <c r="C44" s="752">
        <v>55493765.945470393</v>
      </c>
      <c r="D44" s="752">
        <v>0</v>
      </c>
      <c r="E44" s="752">
        <v>55493765.945470393</v>
      </c>
      <c r="F44" s="189">
        <v>152037.71491909696</v>
      </c>
      <c r="G44" s="753">
        <v>1.44</v>
      </c>
      <c r="H44" s="753">
        <v>-82.99</v>
      </c>
      <c r="I44" s="754">
        <v>-81.55</v>
      </c>
      <c r="J44" s="760">
        <v>-12398675.651652357</v>
      </c>
      <c r="K44" s="756"/>
      <c r="L44" s="757" t="s">
        <v>559</v>
      </c>
      <c r="M44" s="766"/>
    </row>
    <row r="45" spans="1:13">
      <c r="A45" s="751"/>
      <c r="B45" s="89"/>
      <c r="C45" s="752"/>
      <c r="D45" s="752"/>
      <c r="E45" s="752"/>
      <c r="F45" s="752"/>
      <c r="G45" s="89"/>
      <c r="H45" s="89"/>
      <c r="I45" s="754"/>
      <c r="J45" s="760"/>
      <c r="K45" s="756"/>
      <c r="L45" s="757"/>
      <c r="M45" s="766"/>
    </row>
    <row r="46" spans="1:13">
      <c r="A46" s="751">
        <f>+A44+1</f>
        <v>21</v>
      </c>
      <c r="B46" s="273" t="s">
        <v>560</v>
      </c>
      <c r="C46" s="752">
        <v>86311154.186443508</v>
      </c>
      <c r="D46" s="752">
        <v>0</v>
      </c>
      <c r="E46" s="752">
        <v>86311154.186443508</v>
      </c>
      <c r="F46" s="189">
        <v>236468.91557929729</v>
      </c>
      <c r="G46" s="753">
        <v>0</v>
      </c>
      <c r="H46" s="753">
        <v>0</v>
      </c>
      <c r="I46" s="754">
        <v>0</v>
      </c>
      <c r="J46" s="760">
        <v>0</v>
      </c>
      <c r="K46" s="756"/>
      <c r="L46" s="757" t="s">
        <v>559</v>
      </c>
      <c r="M46" s="766"/>
    </row>
    <row r="47" spans="1:13">
      <c r="A47" s="751"/>
      <c r="B47" s="89"/>
      <c r="C47" s="778"/>
      <c r="D47" s="778"/>
      <c r="E47" s="778"/>
      <c r="F47" s="772"/>
      <c r="G47" s="778"/>
      <c r="H47" s="236"/>
      <c r="I47" s="236"/>
      <c r="J47" s="236"/>
      <c r="K47" s="756"/>
    </row>
    <row r="48" spans="1:13" ht="13.5" thickBot="1">
      <c r="A48" s="751">
        <f>+A46+1</f>
        <v>22</v>
      </c>
      <c r="B48" s="273" t="s">
        <v>27</v>
      </c>
      <c r="C48" s="779">
        <v>721668130.10097718</v>
      </c>
      <c r="D48" s="779">
        <v>2595800.06</v>
      </c>
      <c r="E48" s="779">
        <v>719072330.04097724</v>
      </c>
      <c r="F48" s="780"/>
      <c r="G48" s="778"/>
      <c r="H48" s="236"/>
      <c r="I48" s="236"/>
      <c r="J48" s="781">
        <v>-57996539.894990899</v>
      </c>
      <c r="K48" s="756"/>
    </row>
    <row r="49" spans="1:12" ht="13.5" thickTop="1">
      <c r="A49" s="751"/>
      <c r="B49" s="89"/>
      <c r="C49" s="782"/>
      <c r="D49" s="783"/>
      <c r="E49" s="783"/>
      <c r="J49" s="784"/>
    </row>
    <row r="50" spans="1:12">
      <c r="A50" s="751">
        <f>+A48+1</f>
        <v>23</v>
      </c>
      <c r="B50" s="273" t="s">
        <v>883</v>
      </c>
      <c r="C50" s="785"/>
      <c r="J50" s="9">
        <v>-2775625</v>
      </c>
      <c r="L50" s="757" t="s">
        <v>561</v>
      </c>
    </row>
    <row r="51" spans="1:12">
      <c r="A51" s="751"/>
      <c r="B51" s="89"/>
      <c r="C51" s="786"/>
    </row>
    <row r="52" spans="1:12" ht="13.5" thickBot="1">
      <c r="A52" s="751">
        <f>+A50+1</f>
        <v>24</v>
      </c>
      <c r="B52" s="273" t="s">
        <v>138</v>
      </c>
      <c r="J52" s="64">
        <f>J48+J50</f>
        <v>-60772164.894990899</v>
      </c>
      <c r="K52" s="756"/>
    </row>
    <row r="53" spans="1:12" ht="13.5" thickTop="1">
      <c r="A53" s="751"/>
    </row>
    <row r="54" spans="1:12">
      <c r="A54" s="915" t="s">
        <v>695</v>
      </c>
      <c r="B54" s="872"/>
      <c r="C54" s="872"/>
      <c r="D54" s="872"/>
      <c r="E54" s="872"/>
      <c r="F54" s="872"/>
      <c r="G54" s="872"/>
      <c r="H54" s="872"/>
      <c r="I54" s="872"/>
      <c r="J54" s="872"/>
    </row>
    <row r="56" spans="1:12">
      <c r="B56" s="115" t="s">
        <v>696</v>
      </c>
    </row>
    <row r="57" spans="1:12">
      <c r="B57" s="115" t="s">
        <v>562</v>
      </c>
    </row>
    <row r="80" spans="1:2">
      <c r="A80" s="749"/>
      <c r="B80" s="787"/>
    </row>
  </sheetData>
  <mergeCells count="5">
    <mergeCell ref="A54:J54"/>
    <mergeCell ref="A1:J1"/>
    <mergeCell ref="A2:J2"/>
    <mergeCell ref="A3:J3"/>
    <mergeCell ref="A4:J4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1D08-F266-4A28-9D23-9C5E28B3A67B}">
  <dimension ref="A1:AC52"/>
  <sheetViews>
    <sheetView workbookViewId="0">
      <selection activeCell="B1" sqref="B1"/>
    </sheetView>
  </sheetViews>
  <sheetFormatPr defaultColWidth="8.7265625" defaultRowHeight="13"/>
  <cols>
    <col min="1" max="2" width="8.7265625" style="89"/>
    <col min="3" max="3" width="30.54296875" style="89" bestFit="1" customWidth="1"/>
    <col min="4" max="4" width="8.7265625" style="89"/>
    <col min="5" max="5" width="13.7265625" style="89" customWidth="1"/>
    <col min="6" max="6" width="12.54296875" style="89" bestFit="1" customWidth="1"/>
    <col min="7" max="7" width="13.26953125" style="89" customWidth="1"/>
    <col min="8" max="8" width="13" style="89" customWidth="1"/>
    <col min="9" max="9" width="19.7265625" style="89" customWidth="1"/>
    <col min="10" max="14" width="8.7265625" style="145"/>
    <col min="15" max="15" width="13.26953125" style="145" bestFit="1" customWidth="1"/>
    <col min="16" max="16" width="8.7265625" style="145"/>
    <col min="17" max="17" width="15" style="145" bestFit="1" customWidth="1"/>
    <col min="18" max="29" width="8.7265625" style="145"/>
    <col min="30" max="16384" width="8.7265625" style="89"/>
  </cols>
  <sheetData>
    <row r="1" spans="1:15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5">
      <c r="A2" s="133"/>
      <c r="B2" s="839" t="s">
        <v>0</v>
      </c>
      <c r="C2" s="839"/>
      <c r="D2" s="839"/>
      <c r="E2" s="839"/>
      <c r="F2" s="839"/>
      <c r="G2" s="839"/>
      <c r="H2" s="839"/>
      <c r="I2" s="115"/>
      <c r="J2" s="133"/>
    </row>
    <row r="3" spans="1:15" ht="24" customHeight="1">
      <c r="A3" s="133"/>
      <c r="B3" s="842" t="s">
        <v>874</v>
      </c>
      <c r="C3" s="842"/>
      <c r="D3" s="842"/>
      <c r="E3" s="842"/>
      <c r="F3" s="842"/>
      <c r="G3" s="842"/>
      <c r="H3" s="842"/>
      <c r="I3" s="145"/>
      <c r="J3" s="133"/>
    </row>
    <row r="4" spans="1:15">
      <c r="A4" s="133"/>
      <c r="B4" s="839" t="s">
        <v>588</v>
      </c>
      <c r="C4" s="839"/>
      <c r="D4" s="839"/>
      <c r="E4" s="839"/>
      <c r="F4" s="839"/>
      <c r="G4" s="839"/>
      <c r="H4" s="839"/>
      <c r="I4" s="145"/>
      <c r="J4" s="133"/>
    </row>
    <row r="5" spans="1:15" ht="1.5" customHeight="1">
      <c r="A5" s="145"/>
      <c r="B5" s="839"/>
      <c r="C5" s="839"/>
      <c r="D5" s="839"/>
      <c r="E5" s="839"/>
      <c r="F5" s="839"/>
      <c r="G5" s="839"/>
      <c r="H5" s="839"/>
      <c r="I5" s="145"/>
    </row>
    <row r="6" spans="1:15">
      <c r="A6" s="145"/>
      <c r="B6" s="839" t="s">
        <v>876</v>
      </c>
      <c r="C6" s="839"/>
      <c r="D6" s="839"/>
      <c r="E6" s="839"/>
      <c r="F6" s="839"/>
      <c r="G6" s="839"/>
      <c r="H6" s="839"/>
      <c r="I6" s="1"/>
    </row>
    <row r="7" spans="1:15">
      <c r="A7" s="145"/>
      <c r="B7" s="145"/>
      <c r="C7" s="145"/>
      <c r="D7" s="145"/>
      <c r="E7" s="145"/>
      <c r="F7" s="145"/>
      <c r="G7" s="145"/>
      <c r="H7" s="145"/>
      <c r="I7" s="145"/>
    </row>
    <row r="8" spans="1:15" ht="39">
      <c r="A8" s="134" t="s">
        <v>1</v>
      </c>
      <c r="B8" s="841" t="s">
        <v>2</v>
      </c>
      <c r="C8" s="841"/>
      <c r="D8" s="841"/>
      <c r="E8" s="134" t="s">
        <v>3</v>
      </c>
      <c r="F8" s="134"/>
      <c r="G8" s="134" t="s">
        <v>4</v>
      </c>
      <c r="H8" s="134" t="s">
        <v>5</v>
      </c>
      <c r="I8" s="134" t="s">
        <v>6</v>
      </c>
      <c r="J8" s="133"/>
    </row>
    <row r="9" spans="1:15">
      <c r="A9" s="135"/>
      <c r="B9" s="135"/>
      <c r="C9" s="135"/>
      <c r="D9" s="133"/>
      <c r="E9" s="136"/>
      <c r="F9" s="137"/>
      <c r="G9" s="137"/>
      <c r="H9" s="137"/>
      <c r="I9" s="137"/>
      <c r="J9" s="133"/>
    </row>
    <row r="10" spans="1:15">
      <c r="A10" s="133"/>
      <c r="B10" s="133"/>
      <c r="C10" s="133"/>
      <c r="D10" s="133"/>
      <c r="E10" s="142"/>
      <c r="F10" s="133"/>
      <c r="G10" s="133"/>
      <c r="H10" s="133"/>
      <c r="I10" s="133"/>
      <c r="J10" s="133"/>
    </row>
    <row r="11" spans="1:15">
      <c r="A11" s="133"/>
      <c r="B11" s="141"/>
      <c r="C11" s="141"/>
      <c r="D11" s="133"/>
      <c r="G11" s="133"/>
      <c r="H11" s="133"/>
      <c r="I11" s="133"/>
      <c r="J11" s="133"/>
    </row>
    <row r="12" spans="1:15" ht="13.5" thickBot="1">
      <c r="A12" s="135">
        <v>1</v>
      </c>
      <c r="B12" s="135" t="s">
        <v>7</v>
      </c>
      <c r="C12" s="133" t="s">
        <v>875</v>
      </c>
      <c r="D12" s="133"/>
      <c r="E12" s="148">
        <v>33001096.547184512</v>
      </c>
      <c r="F12" s="145"/>
      <c r="G12" s="133" t="s">
        <v>8</v>
      </c>
      <c r="H12" s="143">
        <v>1</v>
      </c>
      <c r="I12" s="128">
        <f>E12</f>
        <v>33001096.547184512</v>
      </c>
      <c r="J12" s="144" t="s">
        <v>253</v>
      </c>
    </row>
    <row r="13" spans="1:15" ht="13.5" thickTop="1">
      <c r="A13" s="145"/>
      <c r="B13" s="145"/>
      <c r="C13" s="145"/>
      <c r="D13" s="145"/>
      <c r="E13" s="145"/>
      <c r="F13" s="145"/>
      <c r="G13" s="145"/>
      <c r="H13" s="145"/>
      <c r="I13" s="145"/>
    </row>
    <row r="14" spans="1:15">
      <c r="A14" s="145" t="s">
        <v>724</v>
      </c>
      <c r="B14" s="145"/>
      <c r="C14" s="145"/>
      <c r="D14" s="145"/>
      <c r="E14" s="145"/>
      <c r="F14" s="145"/>
      <c r="G14" s="145"/>
      <c r="H14" s="145"/>
      <c r="I14" s="145"/>
      <c r="O14" s="149"/>
    </row>
    <row r="15" spans="1:15" s="145" customFormat="1">
      <c r="O15" s="149"/>
    </row>
    <row r="16" spans="1:15" s="145" customFormat="1"/>
    <row r="17" spans="6:17" s="145" customFormat="1">
      <c r="O17" s="150"/>
    </row>
    <row r="18" spans="6:17" s="145" customFormat="1"/>
    <row r="19" spans="6:17" s="145" customFormat="1">
      <c r="F19" s="148"/>
    </row>
    <row r="20" spans="6:17" s="145" customFormat="1">
      <c r="F20" s="148"/>
      <c r="G20" s="133"/>
    </row>
    <row r="21" spans="6:17" s="145" customFormat="1">
      <c r="F21" s="151"/>
    </row>
    <row r="22" spans="6:17" s="145" customFormat="1">
      <c r="G22" s="151"/>
    </row>
    <row r="23" spans="6:17" s="145" customFormat="1"/>
    <row r="24" spans="6:17" s="145" customFormat="1">
      <c r="G24" s="151"/>
    </row>
    <row r="25" spans="6:17" s="145" customFormat="1">
      <c r="Q25" s="150"/>
    </row>
    <row r="26" spans="6:17" s="145" customFormat="1">
      <c r="Q26" s="150"/>
    </row>
    <row r="27" spans="6:17" s="145" customFormat="1"/>
    <row r="28" spans="6:17" s="145" customFormat="1">
      <c r="Q28" s="150"/>
    </row>
    <row r="29" spans="6:17" s="145" customFormat="1"/>
    <row r="30" spans="6:17" s="145" customFormat="1"/>
    <row r="31" spans="6:17" s="145" customFormat="1">
      <c r="Q31" s="152"/>
    </row>
    <row r="32" spans="6:17" s="145" customFormat="1">
      <c r="Q32" s="152"/>
    </row>
    <row r="33" s="145" customFormat="1"/>
    <row r="34" s="145" customFormat="1"/>
    <row r="35" s="145" customFormat="1"/>
    <row r="36" s="145" customFormat="1"/>
    <row r="37" s="145" customFormat="1"/>
    <row r="38" s="145" customFormat="1"/>
    <row r="39" s="145" customFormat="1"/>
    <row r="40" s="145" customFormat="1"/>
    <row r="41" s="145" customFormat="1"/>
    <row r="42" s="145" customFormat="1"/>
    <row r="43" s="145" customFormat="1"/>
    <row r="44" s="145" customFormat="1"/>
    <row r="45" s="145" customFormat="1"/>
    <row r="46" s="145" customFormat="1"/>
    <row r="47" s="145" customFormat="1"/>
    <row r="48" s="145" customFormat="1"/>
    <row r="49" s="145" customFormat="1"/>
    <row r="50" s="145" customFormat="1"/>
    <row r="51" s="145" customFormat="1"/>
    <row r="52" s="145" customFormat="1"/>
  </sheetData>
  <mergeCells count="5">
    <mergeCell ref="B2:H2"/>
    <mergeCell ref="B3:H3"/>
    <mergeCell ref="B8:D8"/>
    <mergeCell ref="B4:H5"/>
    <mergeCell ref="B6:H6"/>
  </mergeCells>
  <pageMargins left="0.7" right="0.7" top="0.75" bottom="0.75" header="0.3" footer="0.3"/>
  <pageSetup scale="6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4279-0CCF-45CD-BC85-3A57682276AE}">
  <sheetPr>
    <pageSetUpPr fitToPage="1"/>
  </sheetPr>
  <dimension ref="A1:K31"/>
  <sheetViews>
    <sheetView zoomScale="110" zoomScaleNormal="110" workbookViewId="0">
      <selection activeCell="C19" sqref="C19"/>
    </sheetView>
  </sheetViews>
  <sheetFormatPr defaultColWidth="9.1796875" defaultRowHeight="13"/>
  <cols>
    <col min="1" max="1" width="4.7265625" style="52" bestFit="1" customWidth="1"/>
    <col min="2" max="2" width="8.26953125" style="52" bestFit="1" customWidth="1"/>
    <col min="3" max="3" width="33.1796875" style="52" bestFit="1" customWidth="1"/>
    <col min="4" max="4" width="7.26953125" style="52" bestFit="1" customWidth="1"/>
    <col min="5" max="5" width="13.81640625" style="52" bestFit="1" customWidth="1"/>
    <col min="6" max="6" width="10.1796875" style="52" bestFit="1" customWidth="1"/>
    <col min="7" max="7" width="9.453125" style="52" bestFit="1" customWidth="1"/>
    <col min="8" max="8" width="12.1796875" style="52" bestFit="1" customWidth="1"/>
    <col min="9" max="9" width="21.54296875" style="52" bestFit="1" customWidth="1"/>
    <col min="10" max="10" width="1.453125" style="52" bestFit="1" customWidth="1"/>
    <col min="11" max="11" width="42.81640625" style="52" bestFit="1" customWidth="1"/>
    <col min="12" max="16384" width="9.1796875" style="52"/>
  </cols>
  <sheetData>
    <row r="1" spans="1:9">
      <c r="A1" s="917" t="s">
        <v>0</v>
      </c>
      <c r="B1" s="917"/>
      <c r="C1" s="917"/>
      <c r="D1" s="917"/>
      <c r="E1" s="917"/>
      <c r="F1" s="917"/>
      <c r="G1" s="917"/>
      <c r="H1" s="917"/>
      <c r="I1" s="917"/>
    </row>
    <row r="2" spans="1:9">
      <c r="A2" s="917" t="s">
        <v>641</v>
      </c>
      <c r="B2" s="917"/>
      <c r="C2" s="917"/>
      <c r="D2" s="917"/>
      <c r="E2" s="917"/>
      <c r="F2" s="917"/>
      <c r="G2" s="917"/>
      <c r="H2" s="917"/>
      <c r="I2" s="917"/>
    </row>
    <row r="3" spans="1:9">
      <c r="A3" s="917" t="s">
        <v>588</v>
      </c>
      <c r="B3" s="917"/>
      <c r="C3" s="917"/>
      <c r="D3" s="917"/>
      <c r="E3" s="917"/>
      <c r="F3" s="917"/>
      <c r="G3" s="917"/>
      <c r="H3" s="917"/>
      <c r="I3" s="917"/>
    </row>
    <row r="4" spans="1:9">
      <c r="A4" s="917" t="s">
        <v>505</v>
      </c>
      <c r="B4" s="917"/>
      <c r="C4" s="917"/>
      <c r="D4" s="917"/>
      <c r="E4" s="917"/>
      <c r="F4" s="917"/>
      <c r="G4" s="917"/>
      <c r="H4" s="917" t="s">
        <v>51</v>
      </c>
      <c r="I4" s="917"/>
    </row>
    <row r="5" spans="1:9">
      <c r="B5" s="53"/>
      <c r="C5" s="53"/>
      <c r="D5" s="53"/>
      <c r="E5" s="53"/>
      <c r="F5" s="53"/>
      <c r="G5" s="53"/>
      <c r="H5" s="54"/>
    </row>
    <row r="6" spans="1:9">
      <c r="B6" s="53"/>
      <c r="C6" s="53"/>
      <c r="D6" s="53"/>
      <c r="E6" s="53"/>
      <c r="F6" s="53"/>
      <c r="G6" s="53"/>
      <c r="H6" s="54"/>
    </row>
    <row r="7" spans="1:9">
      <c r="B7" s="53"/>
      <c r="C7" s="53"/>
      <c r="D7" s="53"/>
      <c r="E7" s="53"/>
      <c r="F7" s="53"/>
      <c r="G7" s="53"/>
      <c r="H7" s="53"/>
    </row>
    <row r="8" spans="1:9" s="55" customFormat="1" ht="26">
      <c r="B8" s="56" t="s">
        <v>10</v>
      </c>
      <c r="C8" s="57" t="s">
        <v>117</v>
      </c>
      <c r="D8" s="57"/>
      <c r="E8" s="58" t="s">
        <v>435</v>
      </c>
      <c r="F8" s="58" t="s">
        <v>436</v>
      </c>
      <c r="G8" s="58" t="s">
        <v>437</v>
      </c>
      <c r="I8" s="58" t="s">
        <v>438</v>
      </c>
    </row>
    <row r="9" spans="1:9" s="59" customFormat="1" ht="14.5">
      <c r="B9" s="105" t="s">
        <v>99</v>
      </c>
      <c r="C9" s="105" t="s">
        <v>100</v>
      </c>
      <c r="D9" s="108"/>
      <c r="E9" s="105" t="s">
        <v>923</v>
      </c>
      <c r="F9" s="110" t="s">
        <v>955</v>
      </c>
      <c r="G9" s="110" t="s">
        <v>894</v>
      </c>
      <c r="H9" s="110" t="s">
        <v>104</v>
      </c>
      <c r="I9" s="110" t="s">
        <v>105</v>
      </c>
    </row>
    <row r="10" spans="1:9">
      <c r="B10" s="53"/>
      <c r="C10" s="53"/>
      <c r="D10" s="53"/>
      <c r="E10" s="53"/>
      <c r="F10" s="53"/>
      <c r="G10" s="53"/>
      <c r="H10" s="60" t="s">
        <v>439</v>
      </c>
    </row>
    <row r="11" spans="1:9">
      <c r="B11" s="53"/>
      <c r="C11" s="53"/>
      <c r="D11" s="53"/>
      <c r="E11" s="9" t="s">
        <v>51</v>
      </c>
      <c r="F11" s="53"/>
      <c r="G11" s="53"/>
      <c r="H11" s="53"/>
    </row>
    <row r="12" spans="1:9">
      <c r="A12" s="52" t="s">
        <v>262</v>
      </c>
      <c r="B12" s="61">
        <v>1</v>
      </c>
      <c r="C12" s="62" t="s">
        <v>263</v>
      </c>
      <c r="D12" s="62"/>
      <c r="E12" s="30">
        <v>329513450.50500065</v>
      </c>
      <c r="F12" s="61" t="s">
        <v>24</v>
      </c>
      <c r="G12" s="61">
        <v>0.98499999999999999</v>
      </c>
      <c r="H12" s="9">
        <f>ROUND(E12*G12,0)</f>
        <v>324570749</v>
      </c>
    </row>
    <row r="13" spans="1:9">
      <c r="B13" s="61"/>
      <c r="C13" s="62"/>
      <c r="D13" s="62"/>
      <c r="E13" s="9"/>
      <c r="F13" s="61"/>
      <c r="G13" s="61"/>
      <c r="H13" s="9"/>
    </row>
    <row r="14" spans="1:9">
      <c r="A14" s="52" t="s">
        <v>262</v>
      </c>
      <c r="B14" s="61">
        <v>2</v>
      </c>
      <c r="C14" s="62" t="s">
        <v>264</v>
      </c>
      <c r="D14" s="62"/>
      <c r="E14" s="9">
        <v>169149651.03000033</v>
      </c>
      <c r="F14" s="61" t="s">
        <v>24</v>
      </c>
      <c r="G14" s="61">
        <v>0.98499999999999999</v>
      </c>
      <c r="H14" s="9">
        <f>ROUND(E14*G14,0)</f>
        <v>166612406</v>
      </c>
    </row>
    <row r="15" spans="1:9">
      <c r="B15" s="61"/>
      <c r="C15" s="62"/>
      <c r="D15" s="62"/>
      <c r="E15" s="9"/>
      <c r="F15" s="53"/>
      <c r="G15" s="61"/>
      <c r="H15" s="53"/>
    </row>
    <row r="16" spans="1:9">
      <c r="A16" s="52" t="s">
        <v>262</v>
      </c>
      <c r="B16" s="61">
        <v>3</v>
      </c>
      <c r="C16" s="62" t="s">
        <v>265</v>
      </c>
      <c r="D16" s="62"/>
      <c r="E16" s="9">
        <v>45561088</v>
      </c>
      <c r="F16" s="61" t="s">
        <v>24</v>
      </c>
      <c r="G16" s="61">
        <v>0.98499999999999999</v>
      </c>
      <c r="H16" s="9">
        <f>ROUND(E16*G16,0)</f>
        <v>44877672</v>
      </c>
    </row>
    <row r="17" spans="2:11">
      <c r="B17" s="61"/>
      <c r="C17" s="62"/>
      <c r="D17" s="62"/>
      <c r="E17" s="9" t="s">
        <v>51</v>
      </c>
      <c r="F17" s="53"/>
      <c r="G17" s="61"/>
      <c r="H17" s="63" t="s">
        <v>51</v>
      </c>
    </row>
    <row r="18" spans="2:11" ht="13.5" thickBot="1">
      <c r="B18" s="61">
        <v>4</v>
      </c>
      <c r="C18" s="918" t="s">
        <v>266</v>
      </c>
      <c r="D18" s="918"/>
      <c r="E18" s="918"/>
      <c r="F18" s="53" t="s">
        <v>51</v>
      </c>
      <c r="G18" s="53" t="s">
        <v>51</v>
      </c>
      <c r="H18" s="53"/>
      <c r="I18" s="64">
        <f>(H12-H14-H16)*-1</f>
        <v>-113080671</v>
      </c>
      <c r="J18" s="65" t="s">
        <v>51</v>
      </c>
      <c r="K18" s="66"/>
    </row>
    <row r="19" spans="2:11" ht="13.5" thickTop="1">
      <c r="B19" s="61"/>
      <c r="C19" s="67"/>
      <c r="D19" s="67"/>
      <c r="E19" s="67"/>
      <c r="F19" s="53"/>
      <c r="G19" s="53"/>
      <c r="H19" s="53"/>
      <c r="J19" s="65"/>
    </row>
    <row r="20" spans="2:11" s="70" customFormat="1">
      <c r="B20" s="61">
        <v>5</v>
      </c>
      <c r="C20" s="68" t="s">
        <v>267</v>
      </c>
      <c r="D20" s="111">
        <v>1540006</v>
      </c>
      <c r="E20" s="9">
        <v>1039614.73</v>
      </c>
      <c r="F20" s="61" t="s">
        <v>440</v>
      </c>
      <c r="G20" s="61">
        <v>0.98599999999999999</v>
      </c>
      <c r="H20" s="9">
        <f>ROUND(E20*G20,0)</f>
        <v>1025060</v>
      </c>
      <c r="I20" s="9"/>
      <c r="J20" s="69"/>
    </row>
    <row r="21" spans="2:11">
      <c r="B21" s="61"/>
      <c r="C21" s="62"/>
      <c r="D21" s="62"/>
      <c r="E21" s="9"/>
      <c r="F21" s="53"/>
      <c r="G21" s="61"/>
      <c r="H21" s="53"/>
    </row>
    <row r="22" spans="2:11" ht="13.5" thickBot="1">
      <c r="B22" s="61"/>
      <c r="C22" s="53"/>
      <c r="D22" s="53"/>
      <c r="E22" s="9"/>
      <c r="F22" s="53"/>
      <c r="G22" s="53"/>
      <c r="H22" s="9"/>
      <c r="I22" s="64">
        <f>ROUND(H20,0)*-1</f>
        <v>-1025060</v>
      </c>
    </row>
    <row r="23" spans="2:11" ht="13.5" thickTop="1">
      <c r="B23" s="61"/>
      <c r="C23" s="53"/>
      <c r="D23" s="53"/>
      <c r="E23" s="9"/>
      <c r="F23" s="53"/>
      <c r="G23" s="53"/>
      <c r="H23" s="9"/>
    </row>
    <row r="24" spans="2:11">
      <c r="B24" s="61"/>
      <c r="C24" s="53"/>
      <c r="D24" s="53"/>
      <c r="E24" s="9"/>
      <c r="F24" s="53"/>
      <c r="G24" s="53"/>
      <c r="H24" s="53"/>
      <c r="I24" s="9"/>
    </row>
    <row r="25" spans="2:11" ht="13.5" thickBot="1">
      <c r="B25" s="53"/>
      <c r="C25" s="53"/>
      <c r="D25" s="53"/>
      <c r="E25" s="53"/>
      <c r="F25" s="53"/>
      <c r="G25" s="53"/>
      <c r="H25" s="53"/>
      <c r="I25" s="107">
        <f>+I18+I22</f>
        <v>-114105731</v>
      </c>
    </row>
    <row r="26" spans="2:11" ht="13.5" thickTop="1">
      <c r="B26" s="53"/>
      <c r="C26" s="90" t="s">
        <v>642</v>
      </c>
      <c r="D26" s="53"/>
      <c r="E26" s="53"/>
      <c r="F26" s="53"/>
      <c r="G26" s="53"/>
      <c r="H26" s="53"/>
    </row>
    <row r="27" spans="2:11" ht="14">
      <c r="B27" s="53"/>
      <c r="D27" s="53"/>
      <c r="E27" s="10"/>
      <c r="F27" s="53"/>
      <c r="G27" s="53"/>
      <c r="H27" s="71"/>
    </row>
    <row r="28" spans="2:11" ht="14">
      <c r="B28" s="19"/>
      <c r="C28" s="19"/>
      <c r="D28" s="19"/>
      <c r="E28" s="72"/>
      <c r="F28" s="19"/>
      <c r="G28" s="19"/>
      <c r="H28" s="72"/>
    </row>
    <row r="29" spans="2:11" ht="14">
      <c r="B29" s="19"/>
      <c r="C29" s="19"/>
      <c r="D29" s="19"/>
      <c r="E29" s="72"/>
      <c r="F29" s="19"/>
      <c r="G29" s="19"/>
      <c r="H29" s="72"/>
    </row>
    <row r="30" spans="2:11" ht="14">
      <c r="B30" s="19"/>
      <c r="C30" s="19"/>
      <c r="D30" s="19"/>
      <c r="E30" s="73"/>
      <c r="F30" s="19"/>
      <c r="G30" s="19"/>
      <c r="H30" s="73"/>
      <c r="I30" s="66"/>
    </row>
    <row r="31" spans="2:11">
      <c r="B31" s="19"/>
      <c r="C31" s="19"/>
      <c r="D31" s="19"/>
      <c r="E31" s="19"/>
      <c r="F31" s="19"/>
      <c r="G31" s="19"/>
      <c r="H31" s="19"/>
    </row>
  </sheetData>
  <mergeCells count="5">
    <mergeCell ref="A1:I1"/>
    <mergeCell ref="A2:I2"/>
    <mergeCell ref="A3:I3"/>
    <mergeCell ref="C18:E18"/>
    <mergeCell ref="A4:I4"/>
  </mergeCells>
  <pageMargins left="0.7" right="0.7" top="0.75" bottom="0.75" header="0.3" footer="0.3"/>
  <pageSetup scale="74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F9A8-CEAE-435D-9C17-F0BF95BD2244}">
  <sheetPr>
    <pageSetUpPr fitToPage="1"/>
  </sheetPr>
  <dimension ref="A1:L26"/>
  <sheetViews>
    <sheetView showRuler="0" zoomScale="110" zoomScaleNormal="110" workbookViewId="0">
      <selection sqref="A1:L14"/>
    </sheetView>
  </sheetViews>
  <sheetFormatPr defaultColWidth="13.1796875" defaultRowHeight="12.5"/>
  <cols>
    <col min="1" max="1" width="7.81640625" style="11" bestFit="1" customWidth="1"/>
    <col min="2" max="2" width="82.54296875" style="11" bestFit="1" customWidth="1"/>
    <col min="3" max="3" width="3" style="11" customWidth="1"/>
    <col min="4" max="4" width="12.7265625" style="11" bestFit="1" customWidth="1"/>
    <col min="5" max="5" width="3" style="11" customWidth="1"/>
    <col min="6" max="6" width="10" style="11" bestFit="1" customWidth="1"/>
    <col min="7" max="7" width="4.7265625" style="11" customWidth="1"/>
    <col min="8" max="8" width="9.26953125" style="11" bestFit="1" customWidth="1"/>
    <col min="9" max="9" width="3" style="11" customWidth="1"/>
    <col min="10" max="10" width="5.81640625" style="11" bestFit="1" customWidth="1"/>
    <col min="11" max="11" width="3" style="11" customWidth="1"/>
    <col min="12" max="12" width="16.26953125" style="11" bestFit="1" customWidth="1"/>
    <col min="13" max="13" width="2.81640625" style="11" customWidth="1"/>
    <col min="14" max="16384" width="13.1796875" style="11"/>
  </cols>
  <sheetData>
    <row r="1" spans="1:12" ht="16.75" customHeight="1">
      <c r="A1" s="389"/>
      <c r="B1" s="866" t="s">
        <v>0</v>
      </c>
      <c r="C1" s="867"/>
      <c r="D1" s="867"/>
      <c r="E1" s="867"/>
      <c r="F1" s="867"/>
      <c r="G1" s="867"/>
      <c r="H1" s="867"/>
      <c r="I1" s="867"/>
      <c r="J1" s="867"/>
      <c r="K1" s="389"/>
      <c r="L1" s="421" t="s">
        <v>51</v>
      </c>
    </row>
    <row r="2" spans="1:12" ht="16.75" customHeight="1">
      <c r="A2" s="389"/>
      <c r="B2" s="866" t="s">
        <v>489</v>
      </c>
      <c r="C2" s="867"/>
      <c r="D2" s="867"/>
      <c r="E2" s="867"/>
      <c r="F2" s="867"/>
      <c r="G2" s="867"/>
      <c r="H2" s="867"/>
      <c r="I2" s="867"/>
      <c r="J2" s="867"/>
      <c r="K2" s="389"/>
      <c r="L2" s="421" t="s">
        <v>51</v>
      </c>
    </row>
    <row r="3" spans="1:12" ht="16.75" customHeight="1">
      <c r="A3" s="389"/>
      <c r="B3" s="866" t="s">
        <v>591</v>
      </c>
      <c r="C3" s="867"/>
      <c r="D3" s="867"/>
      <c r="E3" s="867"/>
      <c r="F3" s="867"/>
      <c r="G3" s="867"/>
      <c r="H3" s="867"/>
      <c r="I3" s="867"/>
      <c r="J3" s="867"/>
      <c r="K3" s="389"/>
      <c r="L3" s="421" t="s">
        <v>51</v>
      </c>
    </row>
    <row r="4" spans="1:12" ht="16.75" customHeight="1">
      <c r="A4" s="389"/>
      <c r="B4" s="919" t="s">
        <v>506</v>
      </c>
      <c r="C4" s="919"/>
      <c r="D4" s="919"/>
      <c r="E4" s="919"/>
      <c r="F4" s="919"/>
      <c r="G4" s="919"/>
      <c r="H4" s="919"/>
      <c r="I4" s="919"/>
      <c r="J4" s="919"/>
      <c r="K4" s="389"/>
      <c r="L4" s="389"/>
    </row>
    <row r="5" spans="1:12" ht="14.15" customHeight="1">
      <c r="A5" s="389"/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</row>
    <row r="6" spans="1:12" ht="50.15" customHeight="1">
      <c r="A6" s="417" t="s">
        <v>10</v>
      </c>
      <c r="B6" s="417" t="s">
        <v>11</v>
      </c>
      <c r="C6" s="389"/>
      <c r="D6" s="417" t="s">
        <v>12</v>
      </c>
      <c r="E6" s="389"/>
      <c r="F6" s="417" t="s">
        <v>13</v>
      </c>
      <c r="G6" s="389"/>
      <c r="H6" s="417" t="s">
        <v>14</v>
      </c>
      <c r="I6" s="389"/>
      <c r="J6" s="417" t="s">
        <v>15</v>
      </c>
      <c r="K6" s="389"/>
      <c r="L6" s="417" t="s">
        <v>16</v>
      </c>
    </row>
    <row r="7" spans="1:12" ht="15.75" customHeight="1">
      <c r="A7" s="389"/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</row>
    <row r="8" spans="1:12" ht="16.75" customHeight="1">
      <c r="A8" s="564">
        <f>1</f>
        <v>1</v>
      </c>
      <c r="B8" s="789" t="s">
        <v>976</v>
      </c>
      <c r="C8" s="389"/>
      <c r="D8" s="790" t="s">
        <v>477</v>
      </c>
      <c r="E8" s="389"/>
      <c r="F8" s="216">
        <v>341157.52</v>
      </c>
      <c r="G8" s="389"/>
      <c r="H8" s="790" t="s">
        <v>237</v>
      </c>
      <c r="I8" s="389"/>
      <c r="J8" s="791">
        <v>1</v>
      </c>
      <c r="K8" s="389"/>
      <c r="L8" s="216">
        <f>J8*F8</f>
        <v>341157.52</v>
      </c>
    </row>
    <row r="9" spans="1:12" ht="16.75" customHeight="1">
      <c r="A9" s="564"/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</row>
    <row r="10" spans="1:12" ht="27.65" customHeight="1" thickBot="1">
      <c r="A10" s="564">
        <v>2</v>
      </c>
      <c r="B10" s="792" t="s">
        <v>974</v>
      </c>
      <c r="C10" s="389"/>
      <c r="D10" s="389"/>
      <c r="E10" s="389"/>
      <c r="F10" s="793">
        <f>-F8</f>
        <v>-341157.52</v>
      </c>
      <c r="G10" s="389"/>
      <c r="H10" s="389"/>
      <c r="I10" s="389"/>
      <c r="J10" s="389"/>
      <c r="K10" s="389"/>
      <c r="L10" s="793">
        <f>-L8</f>
        <v>-341157.52</v>
      </c>
    </row>
    <row r="11" spans="1:12" ht="15.75" customHeight="1" thickTop="1">
      <c r="A11" s="389"/>
      <c r="B11" s="389"/>
      <c r="C11" s="389"/>
      <c r="D11" s="389"/>
      <c r="E11" s="389"/>
      <c r="F11" s="572"/>
      <c r="G11" s="389"/>
      <c r="H11" s="389"/>
      <c r="I11" s="389"/>
      <c r="J11" s="389"/>
      <c r="K11" s="389"/>
      <c r="L11" s="572"/>
    </row>
    <row r="12" spans="1:12" ht="29.15" customHeight="1">
      <c r="A12" s="422" t="s">
        <v>21</v>
      </c>
      <c r="B12" s="915" t="s">
        <v>975</v>
      </c>
      <c r="C12" s="872"/>
      <c r="D12" s="872"/>
      <c r="E12" s="872"/>
      <c r="F12" s="872"/>
      <c r="G12" s="872"/>
      <c r="H12" s="872"/>
      <c r="I12" s="872"/>
      <c r="J12" s="872"/>
      <c r="K12" s="872"/>
      <c r="L12" s="872"/>
    </row>
    <row r="13" spans="1:12" ht="15" customHeight="1">
      <c r="A13" s="389"/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</row>
    <row r="14" spans="1:12" ht="16.75" customHeight="1">
      <c r="A14" s="419" t="s">
        <v>33</v>
      </c>
      <c r="B14" s="315" t="s">
        <v>590</v>
      </c>
      <c r="C14" s="389"/>
      <c r="D14" s="389"/>
      <c r="E14" s="389"/>
      <c r="F14" s="389"/>
      <c r="G14" s="389"/>
      <c r="H14" s="389"/>
      <c r="I14" s="389"/>
      <c r="J14" s="389"/>
      <c r="K14" s="389"/>
      <c r="L14" s="389"/>
    </row>
    <row r="15" spans="1:12" ht="16.75" customHeight="1">
      <c r="A15" s="389"/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</row>
    <row r="26" spans="2:2" ht="14.5">
      <c r="B26"/>
    </row>
  </sheetData>
  <mergeCells count="5">
    <mergeCell ref="B1:J1"/>
    <mergeCell ref="B2:J2"/>
    <mergeCell ref="B3:J3"/>
    <mergeCell ref="B4:J4"/>
    <mergeCell ref="B12:L12"/>
  </mergeCells>
  <pageMargins left="0.75" right="0.75" top="1" bottom="1" header="0.5" footer="0.5"/>
  <pageSetup scale="5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E131-4E88-45DB-953D-65A5206B27F7}">
  <sheetPr>
    <pageSetUpPr fitToPage="1"/>
  </sheetPr>
  <dimension ref="A1:L22"/>
  <sheetViews>
    <sheetView showRuler="0" zoomScale="110" zoomScaleNormal="110" workbookViewId="0">
      <selection activeCell="B6" sqref="B6"/>
    </sheetView>
  </sheetViews>
  <sheetFormatPr defaultColWidth="13.7265625" defaultRowHeight="13"/>
  <cols>
    <col min="1" max="1" width="7.81640625" style="172" bestFit="1" customWidth="1"/>
    <col min="2" max="2" width="82.26953125" style="172" bestFit="1" customWidth="1"/>
    <col min="3" max="3" width="3" style="172" customWidth="1"/>
    <col min="4" max="4" width="12.7265625" style="172" bestFit="1" customWidth="1"/>
    <col min="5" max="5" width="3" style="172" customWidth="1"/>
    <col min="6" max="6" width="11.54296875" style="172" bestFit="1" customWidth="1"/>
    <col min="7" max="7" width="4.7265625" style="172" customWidth="1"/>
    <col min="8" max="8" width="9.26953125" style="172" bestFit="1" customWidth="1"/>
    <col min="9" max="9" width="3" style="172" customWidth="1"/>
    <col min="10" max="10" width="5.81640625" style="172" bestFit="1" customWidth="1"/>
    <col min="11" max="11" width="3" style="172" customWidth="1"/>
    <col min="12" max="12" width="16.26953125" style="172" bestFit="1" customWidth="1"/>
    <col min="13" max="13" width="2.81640625" style="172" customWidth="1"/>
    <col min="14" max="16384" width="13.7265625" style="172"/>
  </cols>
  <sheetData>
    <row r="1" spans="1:12" ht="16.75" customHeight="1">
      <c r="B1" s="844" t="s">
        <v>0</v>
      </c>
      <c r="C1" s="845"/>
      <c r="D1" s="845"/>
      <c r="E1" s="845"/>
      <c r="F1" s="845"/>
      <c r="G1" s="845"/>
      <c r="H1" s="845"/>
      <c r="I1" s="845"/>
      <c r="J1" s="845"/>
      <c r="L1" s="193" t="s">
        <v>51</v>
      </c>
    </row>
    <row r="2" spans="1:12" ht="16.75" customHeight="1">
      <c r="B2" s="844" t="s">
        <v>475</v>
      </c>
      <c r="C2" s="845"/>
      <c r="D2" s="845"/>
      <c r="E2" s="845"/>
      <c r="F2" s="845"/>
      <c r="G2" s="845"/>
      <c r="H2" s="845"/>
      <c r="I2" s="845"/>
      <c r="J2" s="845"/>
      <c r="L2" s="193" t="s">
        <v>51</v>
      </c>
    </row>
    <row r="3" spans="1:12" ht="16.75" customHeight="1">
      <c r="B3" s="844" t="s">
        <v>591</v>
      </c>
      <c r="C3" s="845"/>
      <c r="D3" s="845"/>
      <c r="E3" s="845"/>
      <c r="F3" s="845"/>
      <c r="G3" s="845"/>
      <c r="H3" s="845"/>
      <c r="I3" s="845"/>
      <c r="J3" s="845"/>
      <c r="L3" s="193" t="s">
        <v>51</v>
      </c>
    </row>
    <row r="4" spans="1:12" ht="16.75" customHeight="1">
      <c r="B4" s="844" t="s">
        <v>506</v>
      </c>
      <c r="C4" s="845"/>
      <c r="D4" s="845"/>
      <c r="E4" s="845"/>
      <c r="F4" s="845"/>
      <c r="G4" s="845"/>
      <c r="H4" s="845"/>
      <c r="I4" s="845"/>
      <c r="J4" s="845"/>
    </row>
    <row r="5" spans="1:12" ht="14.15" customHeight="1"/>
    <row r="6" spans="1:12" ht="50.15" customHeight="1">
      <c r="A6" s="173" t="s">
        <v>10</v>
      </c>
      <c r="B6" s="173" t="s">
        <v>11</v>
      </c>
      <c r="D6" s="173" t="s">
        <v>12</v>
      </c>
      <c r="F6" s="173" t="s">
        <v>13</v>
      </c>
      <c r="H6" s="173" t="s">
        <v>14</v>
      </c>
      <c r="J6" s="173" t="s">
        <v>15</v>
      </c>
      <c r="L6" s="173" t="s">
        <v>16</v>
      </c>
    </row>
    <row r="7" spans="1:12" ht="15.75" customHeight="1"/>
    <row r="8" spans="1:12" ht="27.65" customHeight="1">
      <c r="A8" s="174"/>
      <c r="B8" s="794" t="s">
        <v>977</v>
      </c>
    </row>
    <row r="9" spans="1:12" ht="16.75" customHeight="1">
      <c r="A9" s="174">
        <f t="shared" ref="A9:A17" si="0">A8+1</f>
        <v>1</v>
      </c>
      <c r="B9" s="795" t="s">
        <v>476</v>
      </c>
      <c r="D9" s="660" t="s">
        <v>477</v>
      </c>
      <c r="F9" s="269">
        <v>341157.52</v>
      </c>
      <c r="H9" s="183" t="s">
        <v>237</v>
      </c>
      <c r="J9" s="796">
        <v>1</v>
      </c>
      <c r="L9" s="797">
        <f>J9*F9</f>
        <v>341157.52</v>
      </c>
    </row>
    <row r="10" spans="1:12" ht="16.75" customHeight="1">
      <c r="A10" s="174"/>
      <c r="B10" s="89"/>
      <c r="D10" s="89"/>
      <c r="F10" s="269"/>
    </row>
    <row r="11" spans="1:12" ht="16.75" customHeight="1">
      <c r="A11" s="174">
        <v>2</v>
      </c>
      <c r="B11" s="795" t="s">
        <v>242</v>
      </c>
      <c r="D11" s="427">
        <v>1823538</v>
      </c>
      <c r="F11" s="269">
        <v>2938409.3</v>
      </c>
      <c r="H11" s="183" t="s">
        <v>237</v>
      </c>
      <c r="J11" s="796">
        <v>1</v>
      </c>
      <c r="L11" s="797">
        <f>J11*F11</f>
        <v>2938409.3</v>
      </c>
    </row>
    <row r="12" spans="1:12" ht="16.75" customHeight="1">
      <c r="A12" s="174">
        <f t="shared" si="0"/>
        <v>3</v>
      </c>
      <c r="B12" s="795" t="s">
        <v>243</v>
      </c>
      <c r="D12" s="427">
        <v>1823537</v>
      </c>
      <c r="F12" s="269">
        <v>852986.79</v>
      </c>
      <c r="H12" s="183" t="s">
        <v>237</v>
      </c>
      <c r="J12" s="796">
        <v>1</v>
      </c>
      <c r="L12" s="797">
        <f>J12*F12</f>
        <v>852986.79</v>
      </c>
    </row>
    <row r="13" spans="1:12" ht="16.75" customHeight="1">
      <c r="A13" s="174">
        <f t="shared" si="0"/>
        <v>4</v>
      </c>
      <c r="B13" s="795" t="s">
        <v>244</v>
      </c>
      <c r="D13" s="798" t="s">
        <v>245</v>
      </c>
      <c r="F13" s="444">
        <v>-398350.15</v>
      </c>
      <c r="H13" s="183" t="s">
        <v>237</v>
      </c>
      <c r="J13" s="796">
        <v>1</v>
      </c>
      <c r="L13" s="799">
        <f>J13*F13</f>
        <v>-398350.15</v>
      </c>
    </row>
    <row r="14" spans="1:12" ht="16.75" customHeight="1">
      <c r="A14" s="174">
        <f t="shared" si="0"/>
        <v>5</v>
      </c>
      <c r="B14" s="795" t="s">
        <v>387</v>
      </c>
      <c r="D14" s="89"/>
      <c r="F14" s="800">
        <f>SUM(F11:F13)</f>
        <v>3393045.94</v>
      </c>
      <c r="L14" s="800">
        <f>SUM(L11:L13)</f>
        <v>3393045.94</v>
      </c>
    </row>
    <row r="15" spans="1:12" ht="16.75" customHeight="1">
      <c r="A15" s="174"/>
      <c r="B15" s="89"/>
      <c r="D15" s="89"/>
      <c r="F15" s="426"/>
      <c r="L15" s="186"/>
    </row>
    <row r="16" spans="1:12" ht="15" customHeight="1">
      <c r="A16" s="174">
        <v>6</v>
      </c>
      <c r="B16" s="795" t="s">
        <v>246</v>
      </c>
      <c r="D16" s="798" t="s">
        <v>239</v>
      </c>
      <c r="F16" s="799">
        <f>-(F9+F14)*0.21</f>
        <v>-784182.72659999994</v>
      </c>
      <c r="H16" s="183" t="s">
        <v>237</v>
      </c>
      <c r="I16" s="183"/>
      <c r="J16" s="796">
        <v>1</v>
      </c>
      <c r="L16" s="799">
        <f>-(L9+L14)*0.21</f>
        <v>-784182.72659999994</v>
      </c>
    </row>
    <row r="17" spans="1:12" ht="27.65" customHeight="1" thickBot="1">
      <c r="A17" s="174">
        <f t="shared" si="0"/>
        <v>7</v>
      </c>
      <c r="B17" s="794" t="s">
        <v>247</v>
      </c>
      <c r="F17" s="801">
        <f>-(F9+F14+F16)</f>
        <v>-2950020.7334000003</v>
      </c>
      <c r="L17" s="801">
        <f>-(L9+L14+L16)</f>
        <v>-2950020.7334000003</v>
      </c>
    </row>
    <row r="18" spans="1:12" ht="15.75" customHeight="1" thickTop="1">
      <c r="F18" s="461"/>
      <c r="L18" s="461"/>
    </row>
    <row r="19" spans="1:12" ht="29.15" customHeight="1">
      <c r="A19" s="802" t="s">
        <v>21</v>
      </c>
      <c r="B19" s="920" t="s">
        <v>975</v>
      </c>
      <c r="C19" s="851"/>
      <c r="D19" s="851"/>
      <c r="E19" s="851"/>
      <c r="F19" s="851"/>
      <c r="G19" s="851"/>
      <c r="H19" s="851"/>
      <c r="I19" s="851"/>
      <c r="J19" s="851"/>
      <c r="K19" s="851"/>
      <c r="L19" s="851"/>
    </row>
    <row r="20" spans="1:12" ht="15" customHeight="1"/>
    <row r="21" spans="1:12" ht="16.75" customHeight="1">
      <c r="A21" s="191" t="s">
        <v>33</v>
      </c>
      <c r="B21" s="315" t="s">
        <v>590</v>
      </c>
    </row>
    <row r="22" spans="1:12" ht="16.75" customHeight="1"/>
  </sheetData>
  <mergeCells count="5">
    <mergeCell ref="B1:J1"/>
    <mergeCell ref="B2:J2"/>
    <mergeCell ref="B3:J3"/>
    <mergeCell ref="B4:J4"/>
    <mergeCell ref="B19:L19"/>
  </mergeCells>
  <pageMargins left="0.75" right="0.75" top="1" bottom="1" header="0.5" footer="0.5"/>
  <pageSetup scale="54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12C1-3C03-4CDC-925D-EC7BC5BC4D12}">
  <sheetPr>
    <pageSetUpPr fitToPage="1"/>
  </sheetPr>
  <dimension ref="A1:AF55"/>
  <sheetViews>
    <sheetView workbookViewId="0">
      <selection activeCell="I2" sqref="I2:T2"/>
    </sheetView>
  </sheetViews>
  <sheetFormatPr defaultColWidth="9.1796875" defaultRowHeight="13"/>
  <cols>
    <col min="1" max="1" width="4.26953125" style="81" bestFit="1" customWidth="1"/>
    <col min="2" max="2" width="2.7265625" style="81" customWidth="1"/>
    <col min="3" max="3" width="33.453125" style="81" customWidth="1"/>
    <col min="4" max="4" width="3.81640625" style="81" customWidth="1"/>
    <col min="5" max="5" width="32.54296875" style="81" bestFit="1" customWidth="1"/>
    <col min="6" max="6" width="7.26953125" style="81" bestFit="1" customWidth="1"/>
    <col min="7" max="7" width="14.1796875" style="81" bestFit="1" customWidth="1"/>
    <col min="8" max="8" width="7.26953125" style="81" bestFit="1" customWidth="1"/>
    <col min="9" max="9" width="14.26953125" style="81" customWidth="1"/>
    <col min="10" max="11" width="2.7265625" style="81" customWidth="1"/>
    <col min="12" max="12" width="13.1796875" style="81" bestFit="1" customWidth="1"/>
    <col min="13" max="13" width="2.7265625" style="81" customWidth="1"/>
    <col min="14" max="14" width="13.1796875" style="81" bestFit="1" customWidth="1"/>
    <col min="15" max="15" width="2.7265625" style="81" customWidth="1"/>
    <col min="16" max="16" width="0.1796875" style="81" customWidth="1"/>
    <col min="17" max="17" width="15" style="81" bestFit="1" customWidth="1"/>
    <col min="18" max="19" width="2.7265625" style="81" customWidth="1"/>
    <col min="20" max="20" width="20" style="81" bestFit="1" customWidth="1"/>
    <col min="21" max="21" width="2.7265625" style="81" customWidth="1"/>
    <col min="22" max="22" width="13.1796875" style="81" bestFit="1" customWidth="1"/>
    <col min="23" max="23" width="2.7265625" style="81" customWidth="1"/>
    <col min="24" max="24" width="13.1796875" style="81" bestFit="1" customWidth="1"/>
    <col min="25" max="26" width="2.7265625" style="81" customWidth="1"/>
    <col min="27" max="27" width="18" style="81" bestFit="1" customWidth="1"/>
    <col min="28" max="28" width="2.7265625" style="81" customWidth="1"/>
    <col min="29" max="29" width="16" style="81" customWidth="1"/>
    <col min="30" max="30" width="2.7265625" style="81" customWidth="1"/>
    <col min="31" max="31" width="15.1796875" style="81" bestFit="1" customWidth="1"/>
    <col min="32" max="32" width="2.7265625" style="81" customWidth="1"/>
    <col min="33" max="16384" width="9.1796875" style="81"/>
  </cols>
  <sheetData>
    <row r="1" spans="1:32" ht="15" customHeight="1">
      <c r="I1" s="863" t="s">
        <v>329</v>
      </c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AE1" s="113"/>
    </row>
    <row r="2" spans="1:32" ht="15" customHeight="1">
      <c r="I2" s="863" t="s">
        <v>831</v>
      </c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3"/>
      <c r="AE2" s="113"/>
    </row>
    <row r="3" spans="1:32" ht="15" customHeight="1">
      <c r="I3" s="863" t="s">
        <v>832</v>
      </c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AE3" s="113"/>
    </row>
    <row r="4" spans="1:32" ht="15" customHeight="1">
      <c r="I4" s="863" t="s">
        <v>979</v>
      </c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</row>
    <row r="6" spans="1:32">
      <c r="I6" s="201" t="s">
        <v>833</v>
      </c>
    </row>
    <row r="7" spans="1:32" ht="30" customHeight="1">
      <c r="A7" s="201"/>
      <c r="B7" s="201"/>
      <c r="C7" s="201"/>
      <c r="D7" s="201"/>
      <c r="E7" s="201"/>
      <c r="F7" s="201"/>
      <c r="G7" s="201"/>
      <c r="H7" s="201"/>
      <c r="I7" s="201" t="s">
        <v>834</v>
      </c>
      <c r="J7" s="201"/>
      <c r="K7" s="201"/>
      <c r="L7" s="201" t="s">
        <v>835</v>
      </c>
      <c r="M7" s="201"/>
      <c r="N7" s="201" t="s">
        <v>835</v>
      </c>
      <c r="O7" s="201"/>
      <c r="P7" s="201"/>
      <c r="Q7" s="201" t="s">
        <v>836</v>
      </c>
      <c r="R7" s="201"/>
      <c r="S7" s="201"/>
      <c r="T7" s="201" t="s">
        <v>837</v>
      </c>
      <c r="U7" s="201"/>
      <c r="V7" s="201" t="s">
        <v>838</v>
      </c>
      <c r="W7" s="201"/>
      <c r="X7" s="201" t="s">
        <v>839</v>
      </c>
      <c r="Y7" s="201"/>
      <c r="Z7" s="201"/>
      <c r="AA7" s="201" t="s">
        <v>840</v>
      </c>
      <c r="AB7" s="201"/>
      <c r="AC7" s="201" t="s">
        <v>841</v>
      </c>
      <c r="AD7" s="201"/>
      <c r="AE7" s="201"/>
    </row>
    <row r="8" spans="1:32" ht="26.25" customHeight="1">
      <c r="A8" s="201" t="s">
        <v>116</v>
      </c>
      <c r="B8" s="201"/>
      <c r="C8" s="201"/>
      <c r="D8" s="201"/>
      <c r="E8" s="201" t="s">
        <v>842</v>
      </c>
      <c r="F8" s="201"/>
      <c r="G8" s="201" t="s">
        <v>843</v>
      </c>
      <c r="H8" s="201"/>
      <c r="I8" s="201" t="s">
        <v>842</v>
      </c>
      <c r="J8" s="201"/>
      <c r="K8" s="201"/>
      <c r="L8" s="201" t="s">
        <v>844</v>
      </c>
      <c r="M8" s="201"/>
      <c r="N8" s="201" t="s">
        <v>845</v>
      </c>
      <c r="O8" s="201"/>
      <c r="P8" s="201"/>
      <c r="Q8" s="201" t="s">
        <v>846</v>
      </c>
      <c r="R8" s="201"/>
      <c r="S8" s="201"/>
      <c r="T8" s="201" t="s">
        <v>847</v>
      </c>
      <c r="U8" s="201"/>
      <c r="V8" s="201" t="s">
        <v>848</v>
      </c>
      <c r="W8" s="201"/>
      <c r="X8" s="201" t="s">
        <v>849</v>
      </c>
      <c r="Y8" s="201"/>
      <c r="Z8" s="201"/>
      <c r="AA8" s="201" t="s">
        <v>850</v>
      </c>
      <c r="AB8" s="201"/>
      <c r="AC8" s="82" t="s">
        <v>851</v>
      </c>
      <c r="AD8" s="201"/>
      <c r="AE8" s="201"/>
    </row>
    <row r="9" spans="1:32">
      <c r="A9" s="82" t="s">
        <v>119</v>
      </c>
      <c r="B9" s="82"/>
      <c r="C9" s="82" t="s">
        <v>117</v>
      </c>
      <c r="D9" s="82"/>
      <c r="E9" s="82" t="s">
        <v>852</v>
      </c>
      <c r="F9" s="82"/>
      <c r="G9" s="82" t="s">
        <v>852</v>
      </c>
      <c r="H9" s="82"/>
      <c r="I9" s="82" t="s">
        <v>852</v>
      </c>
      <c r="J9" s="82"/>
      <c r="K9" s="82"/>
      <c r="L9" s="82" t="s">
        <v>853</v>
      </c>
      <c r="M9" s="82"/>
      <c r="N9" s="82" t="s">
        <v>854</v>
      </c>
      <c r="O9" s="82"/>
      <c r="P9" s="82"/>
      <c r="Q9" s="82" t="s">
        <v>853</v>
      </c>
      <c r="R9" s="82"/>
      <c r="S9" s="82"/>
      <c r="T9" s="82" t="s">
        <v>154</v>
      </c>
      <c r="U9" s="82"/>
      <c r="V9" s="82" t="s">
        <v>855</v>
      </c>
      <c r="W9" s="82"/>
      <c r="X9" s="82" t="s">
        <v>855</v>
      </c>
      <c r="Y9" s="82"/>
      <c r="Z9" s="82"/>
      <c r="AA9" s="82" t="s">
        <v>856</v>
      </c>
      <c r="AB9" s="82"/>
      <c r="AC9" s="82" t="s">
        <v>138</v>
      </c>
      <c r="AD9" s="82"/>
      <c r="AE9" s="82"/>
    </row>
    <row r="10" spans="1:32">
      <c r="A10" s="803">
        <v>-1</v>
      </c>
      <c r="B10" s="803"/>
      <c r="C10" s="803">
        <v>-2</v>
      </c>
      <c r="D10" s="803"/>
      <c r="E10" s="803">
        <v>-3</v>
      </c>
      <c r="F10" s="803"/>
      <c r="G10" s="803">
        <v>-4</v>
      </c>
      <c r="H10" s="803"/>
      <c r="I10" s="803">
        <v>-5</v>
      </c>
      <c r="J10" s="803"/>
      <c r="K10" s="803"/>
      <c r="L10" s="803">
        <v>-6</v>
      </c>
      <c r="M10" s="803"/>
      <c r="N10" s="803">
        <v>-7</v>
      </c>
      <c r="O10" s="803"/>
      <c r="P10" s="803"/>
      <c r="Q10" s="803">
        <v>-9</v>
      </c>
      <c r="R10" s="803"/>
      <c r="S10" s="803"/>
      <c r="T10" s="803">
        <v>-10</v>
      </c>
      <c r="U10" s="803"/>
      <c r="V10" s="803">
        <v>-11</v>
      </c>
      <c r="W10" s="803"/>
      <c r="X10" s="803">
        <v>-12</v>
      </c>
      <c r="Y10" s="803"/>
      <c r="Z10" s="803"/>
      <c r="AA10" s="803">
        <v>-13</v>
      </c>
      <c r="AB10" s="803"/>
      <c r="AC10" s="803">
        <v>-14</v>
      </c>
      <c r="AD10" s="803"/>
      <c r="AE10" s="803"/>
      <c r="AF10" s="803"/>
    </row>
    <row r="11" spans="1:32">
      <c r="A11" s="803"/>
      <c r="B11" s="803"/>
      <c r="C11" s="803"/>
      <c r="D11" s="803"/>
      <c r="E11" s="803"/>
      <c r="F11" s="803"/>
      <c r="G11" s="803"/>
      <c r="H11" s="803"/>
      <c r="I11" s="803"/>
      <c r="J11" s="803"/>
      <c r="K11" s="803"/>
      <c r="L11" s="803" t="s">
        <v>943</v>
      </c>
      <c r="M11" s="803"/>
      <c r="N11" s="803" t="s">
        <v>943</v>
      </c>
      <c r="O11" s="803"/>
      <c r="P11" s="803"/>
      <c r="Q11" s="803" t="s">
        <v>944</v>
      </c>
      <c r="R11" s="803"/>
      <c r="S11" s="803"/>
      <c r="T11" s="803" t="s">
        <v>942</v>
      </c>
      <c r="U11" s="803"/>
      <c r="V11" s="803" t="s">
        <v>945</v>
      </c>
      <c r="W11" s="803"/>
      <c r="X11" s="803" t="s">
        <v>946</v>
      </c>
      <c r="Y11" s="803"/>
      <c r="Z11" s="803"/>
      <c r="AA11" s="803"/>
      <c r="AB11" s="803"/>
      <c r="AC11" s="804" t="s">
        <v>941</v>
      </c>
      <c r="AD11" s="803"/>
      <c r="AE11" s="803"/>
      <c r="AF11" s="803"/>
    </row>
    <row r="12" spans="1:32">
      <c r="A12" s="805"/>
      <c r="B12" s="805"/>
      <c r="C12" s="805"/>
      <c r="D12" s="805"/>
      <c r="E12" s="805"/>
      <c r="F12" s="805"/>
      <c r="G12" s="805"/>
      <c r="H12" s="805"/>
      <c r="I12" s="805"/>
      <c r="J12" s="805"/>
      <c r="K12" s="805"/>
      <c r="L12" s="805"/>
      <c r="M12" s="805"/>
      <c r="N12" s="805"/>
      <c r="O12" s="805"/>
      <c r="P12" s="805"/>
      <c r="Q12" s="805"/>
      <c r="R12" s="805"/>
      <c r="S12" s="805"/>
      <c r="T12" s="805"/>
      <c r="U12" s="805"/>
      <c r="V12" s="805"/>
      <c r="W12" s="805"/>
      <c r="X12" s="805"/>
      <c r="Y12" s="805"/>
      <c r="Z12" s="805"/>
      <c r="AA12" s="805"/>
      <c r="AB12" s="805"/>
      <c r="AC12" s="805"/>
      <c r="AD12" s="805"/>
      <c r="AE12" s="805"/>
    </row>
    <row r="13" spans="1:32">
      <c r="A13" s="201">
        <v>1</v>
      </c>
      <c r="C13" s="81" t="s">
        <v>857</v>
      </c>
      <c r="D13" s="806"/>
      <c r="E13" s="807">
        <v>1365000000</v>
      </c>
      <c r="F13" s="808">
        <f>+E13/$E$19</f>
        <v>0.55820048511337683</v>
      </c>
      <c r="G13" s="807">
        <f>+E13-300000000</f>
        <v>1065000000</v>
      </c>
      <c r="H13" s="808">
        <f>(G13+G15)/G22</f>
        <v>0.53867848897682657</v>
      </c>
      <c r="I13" s="807">
        <f>G13*$I$25</f>
        <v>1043700000</v>
      </c>
      <c r="J13" s="807"/>
      <c r="K13" s="807"/>
      <c r="L13" s="809">
        <f>L19*($G$13/($G$13+$G$17))</f>
        <v>-552177.77191058581</v>
      </c>
      <c r="M13" s="807"/>
      <c r="N13" s="809">
        <f>N19*($G$13/($G$13+$G$17))</f>
        <v>-60914124.986765653</v>
      </c>
      <c r="O13" s="807"/>
      <c r="P13" s="807"/>
      <c r="Q13" s="809">
        <f>Q19*($G$13/($G$13+$G$17))</f>
        <v>-1589112.711118222</v>
      </c>
      <c r="R13" s="807"/>
      <c r="S13" s="807"/>
      <c r="T13" s="809">
        <f>T19*($G$13/($G$13+$G$17))</f>
        <v>9696212.8015828785</v>
      </c>
      <c r="U13" s="807"/>
      <c r="V13" s="809">
        <f>V19*($G$13/($G$13+$G$17))</f>
        <v>-352925.10757701041</v>
      </c>
      <c r="W13" s="807"/>
      <c r="X13" s="809">
        <f>X19*($G$13/($G$13+$G$17))</f>
        <v>-270613.6069633555</v>
      </c>
      <c r="Y13" s="807"/>
      <c r="Z13" s="807"/>
      <c r="AA13" s="810">
        <f>(L13*$L$25)+(N13*$N$25)+(X13*$X$25)+(Q13*$Q$25)+(T13*$T$25)+(V13*$V$25)</f>
        <v>-53184575.224075064</v>
      </c>
      <c r="AB13" s="807"/>
      <c r="AC13" s="807">
        <f>I13+AA13</f>
        <v>990515424.77592492</v>
      </c>
      <c r="AD13" s="807"/>
      <c r="AE13" s="807"/>
    </row>
    <row r="14" spans="1:32">
      <c r="A14" s="201"/>
      <c r="D14" s="806"/>
      <c r="E14" s="807"/>
      <c r="F14" s="808"/>
      <c r="G14" s="807"/>
      <c r="H14" s="808"/>
      <c r="I14" s="807"/>
      <c r="J14" s="807"/>
      <c r="K14" s="807"/>
      <c r="L14" s="809"/>
      <c r="M14" s="807"/>
      <c r="N14" s="809"/>
      <c r="O14" s="807"/>
      <c r="P14" s="807"/>
      <c r="Q14" s="807"/>
      <c r="R14" s="807"/>
      <c r="S14" s="807"/>
      <c r="T14" s="809"/>
      <c r="U14" s="807"/>
      <c r="V14" s="809"/>
      <c r="W14" s="807"/>
      <c r="X14" s="809"/>
      <c r="Y14" s="807"/>
      <c r="Z14" s="807"/>
      <c r="AA14" s="807"/>
      <c r="AB14" s="807"/>
      <c r="AC14" s="807"/>
      <c r="AD14" s="807"/>
      <c r="AE14" s="807"/>
    </row>
    <row r="15" spans="1:32">
      <c r="A15" s="201">
        <v>2</v>
      </c>
      <c r="C15" s="81" t="s">
        <v>858</v>
      </c>
      <c r="D15" s="806"/>
      <c r="E15" s="295">
        <v>85199813.670000002</v>
      </c>
      <c r="F15" s="808">
        <f>+E15/$E$19</f>
        <v>3.4841448587665434E-2</v>
      </c>
      <c r="G15" s="295">
        <f>+E15-E15</f>
        <v>0</v>
      </c>
      <c r="H15" s="811"/>
      <c r="I15" s="807">
        <f>G15*T25</f>
        <v>0</v>
      </c>
      <c r="J15" s="295"/>
      <c r="K15" s="295"/>
      <c r="L15" s="809">
        <v>0</v>
      </c>
      <c r="M15" s="295"/>
      <c r="N15" s="809">
        <v>0</v>
      </c>
      <c r="O15" s="295"/>
      <c r="P15" s="295"/>
      <c r="Q15" s="295"/>
      <c r="R15" s="295"/>
      <c r="S15" s="295"/>
      <c r="T15" s="809">
        <v>0</v>
      </c>
      <c r="U15" s="295"/>
      <c r="V15" s="809">
        <v>0</v>
      </c>
      <c r="W15" s="295"/>
      <c r="X15" s="809">
        <v>0</v>
      </c>
      <c r="Y15" s="295"/>
      <c r="Z15" s="295"/>
      <c r="AA15" s="807">
        <f>(L15*$L$25)+(N15*$N$25)+(X15*$X$25)+(Q15*$Q$25)+(T15*$T$25)+(V15*$V$25)</f>
        <v>0</v>
      </c>
      <c r="AB15" s="807"/>
      <c r="AC15" s="807">
        <f>I15+AA15</f>
        <v>0</v>
      </c>
      <c r="AD15" s="295"/>
      <c r="AE15" s="295"/>
    </row>
    <row r="16" spans="1:32">
      <c r="A16" s="201"/>
      <c r="D16" s="806"/>
      <c r="E16" s="295"/>
      <c r="F16" s="808"/>
      <c r="G16" s="295"/>
      <c r="H16" s="811"/>
      <c r="I16" s="295"/>
      <c r="J16" s="295"/>
      <c r="K16" s="295"/>
      <c r="L16" s="809"/>
      <c r="M16" s="295"/>
      <c r="N16" s="809"/>
      <c r="O16" s="295"/>
      <c r="P16" s="295"/>
      <c r="Q16" s="295"/>
      <c r="R16" s="295"/>
      <c r="S16" s="295"/>
      <c r="T16" s="809"/>
      <c r="U16" s="295"/>
      <c r="V16" s="809"/>
      <c r="W16" s="295"/>
      <c r="X16" s="809"/>
      <c r="Y16" s="295"/>
      <c r="Z16" s="295"/>
      <c r="AA16" s="295"/>
      <c r="AB16" s="295"/>
      <c r="AC16" s="295"/>
      <c r="AD16" s="295"/>
      <c r="AE16" s="295"/>
    </row>
    <row r="17" spans="1:31">
      <c r="A17" s="201">
        <v>3</v>
      </c>
      <c r="C17" s="81" t="s">
        <v>859</v>
      </c>
      <c r="D17" s="806"/>
      <c r="E17" s="807">
        <v>995158147.13999999</v>
      </c>
      <c r="F17" s="808">
        <f>+E17/$E$19</f>
        <v>0.4069580662989577</v>
      </c>
      <c r="G17" s="809">
        <f>995158147.14-G29</f>
        <v>912060569.13999999</v>
      </c>
      <c r="H17" s="808">
        <f>G17/G19</f>
        <v>0.46132151102317343</v>
      </c>
      <c r="I17" s="807">
        <f>G17*$I$25</f>
        <v>893819357.7572</v>
      </c>
      <c r="J17" s="295"/>
      <c r="K17" s="295"/>
      <c r="L17" s="809">
        <f>L19*($G$17/($G$17+$G$13))</f>
        <v>-472882.22808941413</v>
      </c>
      <c r="M17" s="295"/>
      <c r="N17" s="809">
        <f>N19*($G$17/($G$17+$G$13))</f>
        <v>-52166546.013234347</v>
      </c>
      <c r="O17" s="295"/>
      <c r="P17" s="295"/>
      <c r="Q17" s="809">
        <f>Q19*($G$17/($G$17+$G$13))</f>
        <v>-1360908.0222817783</v>
      </c>
      <c r="R17" s="295"/>
      <c r="S17" s="295"/>
      <c r="T17" s="809">
        <f>T19*($G$17/($G$17+$G$13))</f>
        <v>8303787.1984171215</v>
      </c>
      <c r="U17" s="295"/>
      <c r="V17" s="809">
        <f>V19*($G$17/($G$17+$G$13))</f>
        <v>-302243.26242298959</v>
      </c>
      <c r="W17" s="295"/>
      <c r="X17" s="809">
        <f>X19*($G$17/($G$17+$G$13))</f>
        <v>-231752.11303664444</v>
      </c>
      <c r="Y17" s="295"/>
      <c r="Z17" s="295"/>
      <c r="AA17" s="807">
        <f>(L17*$L$25)+(N17*$N$25)+(X17*$X$25)++(Q17*$Q$25)+(T17*$T$25)+(V17*$V$25)</f>
        <v>-45546999.012524933</v>
      </c>
      <c r="AB17" s="807"/>
      <c r="AC17" s="807">
        <f>I17+AA17</f>
        <v>848272358.74467504</v>
      </c>
      <c r="AD17" s="295"/>
      <c r="AE17" s="295"/>
    </row>
    <row r="18" spans="1:31">
      <c r="A18" s="201"/>
      <c r="D18" s="806"/>
      <c r="E18" s="812" t="s">
        <v>860</v>
      </c>
      <c r="G18" s="812" t="s">
        <v>860</v>
      </c>
      <c r="H18" s="812"/>
      <c r="I18" s="812" t="s">
        <v>860</v>
      </c>
      <c r="J18" s="813"/>
      <c r="K18" s="813"/>
      <c r="L18" s="813" t="s">
        <v>860</v>
      </c>
      <c r="M18" s="813"/>
      <c r="N18" s="813" t="s">
        <v>860</v>
      </c>
      <c r="O18" s="813"/>
      <c r="P18" s="813"/>
      <c r="Q18" s="813" t="s">
        <v>860</v>
      </c>
      <c r="R18" s="813"/>
      <c r="S18" s="813"/>
      <c r="T18" s="813" t="s">
        <v>860</v>
      </c>
      <c r="U18" s="813"/>
      <c r="V18" s="813" t="s">
        <v>860</v>
      </c>
      <c r="W18" s="813"/>
      <c r="X18" s="813" t="s">
        <v>860</v>
      </c>
      <c r="Y18" s="813"/>
      <c r="Z18" s="813"/>
      <c r="AA18" s="812" t="s">
        <v>860</v>
      </c>
      <c r="AB18" s="812"/>
      <c r="AC18" s="812" t="s">
        <v>860</v>
      </c>
      <c r="AD18" s="814"/>
      <c r="AE18" s="812"/>
    </row>
    <row r="19" spans="1:31">
      <c r="A19" s="201">
        <v>4</v>
      </c>
      <c r="C19" s="81" t="s">
        <v>861</v>
      </c>
      <c r="D19" s="811"/>
      <c r="E19" s="295">
        <f>SUM(E13:E17)</f>
        <v>2445357960.8099999</v>
      </c>
      <c r="F19" s="811">
        <f>SUM(F13:F17)</f>
        <v>1</v>
      </c>
      <c r="G19" s="809">
        <f>SUM(G13:G17)</f>
        <v>1977060569.1399999</v>
      </c>
      <c r="H19" s="811">
        <f>SUM(H13:H17)</f>
        <v>1</v>
      </c>
      <c r="I19" s="295">
        <f>SUM(I13:I17)</f>
        <v>1937519357.7572</v>
      </c>
      <c r="J19" s="295"/>
      <c r="K19" s="295"/>
      <c r="L19" s="295">
        <v>-1025060</v>
      </c>
      <c r="M19" s="295"/>
      <c r="N19" s="295">
        <v>-113080671</v>
      </c>
      <c r="O19" s="295"/>
      <c r="P19" s="295"/>
      <c r="Q19" s="295">
        <v>-2950020.7334000003</v>
      </c>
      <c r="R19" s="295"/>
      <c r="S19" s="295"/>
      <c r="T19" s="295">
        <v>18000000</v>
      </c>
      <c r="U19" s="295"/>
      <c r="V19" s="295">
        <v>-655168.37</v>
      </c>
      <c r="W19" s="295"/>
      <c r="X19" s="295">
        <v>-502365.72</v>
      </c>
      <c r="Y19" s="295"/>
      <c r="Z19" s="295"/>
      <c r="AA19" s="295">
        <f>SUM(AA13:AA17)</f>
        <v>-98731574.236599997</v>
      </c>
      <c r="AB19" s="295"/>
      <c r="AC19" s="295">
        <f>SUM(AC13:AC17)</f>
        <v>1838787783.5205998</v>
      </c>
      <c r="AD19" s="295"/>
      <c r="AE19" s="295"/>
    </row>
    <row r="20" spans="1:31">
      <c r="A20" s="201"/>
      <c r="E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</row>
    <row r="21" spans="1:31">
      <c r="A21" s="201"/>
      <c r="E21" s="812" t="s">
        <v>860</v>
      </c>
      <c r="F21" s="812"/>
      <c r="G21" s="812"/>
      <c r="H21" s="812"/>
      <c r="I21" s="812"/>
      <c r="J21" s="813"/>
      <c r="K21" s="813"/>
      <c r="L21" s="813" t="s">
        <v>860</v>
      </c>
      <c r="M21" s="813"/>
      <c r="N21" s="813" t="s">
        <v>860</v>
      </c>
      <c r="O21" s="813"/>
      <c r="P21" s="813"/>
      <c r="Q21" s="813" t="s">
        <v>860</v>
      </c>
      <c r="R21" s="813"/>
      <c r="S21" s="813"/>
      <c r="T21" s="813" t="s">
        <v>860</v>
      </c>
      <c r="U21" s="813"/>
      <c r="V21" s="813" t="s">
        <v>860</v>
      </c>
      <c r="W21" s="813"/>
      <c r="X21" s="813" t="s">
        <v>860</v>
      </c>
      <c r="Y21" s="813"/>
      <c r="Z21" s="813"/>
      <c r="AA21" s="812" t="s">
        <v>860</v>
      </c>
      <c r="AB21" s="812"/>
      <c r="AC21" s="812" t="s">
        <v>860</v>
      </c>
      <c r="AD21" s="814"/>
      <c r="AE21" s="812"/>
    </row>
    <row r="22" spans="1:31" s="815" customFormat="1">
      <c r="A22" s="201">
        <v>5</v>
      </c>
      <c r="C22" s="815" t="s">
        <v>138</v>
      </c>
      <c r="E22" s="816">
        <f>SUM(E19:E20)</f>
        <v>2445357960.8099999</v>
      </c>
      <c r="G22" s="816">
        <f>SUM(G19:G20)</f>
        <v>1977060569.1399999</v>
      </c>
      <c r="I22" s="807">
        <f>SUM(I19:I20)</f>
        <v>1937519357.7572</v>
      </c>
      <c r="J22" s="807"/>
      <c r="K22" s="817"/>
      <c r="L22" s="807">
        <f>SUM(L19:L20)</f>
        <v>-1025060</v>
      </c>
      <c r="M22" s="817"/>
      <c r="N22" s="807">
        <f>SUM(N19:N20)</f>
        <v>-113080671</v>
      </c>
      <c r="O22" s="817"/>
      <c r="P22" s="817"/>
      <c r="Q22" s="807">
        <f>SUM(Q19:Q20)</f>
        <v>-2950020.7334000003</v>
      </c>
      <c r="R22" s="817"/>
      <c r="S22" s="817"/>
      <c r="T22" s="807">
        <f>SUM(T19:T20)</f>
        <v>18000000</v>
      </c>
      <c r="U22" s="817"/>
      <c r="V22" s="807">
        <f>SUM(V19:V20)</f>
        <v>-655168.37</v>
      </c>
      <c r="W22" s="817"/>
      <c r="X22" s="807">
        <f>SUM(X19:X20)</f>
        <v>-502365.72</v>
      </c>
      <c r="Y22" s="818"/>
      <c r="Z22" s="818"/>
      <c r="AA22" s="818">
        <f>SUM(AA19:AA20)</f>
        <v>-98731574.236599997</v>
      </c>
      <c r="AB22" s="818"/>
      <c r="AC22" s="818">
        <f>SUM(AC19:AC20)</f>
        <v>1838787783.5205998</v>
      </c>
      <c r="AD22" s="818"/>
      <c r="AE22" s="818"/>
    </row>
    <row r="23" spans="1:31">
      <c r="A23" s="201"/>
      <c r="E23" s="812" t="s">
        <v>862</v>
      </c>
      <c r="F23" s="812"/>
      <c r="G23" s="812" t="s">
        <v>862</v>
      </c>
      <c r="H23" s="812"/>
      <c r="I23" s="812"/>
      <c r="J23" s="813"/>
      <c r="K23" s="813"/>
      <c r="L23" s="812" t="s">
        <v>863</v>
      </c>
      <c r="M23" s="812"/>
      <c r="N23" s="812" t="s">
        <v>863</v>
      </c>
      <c r="O23" s="812"/>
      <c r="P23" s="812"/>
      <c r="Q23" s="812" t="s">
        <v>863</v>
      </c>
      <c r="R23" s="812"/>
      <c r="S23" s="812"/>
      <c r="T23" s="812" t="s">
        <v>863</v>
      </c>
      <c r="U23" s="812"/>
      <c r="V23" s="812" t="s">
        <v>863</v>
      </c>
      <c r="W23" s="812"/>
      <c r="X23" s="812" t="s">
        <v>863</v>
      </c>
      <c r="Y23" s="812"/>
      <c r="Z23" s="812"/>
      <c r="AA23" s="812" t="s">
        <v>863</v>
      </c>
      <c r="AB23" s="812"/>
      <c r="AC23" s="812" t="s">
        <v>863</v>
      </c>
      <c r="AD23" s="113"/>
      <c r="AE23" s="812"/>
    </row>
    <row r="24" spans="1:31">
      <c r="A24" s="201"/>
      <c r="E24" s="813"/>
      <c r="F24" s="813"/>
      <c r="G24" s="813"/>
      <c r="H24" s="813"/>
      <c r="I24" s="813"/>
      <c r="J24" s="813"/>
      <c r="K24" s="813"/>
      <c r="L24" s="813"/>
      <c r="M24" s="813"/>
      <c r="N24" s="813"/>
      <c r="O24" s="813"/>
      <c r="P24" s="813"/>
      <c r="Q24" s="813"/>
      <c r="R24" s="813"/>
      <c r="S24" s="813"/>
      <c r="T24" s="813"/>
      <c r="U24" s="813"/>
      <c r="V24" s="813"/>
      <c r="W24" s="813"/>
      <c r="X24" s="813"/>
      <c r="Y24" s="813"/>
      <c r="Z24" s="813"/>
      <c r="AA24" s="813"/>
      <c r="AB24" s="813"/>
      <c r="AC24" s="813"/>
      <c r="AD24" s="201"/>
      <c r="AE24" s="812"/>
    </row>
    <row r="25" spans="1:31">
      <c r="A25" s="201">
        <v>6</v>
      </c>
      <c r="C25" s="81" t="s">
        <v>59</v>
      </c>
      <c r="F25" s="819"/>
      <c r="G25" s="819"/>
      <c r="H25" s="819"/>
      <c r="I25" s="819">
        <f>'[2]Allocation Factors'!$G$24</f>
        <v>0.98</v>
      </c>
      <c r="J25" s="819"/>
      <c r="L25" s="819">
        <f>'[2]Allocation Factors'!G14</f>
        <v>0.98599999999999999</v>
      </c>
      <c r="N25" s="819">
        <f>'[2]Allocation Factors'!$G$10</f>
        <v>0.98499999999999999</v>
      </c>
      <c r="Q25" s="819">
        <v>1</v>
      </c>
      <c r="T25" s="819">
        <f>'[2]Allocation Factors'!G14</f>
        <v>0.98599999999999999</v>
      </c>
      <c r="V25" s="819">
        <f>'[2]Allocation Factors'!$G$24</f>
        <v>0.98</v>
      </c>
      <c r="X25" s="819">
        <f>'[2]Allocation Factors'!$G$24</f>
        <v>0.98</v>
      </c>
      <c r="AA25" s="809"/>
      <c r="AB25" s="809"/>
      <c r="AC25" s="809"/>
    </row>
    <row r="26" spans="1:31">
      <c r="A26" s="201"/>
      <c r="AA26" s="807"/>
      <c r="AB26" s="807"/>
      <c r="AC26" s="807"/>
    </row>
    <row r="27" spans="1:31">
      <c r="A27" s="201"/>
      <c r="E27" s="201"/>
      <c r="F27" s="201"/>
      <c r="G27" s="201"/>
      <c r="H27" s="201"/>
      <c r="I27" s="201" t="s">
        <v>158</v>
      </c>
      <c r="J27" s="201"/>
      <c r="K27" s="201"/>
      <c r="L27" s="201" t="s">
        <v>237</v>
      </c>
      <c r="M27" s="201"/>
      <c r="N27" s="201" t="s">
        <v>22</v>
      </c>
      <c r="O27" s="201"/>
      <c r="P27" s="201"/>
      <c r="Q27" s="201" t="s">
        <v>237</v>
      </c>
      <c r="R27" s="201"/>
      <c r="S27" s="201"/>
      <c r="T27" s="201" t="s">
        <v>237</v>
      </c>
      <c r="U27" s="201"/>
      <c r="V27" s="201" t="s">
        <v>237</v>
      </c>
      <c r="W27" s="201"/>
      <c r="X27" s="201" t="s">
        <v>22</v>
      </c>
      <c r="Y27" s="201"/>
      <c r="Z27" s="201"/>
    </row>
    <row r="29" spans="1:31">
      <c r="E29" s="81" t="s">
        <v>940</v>
      </c>
      <c r="G29" s="820">
        <v>83097578</v>
      </c>
    </row>
    <row r="30" spans="1:31">
      <c r="G30" s="820"/>
      <c r="I30" s="807"/>
      <c r="X30" s="821"/>
    </row>
    <row r="31" spans="1:31">
      <c r="C31" s="80" t="s">
        <v>927</v>
      </c>
      <c r="D31" s="822"/>
      <c r="G31" s="807"/>
      <c r="L31" s="750"/>
    </row>
    <row r="32" spans="1:31">
      <c r="C32" s="81" t="s">
        <v>928</v>
      </c>
      <c r="G32" s="295">
        <v>477749000</v>
      </c>
      <c r="X32" s="821"/>
    </row>
    <row r="33" spans="3:12">
      <c r="C33" s="81" t="s">
        <v>929</v>
      </c>
      <c r="G33" s="295">
        <v>-9451608.6099999994</v>
      </c>
      <c r="L33" s="823"/>
    </row>
    <row r="34" spans="3:12">
      <c r="C34" s="824" t="s">
        <v>939</v>
      </c>
      <c r="D34" s="824"/>
      <c r="E34" s="824"/>
      <c r="F34" s="824"/>
      <c r="G34" s="825">
        <f>SUM(G32:G33)</f>
        <v>468297391.38999999</v>
      </c>
    </row>
    <row r="35" spans="3:12">
      <c r="G35" s="295"/>
    </row>
    <row r="36" spans="3:12">
      <c r="C36" s="81" t="s">
        <v>930</v>
      </c>
      <c r="G36" s="295">
        <v>-300000000</v>
      </c>
    </row>
    <row r="37" spans="3:12">
      <c r="C37" s="81" t="s">
        <v>931</v>
      </c>
      <c r="G37" s="295">
        <f>-E15</f>
        <v>-85199813.670000002</v>
      </c>
    </row>
    <row r="38" spans="3:12">
      <c r="C38" s="824" t="s">
        <v>940</v>
      </c>
      <c r="D38" s="826"/>
      <c r="E38" s="826"/>
      <c r="F38" s="826"/>
      <c r="G38" s="825">
        <f>+G34+G36+G37</f>
        <v>83097577.719999984</v>
      </c>
    </row>
    <row r="41" spans="3:12">
      <c r="C41" s="81" t="s">
        <v>925</v>
      </c>
    </row>
    <row r="50" spans="31:31" ht="24" customHeight="1">
      <c r="AE50" s="921"/>
    </row>
    <row r="51" spans="31:31" ht="24" customHeight="1">
      <c r="AE51" s="921"/>
    </row>
    <row r="52" spans="31:31">
      <c r="AE52" s="921"/>
    </row>
    <row r="53" spans="31:31">
      <c r="AE53" s="921"/>
    </row>
    <row r="54" spans="31:31">
      <c r="AE54" s="921"/>
    </row>
    <row r="55" spans="31:31">
      <c r="AE55" s="921"/>
    </row>
  </sheetData>
  <mergeCells count="5">
    <mergeCell ref="AE50:AE55"/>
    <mergeCell ref="I1:T1"/>
    <mergeCell ref="I2:T2"/>
    <mergeCell ref="I3:T3"/>
    <mergeCell ref="I4:T4"/>
  </mergeCells>
  <pageMargins left="0.7" right="0.7" top="0.75" bottom="0.75" header="0.3" footer="0.3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4F03-8FFF-4DA3-95FF-F7C343914F4B}">
  <dimension ref="A2:G29"/>
  <sheetViews>
    <sheetView zoomScale="120" zoomScaleNormal="120" workbookViewId="0">
      <selection activeCell="G36" sqref="G36"/>
    </sheetView>
  </sheetViews>
  <sheetFormatPr defaultColWidth="9.1796875" defaultRowHeight="13"/>
  <cols>
    <col min="1" max="1" width="9.1796875" style="89"/>
    <col min="2" max="2" width="5.54296875" style="89" customWidth="1"/>
    <col min="3" max="3" width="35.1796875" style="89" customWidth="1"/>
    <col min="4" max="4" width="9.1796875" style="89"/>
    <col min="5" max="5" width="12" style="89" customWidth="1"/>
    <col min="6" max="6" width="9.1796875" style="89"/>
    <col min="7" max="7" width="13.81640625" style="89" customWidth="1"/>
    <col min="8" max="16384" width="9.1796875" style="89"/>
  </cols>
  <sheetData>
    <row r="2" spans="1:7" ht="14.5" customHeight="1">
      <c r="C2" s="843" t="s">
        <v>0</v>
      </c>
      <c r="D2" s="843"/>
      <c r="E2" s="843"/>
      <c r="F2" s="843"/>
      <c r="G2" s="843"/>
    </row>
    <row r="3" spans="1:7" ht="14.5" customHeight="1">
      <c r="C3" s="843" t="s">
        <v>738</v>
      </c>
      <c r="D3" s="843"/>
      <c r="E3" s="843"/>
      <c r="F3" s="843"/>
      <c r="G3" s="843"/>
    </row>
    <row r="4" spans="1:7" ht="14.5" customHeight="1">
      <c r="C4" s="843" t="s">
        <v>591</v>
      </c>
      <c r="D4" s="843"/>
      <c r="E4" s="843"/>
      <c r="F4" s="843"/>
      <c r="G4" s="843"/>
    </row>
    <row r="5" spans="1:7">
      <c r="C5" s="843" t="s">
        <v>508</v>
      </c>
      <c r="D5" s="843"/>
      <c r="E5" s="843"/>
      <c r="F5" s="843"/>
      <c r="G5" s="843"/>
    </row>
    <row r="7" spans="1:7">
      <c r="A7" s="153" t="s">
        <v>116</v>
      </c>
      <c r="B7" s="88"/>
      <c r="C7" s="88"/>
      <c r="D7" s="88"/>
      <c r="E7" s="88"/>
      <c r="F7" s="153"/>
    </row>
    <row r="8" spans="1:7">
      <c r="A8" s="154" t="s">
        <v>119</v>
      </c>
      <c r="B8" s="154"/>
      <c r="C8" s="154" t="s">
        <v>117</v>
      </c>
      <c r="D8" s="154"/>
      <c r="E8" s="154" t="s">
        <v>54</v>
      </c>
      <c r="F8" s="154"/>
      <c r="G8" s="154" t="s">
        <v>118</v>
      </c>
    </row>
    <row r="9" spans="1:7">
      <c r="A9" s="163" t="s">
        <v>99</v>
      </c>
      <c r="B9" s="164"/>
      <c r="C9" s="163" t="s">
        <v>100</v>
      </c>
      <c r="D9" s="164"/>
      <c r="E9" s="163" t="s">
        <v>893</v>
      </c>
      <c r="F9" s="164"/>
      <c r="G9" s="163" t="s">
        <v>102</v>
      </c>
    </row>
    <row r="10" spans="1:7">
      <c r="A10" s="164"/>
      <c r="B10" s="164"/>
      <c r="C10" s="164"/>
      <c r="D10" s="164"/>
      <c r="E10" s="164"/>
      <c r="F10" s="164"/>
    </row>
    <row r="12" spans="1:7">
      <c r="C12" s="155" t="s">
        <v>739</v>
      </c>
      <c r="G12" s="165"/>
    </row>
    <row r="13" spans="1:7">
      <c r="A13" s="88">
        <v>1</v>
      </c>
      <c r="C13" s="156" t="s">
        <v>740</v>
      </c>
      <c r="E13" s="166">
        <v>4510001</v>
      </c>
      <c r="G13" s="157">
        <v>881476.77</v>
      </c>
    </row>
    <row r="14" spans="1:7">
      <c r="A14" s="88"/>
      <c r="C14" s="156"/>
      <c r="G14" s="158"/>
    </row>
    <row r="15" spans="1:7">
      <c r="A15" s="88">
        <f>A13+1</f>
        <v>2</v>
      </c>
      <c r="C15" s="155" t="s">
        <v>741</v>
      </c>
      <c r="G15" s="167"/>
    </row>
    <row r="16" spans="1:7" ht="15.5">
      <c r="A16" s="88"/>
      <c r="C16" s="159" t="s">
        <v>964</v>
      </c>
      <c r="G16" s="168">
        <v>238328.93</v>
      </c>
    </row>
    <row r="17" spans="1:7">
      <c r="A17" s="88"/>
      <c r="C17" s="155"/>
    </row>
    <row r="18" spans="1:7" ht="15.5">
      <c r="A18" s="88">
        <f>A15+1</f>
        <v>3</v>
      </c>
      <c r="C18" s="156" t="s">
        <v>965</v>
      </c>
      <c r="G18" s="169">
        <f>G13-G16</f>
        <v>643147.84000000008</v>
      </c>
    </row>
    <row r="19" spans="1:7">
      <c r="A19" s="88"/>
      <c r="C19" s="155"/>
      <c r="G19" s="165"/>
    </row>
    <row r="20" spans="1:7">
      <c r="A20" s="88">
        <f>A18+1</f>
        <v>4</v>
      </c>
      <c r="C20" s="155" t="s">
        <v>35</v>
      </c>
      <c r="G20" s="170">
        <v>1</v>
      </c>
    </row>
    <row r="21" spans="1:7">
      <c r="A21" s="88"/>
      <c r="C21" s="155"/>
      <c r="G21" s="165"/>
    </row>
    <row r="22" spans="1:7" ht="13.5" thickBot="1">
      <c r="A22" s="88">
        <f>A20+1</f>
        <v>5</v>
      </c>
      <c r="C22" s="156" t="s">
        <v>901</v>
      </c>
      <c r="G22" s="171">
        <f>ROUND(G18*G20,0)</f>
        <v>643148</v>
      </c>
    </row>
    <row r="23" spans="1:7" ht="13.5" thickTop="1"/>
    <row r="24" spans="1:7">
      <c r="B24" s="1"/>
      <c r="C24" s="1"/>
      <c r="D24" s="1"/>
    </row>
    <row r="25" spans="1:7" ht="15.5">
      <c r="B25" s="160"/>
      <c r="C25" s="89" t="s">
        <v>742</v>
      </c>
      <c r="D25" s="1"/>
    </row>
    <row r="26" spans="1:7">
      <c r="B26" s="1"/>
      <c r="C26" s="161"/>
      <c r="D26" s="1"/>
    </row>
    <row r="27" spans="1:7" ht="15.5">
      <c r="B27" s="160"/>
      <c r="C27" s="162"/>
      <c r="D27" s="1"/>
    </row>
    <row r="28" spans="1:7">
      <c r="B28" s="1"/>
      <c r="C28" s="1"/>
      <c r="D28" s="1"/>
    </row>
    <row r="29" spans="1:7">
      <c r="B29" s="1"/>
      <c r="C29" s="1"/>
      <c r="D29" s="1"/>
    </row>
  </sheetData>
  <mergeCells count="4">
    <mergeCell ref="C2:G2"/>
    <mergeCell ref="C3:G3"/>
    <mergeCell ref="C4:G4"/>
    <mergeCell ref="C5:G5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8C6B-E826-449D-85AC-F8082F3B172E}">
  <sheetPr>
    <pageSetUpPr fitToPage="1"/>
  </sheetPr>
  <dimension ref="A1:L28"/>
  <sheetViews>
    <sheetView zoomScaleNormal="100" workbookViewId="0">
      <pane xSplit="10" topLeftCell="K1" activePane="topRight" state="frozen"/>
      <selection sqref="A1:L1"/>
      <selection pane="topRight" activeCell="B27" sqref="B27"/>
    </sheetView>
  </sheetViews>
  <sheetFormatPr defaultColWidth="13.7265625" defaultRowHeight="13"/>
  <cols>
    <col min="1" max="1" width="8.453125" style="172" customWidth="1"/>
    <col min="2" max="2" width="72.453125" style="172" customWidth="1"/>
    <col min="3" max="3" width="1.26953125" style="172" customWidth="1"/>
    <col min="4" max="4" width="8.453125" style="172" customWidth="1"/>
    <col min="5" max="5" width="1.26953125" style="172" customWidth="1"/>
    <col min="6" max="6" width="15.7265625" style="172" customWidth="1"/>
    <col min="7" max="7" width="4.1796875" style="172" customWidth="1"/>
    <col min="8" max="8" width="16" style="172" customWidth="1"/>
    <col min="9" max="9" width="1.26953125" style="172" customWidth="1"/>
    <col min="10" max="10" width="7.26953125" style="172" customWidth="1"/>
    <col min="11" max="11" width="1.26953125" style="172" customWidth="1"/>
    <col min="12" max="12" width="15.7265625" style="172" customWidth="1"/>
    <col min="13" max="16384" width="13.7265625" style="172"/>
  </cols>
  <sheetData>
    <row r="1" spans="1:12" ht="16.75" customHeight="1">
      <c r="A1" s="844" t="s">
        <v>0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</row>
    <row r="2" spans="1:12" ht="16.75" customHeight="1">
      <c r="A2" s="844" t="s">
        <v>356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</row>
    <row r="3" spans="1:12" ht="16.75" customHeight="1">
      <c r="A3" s="844" t="s">
        <v>591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</row>
    <row r="4" spans="1:12" ht="16.75" customHeight="1">
      <c r="A4" s="844" t="s">
        <v>509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</row>
    <row r="5" spans="1:12" ht="60" customHeight="1">
      <c r="A5" s="173" t="s">
        <v>10</v>
      </c>
      <c r="B5" s="173" t="s">
        <v>11</v>
      </c>
      <c r="D5" s="173" t="s">
        <v>12</v>
      </c>
      <c r="F5" s="173" t="s">
        <v>13</v>
      </c>
      <c r="H5" s="173" t="s">
        <v>14</v>
      </c>
      <c r="J5" s="173" t="s">
        <v>15</v>
      </c>
      <c r="L5" s="173" t="s">
        <v>16</v>
      </c>
    </row>
    <row r="6" spans="1:12" ht="15" customHeight="1">
      <c r="L6" s="129"/>
    </row>
    <row r="7" spans="1:12" ht="16.75" customHeight="1" thickBot="1">
      <c r="A7" s="174">
        <v>1</v>
      </c>
      <c r="B7" s="175" t="s">
        <v>357</v>
      </c>
      <c r="D7" s="173" t="s">
        <v>17</v>
      </c>
      <c r="F7" s="176">
        <v>-5276.19</v>
      </c>
      <c r="H7" s="173" t="s">
        <v>237</v>
      </c>
      <c r="J7" s="177">
        <v>1</v>
      </c>
      <c r="L7" s="171">
        <f>F7*J7</f>
        <v>-5276.19</v>
      </c>
    </row>
    <row r="8" spans="1:12" ht="14.15" customHeight="1" thickTop="1">
      <c r="D8" s="178"/>
      <c r="J8" s="178"/>
      <c r="L8" s="129"/>
    </row>
    <row r="9" spans="1:12">
      <c r="A9" s="174">
        <f>A7+1</f>
        <v>2</v>
      </c>
      <c r="B9" s="175" t="s">
        <v>18</v>
      </c>
      <c r="D9" s="178"/>
      <c r="J9" s="178"/>
      <c r="L9" s="129"/>
    </row>
    <row r="10" spans="1:12">
      <c r="A10" s="174">
        <f t="shared" ref="A10" si="0">A9+1</f>
        <v>3</v>
      </c>
      <c r="B10" s="175" t="s">
        <v>19</v>
      </c>
      <c r="D10" s="174" t="s">
        <v>20</v>
      </c>
      <c r="F10" s="179">
        <v>-7671.09</v>
      </c>
      <c r="G10" s="195"/>
      <c r="H10" s="173" t="s">
        <v>22</v>
      </c>
      <c r="J10" s="177">
        <v>1</v>
      </c>
      <c r="L10" s="180">
        <f>F10*J10</f>
        <v>-7671.09</v>
      </c>
    </row>
    <row r="11" spans="1:12" ht="16.75" customHeight="1">
      <c r="A11" s="174"/>
      <c r="B11" s="175"/>
      <c r="D11" s="174"/>
      <c r="F11" s="181"/>
      <c r="H11" s="173"/>
      <c r="J11" s="177"/>
      <c r="L11" s="182"/>
    </row>
    <row r="12" spans="1:12" ht="16.75" customHeight="1">
      <c r="A12" s="174"/>
      <c r="B12" s="175"/>
      <c r="D12" s="174"/>
      <c r="F12" s="181"/>
      <c r="H12" s="173"/>
      <c r="J12" s="177"/>
      <c r="L12" s="182"/>
    </row>
    <row r="13" spans="1:12" ht="16.75" customHeight="1">
      <c r="A13" s="174"/>
      <c r="B13" s="175"/>
      <c r="D13" s="183"/>
      <c r="F13" s="181"/>
      <c r="H13" s="173"/>
      <c r="J13" s="173"/>
      <c r="L13" s="182"/>
    </row>
    <row r="14" spans="1:12" ht="16.75" customHeight="1">
      <c r="A14" s="174"/>
      <c r="B14" s="175"/>
      <c r="D14" s="183"/>
      <c r="F14" s="184"/>
      <c r="H14" s="173"/>
      <c r="J14" s="173"/>
      <c r="L14" s="185"/>
    </row>
    <row r="15" spans="1:12" ht="16.75" customHeight="1" thickBot="1">
      <c r="A15" s="174">
        <v>4</v>
      </c>
      <c r="B15" s="175" t="s">
        <v>27</v>
      </c>
      <c r="D15" s="178"/>
      <c r="F15" s="176">
        <f>SUM(F10:F14)</f>
        <v>-7671.09</v>
      </c>
      <c r="J15" s="178"/>
      <c r="L15" s="171">
        <f>SUM(L10:L14)</f>
        <v>-7671.09</v>
      </c>
    </row>
    <row r="16" spans="1:12" ht="14.15" customHeight="1" thickTop="1">
      <c r="D16" s="178"/>
      <c r="F16" s="186"/>
      <c r="J16" s="178"/>
      <c r="L16" s="187"/>
    </row>
    <row r="17" spans="1:12" ht="16.75" customHeight="1">
      <c r="A17" s="174">
        <f>A15+1</f>
        <v>5</v>
      </c>
      <c r="B17" s="175" t="s">
        <v>28</v>
      </c>
      <c r="D17" s="188">
        <v>512</v>
      </c>
      <c r="F17" s="189">
        <v>7671.09</v>
      </c>
      <c r="H17" s="173" t="s">
        <v>29</v>
      </c>
      <c r="J17" s="177">
        <f>L17/F17</f>
        <v>1</v>
      </c>
      <c r="L17" s="190">
        <f>-L15</f>
        <v>7671.09</v>
      </c>
    </row>
    <row r="18" spans="1:12" ht="14.15" customHeight="1">
      <c r="D18" s="178"/>
      <c r="F18" s="89"/>
      <c r="J18" s="178"/>
      <c r="L18" s="129"/>
    </row>
    <row r="19" spans="1:12" ht="16.75" customHeight="1">
      <c r="A19" s="174">
        <f>A17+1</f>
        <v>6</v>
      </c>
      <c r="B19" s="191" t="s">
        <v>30</v>
      </c>
      <c r="D19" s="192">
        <v>411.1</v>
      </c>
      <c r="F19" s="189">
        <v>0</v>
      </c>
      <c r="H19" s="173" t="s">
        <v>24</v>
      </c>
      <c r="J19" s="177">
        <v>0.98499999999999999</v>
      </c>
      <c r="L19" s="190">
        <f>F19*J19</f>
        <v>0</v>
      </c>
    </row>
    <row r="20" spans="1:12" ht="14.15" customHeight="1">
      <c r="D20" s="178"/>
      <c r="F20" s="89"/>
      <c r="J20" s="178"/>
      <c r="L20" s="129"/>
    </row>
    <row r="21" spans="1:12" ht="16.75" customHeight="1">
      <c r="A21" s="174">
        <f>A19+1</f>
        <v>7</v>
      </c>
      <c r="B21" s="191" t="s">
        <v>31</v>
      </c>
      <c r="D21" s="192">
        <v>411.1</v>
      </c>
      <c r="F21" s="189">
        <f>-F19</f>
        <v>0</v>
      </c>
      <c r="H21" s="173" t="s">
        <v>24</v>
      </c>
      <c r="J21" s="177">
        <v>0.98499999999999999</v>
      </c>
      <c r="L21" s="190">
        <f>F21*J21</f>
        <v>0</v>
      </c>
    </row>
    <row r="22" spans="1:12" ht="14.15" customHeight="1">
      <c r="D22" s="178"/>
      <c r="F22" s="89"/>
      <c r="J22" s="178"/>
      <c r="L22" s="129"/>
    </row>
    <row r="23" spans="1:12" ht="16.75" customHeight="1">
      <c r="A23" s="174">
        <f>A21+1</f>
        <v>8</v>
      </c>
      <c r="B23" s="191" t="s">
        <v>32</v>
      </c>
      <c r="D23" s="192">
        <v>407.3</v>
      </c>
      <c r="F23" s="189">
        <v>-209318.32</v>
      </c>
      <c r="H23" s="173" t="s">
        <v>237</v>
      </c>
      <c r="J23" s="177">
        <v>1</v>
      </c>
      <c r="L23" s="190">
        <f>F23*J23</f>
        <v>-209318.32</v>
      </c>
    </row>
    <row r="24" spans="1:12" ht="14.15" customHeight="1">
      <c r="L24" s="129"/>
    </row>
    <row r="25" spans="1:12" ht="14.15" customHeight="1">
      <c r="L25" s="129"/>
    </row>
    <row r="26" spans="1:12" ht="14.15" customHeight="1"/>
    <row r="27" spans="1:12" ht="16.75" customHeight="1">
      <c r="A27" s="193" t="s">
        <v>33</v>
      </c>
      <c r="B27" s="194" t="s">
        <v>590</v>
      </c>
    </row>
    <row r="28" spans="1:12" ht="16.75" customHeight="1"/>
  </sheetData>
  <mergeCells count="4">
    <mergeCell ref="A1:L1"/>
    <mergeCell ref="A2:L2"/>
    <mergeCell ref="A3:L3"/>
    <mergeCell ref="A4:L4"/>
  </mergeCells>
  <pageMargins left="0.75" right="0.75" top="1" bottom="1" header="0.5" footer="0.5"/>
  <pageSetup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9D18-21B7-4323-A38D-EE1BC802D1C6}">
  <sheetPr>
    <pageSetUpPr fitToPage="1"/>
  </sheetPr>
  <dimension ref="A1:K40"/>
  <sheetViews>
    <sheetView zoomScale="120" zoomScaleNormal="120" workbookViewId="0"/>
  </sheetViews>
  <sheetFormatPr defaultRowHeight="13"/>
  <cols>
    <col min="1" max="2" width="13.54296875" style="19" customWidth="1"/>
    <col min="3" max="3" width="61.453125" style="19" customWidth="1"/>
    <col min="4" max="4" width="3.81640625" style="19" customWidth="1"/>
    <col min="5" max="5" width="21.81640625" style="19" customWidth="1"/>
    <col min="6" max="6" width="6.7265625" style="19" customWidth="1"/>
    <col min="7" max="7" width="21.54296875" style="19" customWidth="1"/>
    <col min="8" max="8" width="7" style="19" customWidth="1"/>
    <col min="9" max="9" width="8.7265625" style="19"/>
    <col min="10" max="10" width="28.54296875" style="19" customWidth="1"/>
    <col min="11" max="258" width="8.7265625" style="19"/>
    <col min="259" max="259" width="50.81640625" style="19" bestFit="1" customWidth="1"/>
    <col min="260" max="260" width="3.81640625" style="19" customWidth="1"/>
    <col min="261" max="261" width="13.7265625" style="19" bestFit="1" customWidth="1"/>
    <col min="262" max="514" width="8.7265625" style="19"/>
    <col min="515" max="515" width="50.81640625" style="19" bestFit="1" customWidth="1"/>
    <col min="516" max="516" width="3.81640625" style="19" customWidth="1"/>
    <col min="517" max="517" width="13.7265625" style="19" bestFit="1" customWidth="1"/>
    <col min="518" max="770" width="8.7265625" style="19"/>
    <col min="771" max="771" width="50.81640625" style="19" bestFit="1" customWidth="1"/>
    <col min="772" max="772" width="3.81640625" style="19" customWidth="1"/>
    <col min="773" max="773" width="13.7265625" style="19" bestFit="1" customWidth="1"/>
    <col min="774" max="1026" width="8.7265625" style="19"/>
    <col min="1027" max="1027" width="50.81640625" style="19" bestFit="1" customWidth="1"/>
    <col min="1028" max="1028" width="3.81640625" style="19" customWidth="1"/>
    <col min="1029" max="1029" width="13.7265625" style="19" bestFit="1" customWidth="1"/>
    <col min="1030" max="1282" width="8.7265625" style="19"/>
    <col min="1283" max="1283" width="50.81640625" style="19" bestFit="1" customWidth="1"/>
    <col min="1284" max="1284" width="3.81640625" style="19" customWidth="1"/>
    <col min="1285" max="1285" width="13.7265625" style="19" bestFit="1" customWidth="1"/>
    <col min="1286" max="1538" width="8.7265625" style="19"/>
    <col min="1539" max="1539" width="50.81640625" style="19" bestFit="1" customWidth="1"/>
    <col min="1540" max="1540" width="3.81640625" style="19" customWidth="1"/>
    <col min="1541" max="1541" width="13.7265625" style="19" bestFit="1" customWidth="1"/>
    <col min="1542" max="1794" width="8.7265625" style="19"/>
    <col min="1795" max="1795" width="50.81640625" style="19" bestFit="1" customWidth="1"/>
    <col min="1796" max="1796" width="3.81640625" style="19" customWidth="1"/>
    <col min="1797" max="1797" width="13.7265625" style="19" bestFit="1" customWidth="1"/>
    <col min="1798" max="2050" width="8.7265625" style="19"/>
    <col min="2051" max="2051" width="50.81640625" style="19" bestFit="1" customWidth="1"/>
    <col min="2052" max="2052" width="3.81640625" style="19" customWidth="1"/>
    <col min="2053" max="2053" width="13.7265625" style="19" bestFit="1" customWidth="1"/>
    <col min="2054" max="2306" width="8.7265625" style="19"/>
    <col min="2307" max="2307" width="50.81640625" style="19" bestFit="1" customWidth="1"/>
    <col min="2308" max="2308" width="3.81640625" style="19" customWidth="1"/>
    <col min="2309" max="2309" width="13.7265625" style="19" bestFit="1" customWidth="1"/>
    <col min="2310" max="2562" width="8.7265625" style="19"/>
    <col min="2563" max="2563" width="50.81640625" style="19" bestFit="1" customWidth="1"/>
    <col min="2564" max="2564" width="3.81640625" style="19" customWidth="1"/>
    <col min="2565" max="2565" width="13.7265625" style="19" bestFit="1" customWidth="1"/>
    <col min="2566" max="2818" width="8.7265625" style="19"/>
    <col min="2819" max="2819" width="50.81640625" style="19" bestFit="1" customWidth="1"/>
    <col min="2820" max="2820" width="3.81640625" style="19" customWidth="1"/>
    <col min="2821" max="2821" width="13.7265625" style="19" bestFit="1" customWidth="1"/>
    <col min="2822" max="3074" width="8.7265625" style="19"/>
    <col min="3075" max="3075" width="50.81640625" style="19" bestFit="1" customWidth="1"/>
    <col min="3076" max="3076" width="3.81640625" style="19" customWidth="1"/>
    <col min="3077" max="3077" width="13.7265625" style="19" bestFit="1" customWidth="1"/>
    <col min="3078" max="3330" width="8.7265625" style="19"/>
    <col min="3331" max="3331" width="50.81640625" style="19" bestFit="1" customWidth="1"/>
    <col min="3332" max="3332" width="3.81640625" style="19" customWidth="1"/>
    <col min="3333" max="3333" width="13.7265625" style="19" bestFit="1" customWidth="1"/>
    <col min="3334" max="3586" width="8.7265625" style="19"/>
    <col min="3587" max="3587" width="50.81640625" style="19" bestFit="1" customWidth="1"/>
    <col min="3588" max="3588" width="3.81640625" style="19" customWidth="1"/>
    <col min="3589" max="3589" width="13.7265625" style="19" bestFit="1" customWidth="1"/>
    <col min="3590" max="3842" width="8.7265625" style="19"/>
    <col min="3843" max="3843" width="50.81640625" style="19" bestFit="1" customWidth="1"/>
    <col min="3844" max="3844" width="3.81640625" style="19" customWidth="1"/>
    <col min="3845" max="3845" width="13.7265625" style="19" bestFit="1" customWidth="1"/>
    <col min="3846" max="4098" width="8.7265625" style="19"/>
    <col min="4099" max="4099" width="50.81640625" style="19" bestFit="1" customWidth="1"/>
    <col min="4100" max="4100" width="3.81640625" style="19" customWidth="1"/>
    <col min="4101" max="4101" width="13.7265625" style="19" bestFit="1" customWidth="1"/>
    <col min="4102" max="4354" width="8.7265625" style="19"/>
    <col min="4355" max="4355" width="50.81640625" style="19" bestFit="1" customWidth="1"/>
    <col min="4356" max="4356" width="3.81640625" style="19" customWidth="1"/>
    <col min="4357" max="4357" width="13.7265625" style="19" bestFit="1" customWidth="1"/>
    <col min="4358" max="4610" width="8.7265625" style="19"/>
    <col min="4611" max="4611" width="50.81640625" style="19" bestFit="1" customWidth="1"/>
    <col min="4612" max="4612" width="3.81640625" style="19" customWidth="1"/>
    <col min="4613" max="4613" width="13.7265625" style="19" bestFit="1" customWidth="1"/>
    <col min="4614" max="4866" width="8.7265625" style="19"/>
    <col min="4867" max="4867" width="50.81640625" style="19" bestFit="1" customWidth="1"/>
    <col min="4868" max="4868" width="3.81640625" style="19" customWidth="1"/>
    <col min="4869" max="4869" width="13.7265625" style="19" bestFit="1" customWidth="1"/>
    <col min="4870" max="5122" width="8.7265625" style="19"/>
    <col min="5123" max="5123" width="50.81640625" style="19" bestFit="1" customWidth="1"/>
    <col min="5124" max="5124" width="3.81640625" style="19" customWidth="1"/>
    <col min="5125" max="5125" width="13.7265625" style="19" bestFit="1" customWidth="1"/>
    <col min="5126" max="5378" width="8.7265625" style="19"/>
    <col min="5379" max="5379" width="50.81640625" style="19" bestFit="1" customWidth="1"/>
    <col min="5380" max="5380" width="3.81640625" style="19" customWidth="1"/>
    <col min="5381" max="5381" width="13.7265625" style="19" bestFit="1" customWidth="1"/>
    <col min="5382" max="5634" width="8.7265625" style="19"/>
    <col min="5635" max="5635" width="50.81640625" style="19" bestFit="1" customWidth="1"/>
    <col min="5636" max="5636" width="3.81640625" style="19" customWidth="1"/>
    <col min="5637" max="5637" width="13.7265625" style="19" bestFit="1" customWidth="1"/>
    <col min="5638" max="5890" width="8.7265625" style="19"/>
    <col min="5891" max="5891" width="50.81640625" style="19" bestFit="1" customWidth="1"/>
    <col min="5892" max="5892" width="3.81640625" style="19" customWidth="1"/>
    <col min="5893" max="5893" width="13.7265625" style="19" bestFit="1" customWidth="1"/>
    <col min="5894" max="6146" width="8.7265625" style="19"/>
    <col min="6147" max="6147" width="50.81640625" style="19" bestFit="1" customWidth="1"/>
    <col min="6148" max="6148" width="3.81640625" style="19" customWidth="1"/>
    <col min="6149" max="6149" width="13.7265625" style="19" bestFit="1" customWidth="1"/>
    <col min="6150" max="6402" width="8.7265625" style="19"/>
    <col min="6403" max="6403" width="50.81640625" style="19" bestFit="1" customWidth="1"/>
    <col min="6404" max="6404" width="3.81640625" style="19" customWidth="1"/>
    <col min="6405" max="6405" width="13.7265625" style="19" bestFit="1" customWidth="1"/>
    <col min="6406" max="6658" width="8.7265625" style="19"/>
    <col min="6659" max="6659" width="50.81640625" style="19" bestFit="1" customWidth="1"/>
    <col min="6660" max="6660" width="3.81640625" style="19" customWidth="1"/>
    <col min="6661" max="6661" width="13.7265625" style="19" bestFit="1" customWidth="1"/>
    <col min="6662" max="6914" width="8.7265625" style="19"/>
    <col min="6915" max="6915" width="50.81640625" style="19" bestFit="1" customWidth="1"/>
    <col min="6916" max="6916" width="3.81640625" style="19" customWidth="1"/>
    <col min="6917" max="6917" width="13.7265625" style="19" bestFit="1" customWidth="1"/>
    <col min="6918" max="7170" width="8.7265625" style="19"/>
    <col min="7171" max="7171" width="50.81640625" style="19" bestFit="1" customWidth="1"/>
    <col min="7172" max="7172" width="3.81640625" style="19" customWidth="1"/>
    <col min="7173" max="7173" width="13.7265625" style="19" bestFit="1" customWidth="1"/>
    <col min="7174" max="7426" width="8.7265625" style="19"/>
    <col min="7427" max="7427" width="50.81640625" style="19" bestFit="1" customWidth="1"/>
    <col min="7428" max="7428" width="3.81640625" style="19" customWidth="1"/>
    <col min="7429" max="7429" width="13.7265625" style="19" bestFit="1" customWidth="1"/>
    <col min="7430" max="7682" width="8.7265625" style="19"/>
    <col min="7683" max="7683" width="50.81640625" style="19" bestFit="1" customWidth="1"/>
    <col min="7684" max="7684" width="3.81640625" style="19" customWidth="1"/>
    <col min="7685" max="7685" width="13.7265625" style="19" bestFit="1" customWidth="1"/>
    <col min="7686" max="7938" width="8.7265625" style="19"/>
    <col min="7939" max="7939" width="50.81640625" style="19" bestFit="1" customWidth="1"/>
    <col min="7940" max="7940" width="3.81640625" style="19" customWidth="1"/>
    <col min="7941" max="7941" width="13.7265625" style="19" bestFit="1" customWidth="1"/>
    <col min="7942" max="8194" width="8.7265625" style="19"/>
    <col min="8195" max="8195" width="50.81640625" style="19" bestFit="1" customWidth="1"/>
    <col min="8196" max="8196" width="3.81640625" style="19" customWidth="1"/>
    <col min="8197" max="8197" width="13.7265625" style="19" bestFit="1" customWidth="1"/>
    <col min="8198" max="8450" width="8.7265625" style="19"/>
    <col min="8451" max="8451" width="50.81640625" style="19" bestFit="1" customWidth="1"/>
    <col min="8452" max="8452" width="3.81640625" style="19" customWidth="1"/>
    <col min="8453" max="8453" width="13.7265625" style="19" bestFit="1" customWidth="1"/>
    <col min="8454" max="8706" width="8.7265625" style="19"/>
    <col min="8707" max="8707" width="50.81640625" style="19" bestFit="1" customWidth="1"/>
    <col min="8708" max="8708" width="3.81640625" style="19" customWidth="1"/>
    <col min="8709" max="8709" width="13.7265625" style="19" bestFit="1" customWidth="1"/>
    <col min="8710" max="8962" width="8.7265625" style="19"/>
    <col min="8963" max="8963" width="50.81640625" style="19" bestFit="1" customWidth="1"/>
    <col min="8964" max="8964" width="3.81640625" style="19" customWidth="1"/>
    <col min="8965" max="8965" width="13.7265625" style="19" bestFit="1" customWidth="1"/>
    <col min="8966" max="9218" width="8.7265625" style="19"/>
    <col min="9219" max="9219" width="50.81640625" style="19" bestFit="1" customWidth="1"/>
    <col min="9220" max="9220" width="3.81640625" style="19" customWidth="1"/>
    <col min="9221" max="9221" width="13.7265625" style="19" bestFit="1" customWidth="1"/>
    <col min="9222" max="9474" width="8.7265625" style="19"/>
    <col min="9475" max="9475" width="50.81640625" style="19" bestFit="1" customWidth="1"/>
    <col min="9476" max="9476" width="3.81640625" style="19" customWidth="1"/>
    <col min="9477" max="9477" width="13.7265625" style="19" bestFit="1" customWidth="1"/>
    <col min="9478" max="9730" width="8.7265625" style="19"/>
    <col min="9731" max="9731" width="50.81640625" style="19" bestFit="1" customWidth="1"/>
    <col min="9732" max="9732" width="3.81640625" style="19" customWidth="1"/>
    <col min="9733" max="9733" width="13.7265625" style="19" bestFit="1" customWidth="1"/>
    <col min="9734" max="9986" width="8.7265625" style="19"/>
    <col min="9987" max="9987" width="50.81640625" style="19" bestFit="1" customWidth="1"/>
    <col min="9988" max="9988" width="3.81640625" style="19" customWidth="1"/>
    <col min="9989" max="9989" width="13.7265625" style="19" bestFit="1" customWidth="1"/>
    <col min="9990" max="10242" width="8.7265625" style="19"/>
    <col min="10243" max="10243" width="50.81640625" style="19" bestFit="1" customWidth="1"/>
    <col min="10244" max="10244" width="3.81640625" style="19" customWidth="1"/>
    <col min="10245" max="10245" width="13.7265625" style="19" bestFit="1" customWidth="1"/>
    <col min="10246" max="10498" width="8.7265625" style="19"/>
    <col min="10499" max="10499" width="50.81640625" style="19" bestFit="1" customWidth="1"/>
    <col min="10500" max="10500" width="3.81640625" style="19" customWidth="1"/>
    <col min="10501" max="10501" width="13.7265625" style="19" bestFit="1" customWidth="1"/>
    <col min="10502" max="10754" width="8.7265625" style="19"/>
    <col min="10755" max="10755" width="50.81640625" style="19" bestFit="1" customWidth="1"/>
    <col min="10756" max="10756" width="3.81640625" style="19" customWidth="1"/>
    <col min="10757" max="10757" width="13.7265625" style="19" bestFit="1" customWidth="1"/>
    <col min="10758" max="11010" width="8.7265625" style="19"/>
    <col min="11011" max="11011" width="50.81640625" style="19" bestFit="1" customWidth="1"/>
    <col min="11012" max="11012" width="3.81640625" style="19" customWidth="1"/>
    <col min="11013" max="11013" width="13.7265625" style="19" bestFit="1" customWidth="1"/>
    <col min="11014" max="11266" width="8.7265625" style="19"/>
    <col min="11267" max="11267" width="50.81640625" style="19" bestFit="1" customWidth="1"/>
    <col min="11268" max="11268" width="3.81640625" style="19" customWidth="1"/>
    <col min="11269" max="11269" width="13.7265625" style="19" bestFit="1" customWidth="1"/>
    <col min="11270" max="11522" width="8.7265625" style="19"/>
    <col min="11523" max="11523" width="50.81640625" style="19" bestFit="1" customWidth="1"/>
    <col min="11524" max="11524" width="3.81640625" style="19" customWidth="1"/>
    <col min="11525" max="11525" width="13.7265625" style="19" bestFit="1" customWidth="1"/>
    <col min="11526" max="11778" width="8.7265625" style="19"/>
    <col min="11779" max="11779" width="50.81640625" style="19" bestFit="1" customWidth="1"/>
    <col min="11780" max="11780" width="3.81640625" style="19" customWidth="1"/>
    <col min="11781" max="11781" width="13.7265625" style="19" bestFit="1" customWidth="1"/>
    <col min="11782" max="12034" width="8.7265625" style="19"/>
    <col min="12035" max="12035" width="50.81640625" style="19" bestFit="1" customWidth="1"/>
    <col min="12036" max="12036" width="3.81640625" style="19" customWidth="1"/>
    <col min="12037" max="12037" width="13.7265625" style="19" bestFit="1" customWidth="1"/>
    <col min="12038" max="12290" width="8.7265625" style="19"/>
    <col min="12291" max="12291" width="50.81640625" style="19" bestFit="1" customWidth="1"/>
    <col min="12292" max="12292" width="3.81640625" style="19" customWidth="1"/>
    <col min="12293" max="12293" width="13.7265625" style="19" bestFit="1" customWidth="1"/>
    <col min="12294" max="12546" width="8.7265625" style="19"/>
    <col min="12547" max="12547" width="50.81640625" style="19" bestFit="1" customWidth="1"/>
    <col min="12548" max="12548" width="3.81640625" style="19" customWidth="1"/>
    <col min="12549" max="12549" width="13.7265625" style="19" bestFit="1" customWidth="1"/>
    <col min="12550" max="12802" width="8.7265625" style="19"/>
    <col min="12803" max="12803" width="50.81640625" style="19" bestFit="1" customWidth="1"/>
    <col min="12804" max="12804" width="3.81640625" style="19" customWidth="1"/>
    <col min="12805" max="12805" width="13.7265625" style="19" bestFit="1" customWidth="1"/>
    <col min="12806" max="13058" width="8.7265625" style="19"/>
    <col min="13059" max="13059" width="50.81640625" style="19" bestFit="1" customWidth="1"/>
    <col min="13060" max="13060" width="3.81640625" style="19" customWidth="1"/>
    <col min="13061" max="13061" width="13.7265625" style="19" bestFit="1" customWidth="1"/>
    <col min="13062" max="13314" width="8.7265625" style="19"/>
    <col min="13315" max="13315" width="50.81640625" style="19" bestFit="1" customWidth="1"/>
    <col min="13316" max="13316" width="3.81640625" style="19" customWidth="1"/>
    <col min="13317" max="13317" width="13.7265625" style="19" bestFit="1" customWidth="1"/>
    <col min="13318" max="13570" width="8.7265625" style="19"/>
    <col min="13571" max="13571" width="50.81640625" style="19" bestFit="1" customWidth="1"/>
    <col min="13572" max="13572" width="3.81640625" style="19" customWidth="1"/>
    <col min="13573" max="13573" width="13.7265625" style="19" bestFit="1" customWidth="1"/>
    <col min="13574" max="13826" width="8.7265625" style="19"/>
    <col min="13827" max="13827" width="50.81640625" style="19" bestFit="1" customWidth="1"/>
    <col min="13828" max="13828" width="3.81640625" style="19" customWidth="1"/>
    <col min="13829" max="13829" width="13.7265625" style="19" bestFit="1" customWidth="1"/>
    <col min="13830" max="14082" width="8.7265625" style="19"/>
    <col min="14083" max="14083" width="50.81640625" style="19" bestFit="1" customWidth="1"/>
    <col min="14084" max="14084" width="3.81640625" style="19" customWidth="1"/>
    <col min="14085" max="14085" width="13.7265625" style="19" bestFit="1" customWidth="1"/>
    <col min="14086" max="14338" width="8.7265625" style="19"/>
    <col min="14339" max="14339" width="50.81640625" style="19" bestFit="1" customWidth="1"/>
    <col min="14340" max="14340" width="3.81640625" style="19" customWidth="1"/>
    <col min="14341" max="14341" width="13.7265625" style="19" bestFit="1" customWidth="1"/>
    <col min="14342" max="14594" width="8.7265625" style="19"/>
    <col min="14595" max="14595" width="50.81640625" style="19" bestFit="1" customWidth="1"/>
    <col min="14596" max="14596" width="3.81640625" style="19" customWidth="1"/>
    <col min="14597" max="14597" width="13.7265625" style="19" bestFit="1" customWidth="1"/>
    <col min="14598" max="14850" width="8.7265625" style="19"/>
    <col min="14851" max="14851" width="50.81640625" style="19" bestFit="1" customWidth="1"/>
    <col min="14852" max="14852" width="3.81640625" style="19" customWidth="1"/>
    <col min="14853" max="14853" width="13.7265625" style="19" bestFit="1" customWidth="1"/>
    <col min="14854" max="15106" width="8.7265625" style="19"/>
    <col min="15107" max="15107" width="50.81640625" style="19" bestFit="1" customWidth="1"/>
    <col min="15108" max="15108" width="3.81640625" style="19" customWidth="1"/>
    <col min="15109" max="15109" width="13.7265625" style="19" bestFit="1" customWidth="1"/>
    <col min="15110" max="15362" width="8.7265625" style="19"/>
    <col min="15363" max="15363" width="50.81640625" style="19" bestFit="1" customWidth="1"/>
    <col min="15364" max="15364" width="3.81640625" style="19" customWidth="1"/>
    <col min="15365" max="15365" width="13.7265625" style="19" bestFit="1" customWidth="1"/>
    <col min="15366" max="15618" width="8.7265625" style="19"/>
    <col min="15619" max="15619" width="50.81640625" style="19" bestFit="1" customWidth="1"/>
    <col min="15620" max="15620" width="3.81640625" style="19" customWidth="1"/>
    <col min="15621" max="15621" width="13.7265625" style="19" bestFit="1" customWidth="1"/>
    <col min="15622" max="15874" width="8.7265625" style="19"/>
    <col min="15875" max="15875" width="50.81640625" style="19" bestFit="1" customWidth="1"/>
    <col min="15876" max="15876" width="3.81640625" style="19" customWidth="1"/>
    <col min="15877" max="15877" width="13.7265625" style="19" bestFit="1" customWidth="1"/>
    <col min="15878" max="16130" width="8.7265625" style="19"/>
    <col min="16131" max="16131" width="50.81640625" style="19" bestFit="1" customWidth="1"/>
    <col min="16132" max="16132" width="3.81640625" style="19" customWidth="1"/>
    <col min="16133" max="16133" width="13.7265625" style="19" bestFit="1" customWidth="1"/>
    <col min="16134" max="16384" width="8.7265625" style="19"/>
  </cols>
  <sheetData>
    <row r="1" spans="1:11">
      <c r="A1" s="74"/>
      <c r="B1" s="74"/>
      <c r="C1" s="75" t="s">
        <v>0</v>
      </c>
      <c r="D1" s="76"/>
      <c r="E1" s="20"/>
    </row>
    <row r="2" spans="1:11">
      <c r="A2" s="74"/>
      <c r="B2" s="74"/>
      <c r="C2" s="75" t="s">
        <v>441</v>
      </c>
      <c r="D2" s="76"/>
      <c r="E2" s="21"/>
    </row>
    <row r="3" spans="1:11">
      <c r="A3" s="74"/>
      <c r="B3" s="74"/>
      <c r="C3" s="77" t="s">
        <v>644</v>
      </c>
      <c r="D3" s="76"/>
      <c r="E3" s="20"/>
    </row>
    <row r="4" spans="1:11">
      <c r="A4" s="74"/>
      <c r="B4" s="74"/>
      <c r="C4" s="75" t="s">
        <v>902</v>
      </c>
      <c r="D4" s="76"/>
      <c r="E4" s="21" t="s">
        <v>51</v>
      </c>
    </row>
    <row r="6" spans="1:11" s="25" customFormat="1">
      <c r="A6" s="75" t="s">
        <v>10</v>
      </c>
      <c r="B6" s="78"/>
      <c r="C6" s="75" t="s">
        <v>117</v>
      </c>
      <c r="D6" s="78"/>
      <c r="E6" s="75" t="s">
        <v>118</v>
      </c>
      <c r="K6" s="19"/>
    </row>
    <row r="7" spans="1:11" s="25" customFormat="1">
      <c r="A7" s="79">
        <v>-1</v>
      </c>
      <c r="B7" s="79"/>
      <c r="C7" s="79">
        <v>-2</v>
      </c>
      <c r="D7" s="79"/>
      <c r="E7" s="79">
        <v>-3</v>
      </c>
      <c r="K7" s="19"/>
    </row>
    <row r="8" spans="1:11">
      <c r="G8" s="30"/>
    </row>
    <row r="9" spans="1:11">
      <c r="A9" s="196">
        <v>1</v>
      </c>
      <c r="B9" s="196"/>
      <c r="C9" s="197" t="s">
        <v>255</v>
      </c>
      <c r="D9" s="74"/>
      <c r="E9" s="30">
        <v>25009342.010000002</v>
      </c>
      <c r="H9" s="19" t="s">
        <v>51</v>
      </c>
    </row>
    <row r="10" spans="1:11">
      <c r="A10" s="198">
        <f>A9+1</f>
        <v>2</v>
      </c>
      <c r="B10" s="198" t="s">
        <v>256</v>
      </c>
      <c r="C10" s="199" t="s">
        <v>442</v>
      </c>
      <c r="D10" s="74"/>
      <c r="E10" s="30">
        <v>31124471.986020446</v>
      </c>
    </row>
    <row r="11" spans="1:11">
      <c r="A11" s="198">
        <f t="shared" ref="A11" si="0">A10+1</f>
        <v>3</v>
      </c>
      <c r="B11" s="27"/>
      <c r="C11" s="199" t="s">
        <v>443</v>
      </c>
      <c r="D11" s="74"/>
      <c r="E11" s="30">
        <v>36430400.59832193</v>
      </c>
    </row>
    <row r="12" spans="1:11" ht="13.5" thickBot="1">
      <c r="A12" s="198">
        <v>4</v>
      </c>
      <c r="B12" s="198"/>
      <c r="C12" s="199" t="s">
        <v>257</v>
      </c>
      <c r="D12" s="74"/>
      <c r="E12" s="200">
        <f>E9+E10-E11</f>
        <v>19703413.397698522</v>
      </c>
      <c r="F12" s="19" t="s">
        <v>258</v>
      </c>
    </row>
    <row r="13" spans="1:11" ht="13.5" thickTop="1">
      <c r="A13" s="27"/>
      <c r="B13" s="27" t="s">
        <v>259</v>
      </c>
      <c r="E13" s="30"/>
    </row>
    <row r="14" spans="1:11">
      <c r="A14" s="27">
        <v>5</v>
      </c>
      <c r="B14" s="201">
        <v>4030029</v>
      </c>
      <c r="C14" s="202" t="s">
        <v>261</v>
      </c>
      <c r="E14" s="203">
        <v>-2010677.27</v>
      </c>
    </row>
    <row r="15" spans="1:11">
      <c r="A15" s="27"/>
    </row>
    <row r="16" spans="1:11">
      <c r="A16" s="27"/>
      <c r="E16" s="204">
        <f>-E14</f>
        <v>2010677.27</v>
      </c>
    </row>
    <row r="18" spans="1:7">
      <c r="A18" s="27"/>
      <c r="E18" s="19">
        <v>0.98499999999999999</v>
      </c>
      <c r="F18" s="19" t="s">
        <v>24</v>
      </c>
    </row>
    <row r="20" spans="1:7" ht="15" customHeight="1" thickBot="1">
      <c r="E20" s="200">
        <f>E16*E18</f>
        <v>1980517.1109499999</v>
      </c>
      <c r="F20" s="846" t="s">
        <v>260</v>
      </c>
      <c r="G20" s="846"/>
    </row>
    <row r="21" spans="1:7" ht="13.5" thickTop="1"/>
    <row r="22" spans="1:7">
      <c r="E22" s="204">
        <f>E12+E20</f>
        <v>21683930.508648522</v>
      </c>
      <c r="F22" s="19" t="s">
        <v>884</v>
      </c>
    </row>
    <row r="23" spans="1:7">
      <c r="B23" s="205" t="s">
        <v>642</v>
      </c>
    </row>
    <row r="40" spans="2:3">
      <c r="B40" s="1"/>
      <c r="C40" s="1"/>
    </row>
  </sheetData>
  <mergeCells count="1">
    <mergeCell ref="F20:G20"/>
  </mergeCells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+Q09SUFxzMjAzNzA3PC9Vc2VyTmFtZT48RGF0ZVRpbWU+NC8yNi8yMDIzIDEyOjUxOjUzIFBNPC9EYXRlVGltZT48TGFiZWxTdHJpbmc+VW5jYXRlZ29yaXplZ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M4Mzc4MTwvVXNlck5hbWU+PERhdGVUaW1lPjgvMjYvMjAyNSA2OjMyOjUyIFBNPC9EYXRlVGltZT48TGFiZWxTdHJpbmc+QUVQIEludGVybmFsPC9MYWJlbFN0cmluZz48L2l0ZW0+PC9sYWJlbEhpc3Rvcnk+</Value>
</WrappedLabelHistor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1AF17F7C-7A60-40ED-B4FB-A63DC0901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E4C286-55EA-4D33-8D8E-CA28BC80A541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b6888f76-1100-40b0-929b-1efe9044426d"/>
    <ds:schemaRef ds:uri="http://schemas.microsoft.com/office/2006/documentManagement/types"/>
    <ds:schemaRef ds:uri="http://schemas.openxmlformats.org/package/2006/metadata/core-properties"/>
    <ds:schemaRef ds:uri="f88ffb1c-9230-4705-a789-27bae69f5829"/>
  </ds:schemaRefs>
</ds:datastoreItem>
</file>

<file path=customXml/itemProps3.xml><?xml version="1.0" encoding="utf-8"?>
<ds:datastoreItem xmlns:ds="http://schemas.openxmlformats.org/officeDocument/2006/customXml" ds:itemID="{908BF554-98C5-4CD5-B875-EAFA27FD9F31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FC9E2931-8DDE-474D-BE2C-56007E2C095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E657DD0-3467-4D77-87AD-6E7E39DEB3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10</vt:i4>
      </vt:variant>
    </vt:vector>
  </HeadingPairs>
  <TitlesOfParts>
    <vt:vector size="73" baseType="lpstr">
      <vt:lpstr>Index 2025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  <vt:lpstr>W19</vt:lpstr>
      <vt:lpstr>W20</vt:lpstr>
      <vt:lpstr>W21</vt:lpstr>
      <vt:lpstr>W22</vt:lpstr>
      <vt:lpstr>W23</vt:lpstr>
      <vt:lpstr>W24</vt:lpstr>
      <vt:lpstr>W25</vt:lpstr>
      <vt:lpstr>W26</vt:lpstr>
      <vt:lpstr>W27</vt:lpstr>
      <vt:lpstr>W28</vt:lpstr>
      <vt:lpstr>W29</vt:lpstr>
      <vt:lpstr>W30</vt:lpstr>
      <vt:lpstr>W31</vt:lpstr>
      <vt:lpstr>W32</vt:lpstr>
      <vt:lpstr>W33</vt:lpstr>
      <vt:lpstr>W34</vt:lpstr>
      <vt:lpstr>W35</vt:lpstr>
      <vt:lpstr>Payroll Adjustment W30-W35</vt:lpstr>
      <vt:lpstr>W36</vt:lpstr>
      <vt:lpstr>W37</vt:lpstr>
      <vt:lpstr>W38</vt:lpstr>
      <vt:lpstr>W39</vt:lpstr>
      <vt:lpstr>W40</vt:lpstr>
      <vt:lpstr>W41</vt:lpstr>
      <vt:lpstr>W42</vt:lpstr>
      <vt:lpstr>W43</vt:lpstr>
      <vt:lpstr>W44</vt:lpstr>
      <vt:lpstr>W45</vt:lpstr>
      <vt:lpstr>W46</vt:lpstr>
      <vt:lpstr>W47</vt:lpstr>
      <vt:lpstr>W48</vt:lpstr>
      <vt:lpstr>W49</vt:lpstr>
      <vt:lpstr>W50</vt:lpstr>
      <vt:lpstr>W50 RB &amp; Capitalization</vt:lpstr>
      <vt:lpstr>W51-A &amp; W51-B</vt:lpstr>
      <vt:lpstr>W52</vt:lpstr>
      <vt:lpstr>W53</vt:lpstr>
      <vt:lpstr>W54</vt:lpstr>
      <vt:lpstr>W55</vt:lpstr>
      <vt:lpstr>W56</vt:lpstr>
      <vt:lpstr>W57</vt:lpstr>
      <vt:lpstr>W58 Rate Base</vt:lpstr>
      <vt:lpstr>W58 Capitalization</vt:lpstr>
      <vt:lpstr>W59</vt:lpstr>
      <vt:lpstr>'Index 2025'!Print_Area</vt:lpstr>
      <vt:lpstr>'W01'!Print_Area</vt:lpstr>
      <vt:lpstr>'W02'!Print_Area</vt:lpstr>
      <vt:lpstr>'W03'!Print_Area</vt:lpstr>
      <vt:lpstr>'W04'!Print_Area</vt:lpstr>
      <vt:lpstr>'W09'!Print_Area</vt:lpstr>
      <vt:lpstr>'W19'!Print_Area</vt:lpstr>
      <vt:lpstr>'W40'!Print_Area</vt:lpstr>
      <vt:lpstr>'W43'!Print_Area</vt:lpstr>
      <vt:lpstr>'W44'!Print_Area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s262368</dc:creator>
  <cp:keywords/>
  <cp:lastModifiedBy>Michelle Caldwell</cp:lastModifiedBy>
  <cp:lastPrinted>2025-08-27T15:07:21Z</cp:lastPrinted>
  <dcterms:created xsi:type="dcterms:W3CDTF">2020-06-12T17:19:01Z</dcterms:created>
  <dcterms:modified xsi:type="dcterms:W3CDTF">2025-09-11T19:55:34Z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822a217c-0e35-4e5f-9424-a62e73c97edb</vt:lpwstr>
  </property>
  <property fmtid="{D5CDD505-2E9C-101B-9397-08002B2CF9AE}" pid="3" name="bjSaver">
    <vt:lpwstr>xZzrf02Aubzx74tgVp24Vul5jA7mQze+</vt:lpwstr>
  </property>
  <property fmtid="{D5CDD505-2E9C-101B-9397-08002B2CF9AE}" pid="4" name="bjClsUserRVM">
    <vt:lpwstr>[]</vt:lpwstr>
  </property>
  <property fmtid="{D5CDD505-2E9C-101B-9397-08002B2CF9AE}" pid="5" name="ContentTypeId">
    <vt:lpwstr>0x0101004DF805D1E1DA4A49A223477D3B105720</vt:lpwstr>
  </property>
  <property fmtid="{D5CDD505-2E9C-101B-9397-08002B2CF9AE}" pid="6" name="MediaServiceImageTags">
    <vt:lpwstr/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8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9" name="bjDocumentSecurityLabel">
    <vt:lpwstr>AEP Internal</vt:lpwstr>
  </property>
  <property fmtid="{D5CDD505-2E9C-101B-9397-08002B2CF9AE}" pid="10" name="MSIP_Label_69f43042-6bda-44b2-91eb-eca3d3d484f4_SiteId">
    <vt:lpwstr>15f3c881-6b03-4ff6-8559-77bf5177818f</vt:lpwstr>
  </property>
  <property fmtid="{D5CDD505-2E9C-101B-9397-08002B2CF9AE}" pid="11" name="MSIP_Label_69f43042-6bda-44b2-91eb-eca3d3d484f4_Name">
    <vt:lpwstr>AEP Internal</vt:lpwstr>
  </property>
  <property fmtid="{D5CDD505-2E9C-101B-9397-08002B2CF9AE}" pid="12" name="MSIP_Label_69f43042-6bda-44b2-91eb-eca3d3d484f4_Enabled">
    <vt:lpwstr>true</vt:lpwstr>
  </property>
  <property fmtid="{D5CDD505-2E9C-101B-9397-08002B2CF9AE}" pid="13" name="bjLabelHistoryID">
    <vt:lpwstr>{908BF554-98C5-4CD5-B875-EAFA27FD9F31}</vt:lpwstr>
  </property>
</Properties>
</file>